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UTNIK\gos\Projekte\D-Star-ONE MSU 6U\System Engineering\08 Technical Budgets\"/>
    </mc:Choice>
  </mc:AlternateContent>
  <xr:revisionPtr revIDLastSave="0" documentId="13_ncr:1_{9EDB2DA8-3E31-44C0-B037-C13DBA0DF1D0}" xr6:coauthVersionLast="45" xr6:coauthVersionMax="45" xr10:uidLastSave="{00000000-0000-0000-0000-000000000000}"/>
  <bookViews>
    <workbookView xWindow="-120" yWindow="-120" windowWidth="29040" windowHeight="15990" activeTab="4" xr2:uid="{BD4D393E-90A0-4E9F-868A-888E957429D5}"/>
  </bookViews>
  <sheets>
    <sheet name="Change-log" sheetId="1" r:id="rId1"/>
    <sheet name="Orbit Parameters" sheetId="2" r:id="rId2"/>
    <sheet name="EPS Parameters" sheetId="3" r:id="rId3"/>
    <sheet name="Power Consumption" sheetId="8" r:id="rId4"/>
    <sheet name="Power Modes" sheetId="9" r:id="rId5"/>
    <sheet name="Summary" sheetId="10" r:id="rId6"/>
    <sheet name="Octave Input" sheetId="12" r:id="rId7"/>
    <sheet name="WIP - Multi-Orbit Analysis" sheetId="11" r:id="rId8"/>
    <sheet name="BoH" sheetId="4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2" l="1"/>
  <c r="K20" i="12"/>
  <c r="J19" i="12"/>
  <c r="J20" i="12"/>
  <c r="B6" i="12"/>
  <c r="B5" i="12" l="1"/>
  <c r="E6" i="12"/>
  <c r="E7" i="12"/>
  <c r="E5" i="12"/>
  <c r="C5" i="4"/>
  <c r="C11" i="4"/>
  <c r="C9" i="4"/>
  <c r="C10" i="4"/>
  <c r="I5" i="10" l="1"/>
  <c r="H5" i="10"/>
  <c r="A129" i="4" l="1"/>
  <c r="A128" i="4"/>
  <c r="A127" i="4"/>
  <c r="A126" i="4"/>
  <c r="A125" i="4"/>
  <c r="A124" i="4"/>
  <c r="B49" i="11"/>
  <c r="B47" i="11"/>
  <c r="B45" i="11"/>
  <c r="B41" i="11"/>
  <c r="B48" i="11" s="1"/>
  <c r="B39" i="11"/>
  <c r="B31" i="11"/>
  <c r="B46" i="11" s="1"/>
  <c r="B29" i="11"/>
  <c r="B18" i="11"/>
  <c r="B16" i="11"/>
  <c r="B14" i="11"/>
  <c r="B12" i="11"/>
  <c r="B15" i="11" l="1"/>
  <c r="B17" i="11"/>
  <c r="W129" i="9"/>
  <c r="S129" i="9"/>
  <c r="O129" i="9"/>
  <c r="K129" i="9"/>
  <c r="G129" i="9"/>
  <c r="C129" i="9"/>
  <c r="AD134" i="4" l="1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L135" i="4"/>
  <c r="M135" i="4"/>
  <c r="N135" i="4"/>
  <c r="O135" i="4"/>
  <c r="L136" i="4"/>
  <c r="M136" i="4"/>
  <c r="N136" i="4"/>
  <c r="O136" i="4"/>
  <c r="L137" i="4"/>
  <c r="M137" i="4"/>
  <c r="N137" i="4"/>
  <c r="O137" i="4"/>
  <c r="L138" i="4"/>
  <c r="M138" i="4"/>
  <c r="N138" i="4"/>
  <c r="O138" i="4"/>
  <c r="L139" i="4"/>
  <c r="M139" i="4"/>
  <c r="N139" i="4"/>
  <c r="O139" i="4"/>
  <c r="L140" i="4"/>
  <c r="M140" i="4"/>
  <c r="N140" i="4"/>
  <c r="O140" i="4"/>
  <c r="L141" i="4"/>
  <c r="M141" i="4"/>
  <c r="N141" i="4"/>
  <c r="O141" i="4"/>
  <c r="L142" i="4"/>
  <c r="M142" i="4"/>
  <c r="N142" i="4"/>
  <c r="O142" i="4"/>
  <c r="L143" i="4"/>
  <c r="M143" i="4"/>
  <c r="N143" i="4"/>
  <c r="O143" i="4"/>
  <c r="L144" i="4"/>
  <c r="M144" i="4"/>
  <c r="N144" i="4"/>
  <c r="O144" i="4"/>
  <c r="L145" i="4"/>
  <c r="M145" i="4"/>
  <c r="N145" i="4"/>
  <c r="O145" i="4"/>
  <c r="L146" i="4"/>
  <c r="M146" i="4"/>
  <c r="N146" i="4"/>
  <c r="O146" i="4"/>
  <c r="L147" i="4"/>
  <c r="M147" i="4"/>
  <c r="N147" i="4"/>
  <c r="O147" i="4"/>
  <c r="L148" i="4"/>
  <c r="M148" i="4"/>
  <c r="N148" i="4"/>
  <c r="O148" i="4"/>
  <c r="L149" i="4"/>
  <c r="M149" i="4"/>
  <c r="N149" i="4"/>
  <c r="O149" i="4"/>
  <c r="L150" i="4"/>
  <c r="M150" i="4"/>
  <c r="N150" i="4"/>
  <c r="O150" i="4"/>
  <c r="L151" i="4"/>
  <c r="M151" i="4"/>
  <c r="N151" i="4"/>
  <c r="O151" i="4"/>
  <c r="L152" i="4"/>
  <c r="M152" i="4"/>
  <c r="N152" i="4"/>
  <c r="O152" i="4"/>
  <c r="L153" i="4"/>
  <c r="M153" i="4"/>
  <c r="N153" i="4"/>
  <c r="O153" i="4"/>
  <c r="L154" i="4"/>
  <c r="M154" i="4"/>
  <c r="N154" i="4"/>
  <c r="O154" i="4"/>
  <c r="L155" i="4"/>
  <c r="M155" i="4"/>
  <c r="N155" i="4"/>
  <c r="O155" i="4"/>
  <c r="L156" i="4"/>
  <c r="M156" i="4"/>
  <c r="N156" i="4"/>
  <c r="O156" i="4"/>
  <c r="L157" i="4"/>
  <c r="M157" i="4"/>
  <c r="N157" i="4"/>
  <c r="O157" i="4"/>
  <c r="L158" i="4"/>
  <c r="M158" i="4"/>
  <c r="N158" i="4"/>
  <c r="O158" i="4"/>
  <c r="L159" i="4"/>
  <c r="M159" i="4"/>
  <c r="N159" i="4"/>
  <c r="O159" i="4"/>
  <c r="L160" i="4"/>
  <c r="M160" i="4"/>
  <c r="N160" i="4"/>
  <c r="O160" i="4"/>
  <c r="L161" i="4"/>
  <c r="M161" i="4"/>
  <c r="N161" i="4"/>
  <c r="O161" i="4"/>
  <c r="L162" i="4"/>
  <c r="M162" i="4"/>
  <c r="N162" i="4"/>
  <c r="O162" i="4"/>
  <c r="L163" i="4"/>
  <c r="M163" i="4"/>
  <c r="N163" i="4"/>
  <c r="O163" i="4"/>
  <c r="L164" i="4"/>
  <c r="M164" i="4"/>
  <c r="N164" i="4"/>
  <c r="O164" i="4"/>
  <c r="L165" i="4"/>
  <c r="M165" i="4"/>
  <c r="N165" i="4"/>
  <c r="O165" i="4"/>
  <c r="L166" i="4"/>
  <c r="M166" i="4"/>
  <c r="N166" i="4"/>
  <c r="O166" i="4"/>
  <c r="L167" i="4"/>
  <c r="M167" i="4"/>
  <c r="N167" i="4"/>
  <c r="O167" i="4"/>
  <c r="L168" i="4"/>
  <c r="M168" i="4"/>
  <c r="N168" i="4"/>
  <c r="O168" i="4"/>
  <c r="L169" i="4"/>
  <c r="M169" i="4"/>
  <c r="N169" i="4"/>
  <c r="O169" i="4"/>
  <c r="L170" i="4"/>
  <c r="M170" i="4"/>
  <c r="N170" i="4"/>
  <c r="O170" i="4"/>
  <c r="L171" i="4"/>
  <c r="M171" i="4"/>
  <c r="N171" i="4"/>
  <c r="O171" i="4"/>
  <c r="L172" i="4"/>
  <c r="M172" i="4"/>
  <c r="N172" i="4"/>
  <c r="O172" i="4"/>
  <c r="L173" i="4"/>
  <c r="M173" i="4"/>
  <c r="N173" i="4"/>
  <c r="O173" i="4"/>
  <c r="L174" i="4"/>
  <c r="M174" i="4"/>
  <c r="N174" i="4"/>
  <c r="O174" i="4"/>
  <c r="L175" i="4"/>
  <c r="M175" i="4"/>
  <c r="N175" i="4"/>
  <c r="O175" i="4"/>
  <c r="L176" i="4"/>
  <c r="M176" i="4"/>
  <c r="N176" i="4"/>
  <c r="O176" i="4"/>
  <c r="L177" i="4"/>
  <c r="M177" i="4"/>
  <c r="N177" i="4"/>
  <c r="O177" i="4"/>
  <c r="L178" i="4"/>
  <c r="M178" i="4"/>
  <c r="N178" i="4"/>
  <c r="O178" i="4"/>
  <c r="L179" i="4"/>
  <c r="M179" i="4"/>
  <c r="N179" i="4"/>
  <c r="O179" i="4"/>
  <c r="L180" i="4"/>
  <c r="M180" i="4"/>
  <c r="N180" i="4"/>
  <c r="O180" i="4"/>
  <c r="L181" i="4"/>
  <c r="M181" i="4"/>
  <c r="N181" i="4"/>
  <c r="O181" i="4"/>
  <c r="L182" i="4"/>
  <c r="M182" i="4"/>
  <c r="N182" i="4"/>
  <c r="O182" i="4"/>
  <c r="L183" i="4"/>
  <c r="M183" i="4"/>
  <c r="N183" i="4"/>
  <c r="O183" i="4"/>
  <c r="L184" i="4"/>
  <c r="M184" i="4"/>
  <c r="N184" i="4"/>
  <c r="O184" i="4"/>
  <c r="L185" i="4"/>
  <c r="M185" i="4"/>
  <c r="N185" i="4"/>
  <c r="O185" i="4"/>
  <c r="L186" i="4"/>
  <c r="M186" i="4"/>
  <c r="N186" i="4"/>
  <c r="O186" i="4"/>
  <c r="L187" i="4"/>
  <c r="M187" i="4"/>
  <c r="N187" i="4"/>
  <c r="O187" i="4"/>
  <c r="L188" i="4"/>
  <c r="M188" i="4"/>
  <c r="N188" i="4"/>
  <c r="O188" i="4"/>
  <c r="L189" i="4"/>
  <c r="M189" i="4"/>
  <c r="N189" i="4"/>
  <c r="O189" i="4"/>
  <c r="L190" i="4"/>
  <c r="M190" i="4"/>
  <c r="N190" i="4"/>
  <c r="O190" i="4"/>
  <c r="L191" i="4"/>
  <c r="M191" i="4"/>
  <c r="N191" i="4"/>
  <c r="O191" i="4"/>
  <c r="L192" i="4"/>
  <c r="M192" i="4"/>
  <c r="N192" i="4"/>
  <c r="O192" i="4"/>
  <c r="L193" i="4"/>
  <c r="M193" i="4"/>
  <c r="N193" i="4"/>
  <c r="O193" i="4"/>
  <c r="L194" i="4"/>
  <c r="M194" i="4"/>
  <c r="N194" i="4"/>
  <c r="O194" i="4"/>
  <c r="L195" i="4"/>
  <c r="M195" i="4"/>
  <c r="N195" i="4"/>
  <c r="O195" i="4"/>
  <c r="L196" i="4"/>
  <c r="M196" i="4"/>
  <c r="N196" i="4"/>
  <c r="O196" i="4"/>
  <c r="L197" i="4"/>
  <c r="M197" i="4"/>
  <c r="N197" i="4"/>
  <c r="O197" i="4"/>
  <c r="L198" i="4"/>
  <c r="M198" i="4"/>
  <c r="N198" i="4"/>
  <c r="O198" i="4"/>
  <c r="L199" i="4"/>
  <c r="M199" i="4"/>
  <c r="N199" i="4"/>
  <c r="O199" i="4"/>
  <c r="L200" i="4"/>
  <c r="M200" i="4"/>
  <c r="N200" i="4"/>
  <c r="O200" i="4"/>
  <c r="L201" i="4"/>
  <c r="M201" i="4"/>
  <c r="N201" i="4"/>
  <c r="O201" i="4"/>
  <c r="L202" i="4"/>
  <c r="M202" i="4"/>
  <c r="N202" i="4"/>
  <c r="O202" i="4"/>
  <c r="L203" i="4"/>
  <c r="M203" i="4"/>
  <c r="N203" i="4"/>
  <c r="O203" i="4"/>
  <c r="L204" i="4"/>
  <c r="M204" i="4"/>
  <c r="N204" i="4"/>
  <c r="O204" i="4"/>
  <c r="L205" i="4"/>
  <c r="M205" i="4"/>
  <c r="N205" i="4"/>
  <c r="O205" i="4"/>
  <c r="L206" i="4"/>
  <c r="M206" i="4"/>
  <c r="N206" i="4"/>
  <c r="O206" i="4"/>
  <c r="L207" i="4"/>
  <c r="M207" i="4"/>
  <c r="N207" i="4"/>
  <c r="O207" i="4"/>
  <c r="L208" i="4"/>
  <c r="M208" i="4"/>
  <c r="N208" i="4"/>
  <c r="O208" i="4"/>
  <c r="L209" i="4"/>
  <c r="M209" i="4"/>
  <c r="N209" i="4"/>
  <c r="O209" i="4"/>
  <c r="L210" i="4"/>
  <c r="M210" i="4"/>
  <c r="N210" i="4"/>
  <c r="O210" i="4"/>
  <c r="L211" i="4"/>
  <c r="M211" i="4"/>
  <c r="N211" i="4"/>
  <c r="O211" i="4"/>
  <c r="L212" i="4"/>
  <c r="M212" i="4"/>
  <c r="N212" i="4"/>
  <c r="O212" i="4"/>
  <c r="L213" i="4"/>
  <c r="M213" i="4"/>
  <c r="N213" i="4"/>
  <c r="O213" i="4"/>
  <c r="L214" i="4"/>
  <c r="M214" i="4"/>
  <c r="N214" i="4"/>
  <c r="O214" i="4"/>
  <c r="L215" i="4"/>
  <c r="M215" i="4"/>
  <c r="N215" i="4"/>
  <c r="O215" i="4"/>
  <c r="L216" i="4"/>
  <c r="M216" i="4"/>
  <c r="N216" i="4"/>
  <c r="O216" i="4"/>
  <c r="L217" i="4"/>
  <c r="M217" i="4"/>
  <c r="N217" i="4"/>
  <c r="O217" i="4"/>
  <c r="L218" i="4"/>
  <c r="M218" i="4"/>
  <c r="N218" i="4"/>
  <c r="O218" i="4"/>
  <c r="L219" i="4"/>
  <c r="M219" i="4"/>
  <c r="N219" i="4"/>
  <c r="O219" i="4"/>
  <c r="L220" i="4"/>
  <c r="M220" i="4"/>
  <c r="N220" i="4"/>
  <c r="O220" i="4"/>
  <c r="L221" i="4"/>
  <c r="M221" i="4"/>
  <c r="N221" i="4"/>
  <c r="O221" i="4"/>
  <c r="L222" i="4"/>
  <c r="M222" i="4"/>
  <c r="N222" i="4"/>
  <c r="O222" i="4"/>
  <c r="L223" i="4"/>
  <c r="M223" i="4"/>
  <c r="N223" i="4"/>
  <c r="O223" i="4"/>
  <c r="L224" i="4"/>
  <c r="M224" i="4"/>
  <c r="N224" i="4"/>
  <c r="O224" i="4"/>
  <c r="L225" i="4"/>
  <c r="M225" i="4"/>
  <c r="N225" i="4"/>
  <c r="O225" i="4"/>
  <c r="L226" i="4"/>
  <c r="M226" i="4"/>
  <c r="N226" i="4"/>
  <c r="O226" i="4"/>
  <c r="L227" i="4"/>
  <c r="M227" i="4"/>
  <c r="N227" i="4"/>
  <c r="O227" i="4"/>
  <c r="L228" i="4"/>
  <c r="M228" i="4"/>
  <c r="N228" i="4"/>
  <c r="O228" i="4"/>
  <c r="L229" i="4"/>
  <c r="M229" i="4"/>
  <c r="N229" i="4"/>
  <c r="O229" i="4"/>
  <c r="L230" i="4"/>
  <c r="M230" i="4"/>
  <c r="N230" i="4"/>
  <c r="O230" i="4"/>
  <c r="L231" i="4"/>
  <c r="M231" i="4"/>
  <c r="N231" i="4"/>
  <c r="O231" i="4"/>
  <c r="L232" i="4"/>
  <c r="M232" i="4"/>
  <c r="N232" i="4"/>
  <c r="O232" i="4"/>
  <c r="L233" i="4"/>
  <c r="M233" i="4"/>
  <c r="N233" i="4"/>
  <c r="O233" i="4"/>
  <c r="O134" i="4"/>
  <c r="N134" i="4"/>
  <c r="M134" i="4"/>
  <c r="L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G149" i="4"/>
  <c r="H149" i="4"/>
  <c r="I149" i="4"/>
  <c r="J149" i="4"/>
  <c r="G150" i="4"/>
  <c r="H150" i="4"/>
  <c r="I150" i="4"/>
  <c r="J150" i="4"/>
  <c r="G151" i="4"/>
  <c r="H151" i="4"/>
  <c r="I151" i="4"/>
  <c r="J151" i="4"/>
  <c r="G152" i="4"/>
  <c r="H152" i="4"/>
  <c r="I152" i="4"/>
  <c r="J152" i="4"/>
  <c r="G153" i="4"/>
  <c r="H153" i="4"/>
  <c r="I153" i="4"/>
  <c r="J153" i="4"/>
  <c r="G154" i="4"/>
  <c r="H154" i="4"/>
  <c r="I154" i="4"/>
  <c r="J154" i="4"/>
  <c r="G155" i="4"/>
  <c r="H155" i="4"/>
  <c r="I155" i="4"/>
  <c r="J155" i="4"/>
  <c r="G156" i="4"/>
  <c r="H156" i="4"/>
  <c r="I156" i="4"/>
  <c r="J156" i="4"/>
  <c r="G157" i="4"/>
  <c r="H157" i="4"/>
  <c r="I157" i="4"/>
  <c r="J157" i="4"/>
  <c r="G158" i="4"/>
  <c r="H158" i="4"/>
  <c r="I158" i="4"/>
  <c r="J158" i="4"/>
  <c r="G159" i="4"/>
  <c r="H159" i="4"/>
  <c r="I159" i="4"/>
  <c r="J159" i="4"/>
  <c r="G160" i="4"/>
  <c r="H160" i="4"/>
  <c r="I160" i="4"/>
  <c r="J160" i="4"/>
  <c r="G161" i="4"/>
  <c r="H161" i="4"/>
  <c r="I161" i="4"/>
  <c r="J161" i="4"/>
  <c r="G162" i="4"/>
  <c r="H162" i="4"/>
  <c r="I162" i="4"/>
  <c r="J162" i="4"/>
  <c r="G163" i="4"/>
  <c r="H163" i="4"/>
  <c r="I163" i="4"/>
  <c r="J163" i="4"/>
  <c r="G164" i="4"/>
  <c r="H164" i="4"/>
  <c r="I164" i="4"/>
  <c r="J164" i="4"/>
  <c r="G165" i="4"/>
  <c r="H165" i="4"/>
  <c r="I165" i="4"/>
  <c r="J165" i="4"/>
  <c r="G166" i="4"/>
  <c r="H166" i="4"/>
  <c r="I166" i="4"/>
  <c r="J166" i="4"/>
  <c r="G167" i="4"/>
  <c r="H167" i="4"/>
  <c r="I167" i="4"/>
  <c r="J167" i="4"/>
  <c r="G168" i="4"/>
  <c r="H168" i="4"/>
  <c r="I168" i="4"/>
  <c r="J168" i="4"/>
  <c r="G169" i="4"/>
  <c r="H169" i="4"/>
  <c r="I169" i="4"/>
  <c r="J169" i="4"/>
  <c r="G170" i="4"/>
  <c r="H170" i="4"/>
  <c r="I170" i="4"/>
  <c r="J170" i="4"/>
  <c r="G171" i="4"/>
  <c r="H171" i="4"/>
  <c r="I171" i="4"/>
  <c r="J171" i="4"/>
  <c r="G172" i="4"/>
  <c r="H172" i="4"/>
  <c r="I172" i="4"/>
  <c r="J172" i="4"/>
  <c r="G173" i="4"/>
  <c r="H173" i="4"/>
  <c r="I173" i="4"/>
  <c r="J173" i="4"/>
  <c r="G174" i="4"/>
  <c r="H174" i="4"/>
  <c r="I174" i="4"/>
  <c r="J174" i="4"/>
  <c r="G175" i="4"/>
  <c r="H175" i="4"/>
  <c r="I175" i="4"/>
  <c r="J175" i="4"/>
  <c r="G176" i="4"/>
  <c r="H176" i="4"/>
  <c r="I176" i="4"/>
  <c r="J176" i="4"/>
  <c r="G177" i="4"/>
  <c r="H177" i="4"/>
  <c r="I177" i="4"/>
  <c r="J177" i="4"/>
  <c r="G178" i="4"/>
  <c r="H178" i="4"/>
  <c r="I178" i="4"/>
  <c r="J178" i="4"/>
  <c r="G179" i="4"/>
  <c r="H179" i="4"/>
  <c r="I179" i="4"/>
  <c r="J179" i="4"/>
  <c r="G180" i="4"/>
  <c r="H180" i="4"/>
  <c r="I180" i="4"/>
  <c r="J180" i="4"/>
  <c r="G181" i="4"/>
  <c r="H181" i="4"/>
  <c r="I181" i="4"/>
  <c r="J181" i="4"/>
  <c r="G182" i="4"/>
  <c r="H182" i="4"/>
  <c r="I182" i="4"/>
  <c r="J182" i="4"/>
  <c r="G183" i="4"/>
  <c r="H183" i="4"/>
  <c r="I183" i="4"/>
  <c r="J183" i="4"/>
  <c r="G184" i="4"/>
  <c r="H184" i="4"/>
  <c r="I184" i="4"/>
  <c r="J184" i="4"/>
  <c r="G185" i="4"/>
  <c r="H185" i="4"/>
  <c r="I185" i="4"/>
  <c r="J185" i="4"/>
  <c r="G186" i="4"/>
  <c r="H186" i="4"/>
  <c r="I186" i="4"/>
  <c r="J186" i="4"/>
  <c r="G187" i="4"/>
  <c r="H187" i="4"/>
  <c r="I187" i="4"/>
  <c r="J187" i="4"/>
  <c r="G188" i="4"/>
  <c r="H188" i="4"/>
  <c r="I188" i="4"/>
  <c r="J188" i="4"/>
  <c r="G189" i="4"/>
  <c r="H189" i="4"/>
  <c r="I189" i="4"/>
  <c r="J189" i="4"/>
  <c r="G190" i="4"/>
  <c r="H190" i="4"/>
  <c r="I190" i="4"/>
  <c r="J190" i="4"/>
  <c r="G191" i="4"/>
  <c r="H191" i="4"/>
  <c r="I191" i="4"/>
  <c r="J191" i="4"/>
  <c r="G192" i="4"/>
  <c r="H192" i="4"/>
  <c r="I192" i="4"/>
  <c r="J192" i="4"/>
  <c r="G193" i="4"/>
  <c r="H193" i="4"/>
  <c r="I193" i="4"/>
  <c r="J193" i="4"/>
  <c r="G194" i="4"/>
  <c r="H194" i="4"/>
  <c r="I194" i="4"/>
  <c r="J194" i="4"/>
  <c r="G195" i="4"/>
  <c r="H195" i="4"/>
  <c r="I195" i="4"/>
  <c r="J195" i="4"/>
  <c r="G196" i="4"/>
  <c r="H196" i="4"/>
  <c r="I196" i="4"/>
  <c r="J196" i="4"/>
  <c r="G197" i="4"/>
  <c r="H197" i="4"/>
  <c r="I197" i="4"/>
  <c r="J197" i="4"/>
  <c r="G198" i="4"/>
  <c r="H198" i="4"/>
  <c r="I198" i="4"/>
  <c r="J198" i="4"/>
  <c r="G199" i="4"/>
  <c r="H199" i="4"/>
  <c r="I199" i="4"/>
  <c r="J199" i="4"/>
  <c r="G200" i="4"/>
  <c r="H200" i="4"/>
  <c r="I200" i="4"/>
  <c r="J200" i="4"/>
  <c r="G201" i="4"/>
  <c r="H201" i="4"/>
  <c r="I201" i="4"/>
  <c r="J201" i="4"/>
  <c r="G202" i="4"/>
  <c r="H202" i="4"/>
  <c r="I202" i="4"/>
  <c r="J202" i="4"/>
  <c r="G203" i="4"/>
  <c r="H203" i="4"/>
  <c r="I203" i="4"/>
  <c r="J203" i="4"/>
  <c r="G204" i="4"/>
  <c r="H204" i="4"/>
  <c r="I204" i="4"/>
  <c r="J204" i="4"/>
  <c r="G205" i="4"/>
  <c r="H205" i="4"/>
  <c r="I205" i="4"/>
  <c r="J205" i="4"/>
  <c r="G206" i="4"/>
  <c r="H206" i="4"/>
  <c r="I206" i="4"/>
  <c r="J206" i="4"/>
  <c r="G207" i="4"/>
  <c r="H207" i="4"/>
  <c r="I207" i="4"/>
  <c r="J207" i="4"/>
  <c r="G208" i="4"/>
  <c r="H208" i="4"/>
  <c r="I208" i="4"/>
  <c r="J208" i="4"/>
  <c r="G209" i="4"/>
  <c r="H209" i="4"/>
  <c r="I209" i="4"/>
  <c r="J209" i="4"/>
  <c r="G210" i="4"/>
  <c r="H210" i="4"/>
  <c r="I210" i="4"/>
  <c r="J210" i="4"/>
  <c r="G211" i="4"/>
  <c r="H211" i="4"/>
  <c r="I211" i="4"/>
  <c r="J211" i="4"/>
  <c r="G212" i="4"/>
  <c r="H212" i="4"/>
  <c r="I212" i="4"/>
  <c r="J212" i="4"/>
  <c r="G213" i="4"/>
  <c r="H213" i="4"/>
  <c r="I213" i="4"/>
  <c r="J213" i="4"/>
  <c r="G214" i="4"/>
  <c r="H214" i="4"/>
  <c r="I214" i="4"/>
  <c r="J214" i="4"/>
  <c r="G215" i="4"/>
  <c r="H215" i="4"/>
  <c r="I215" i="4"/>
  <c r="J215" i="4"/>
  <c r="G216" i="4"/>
  <c r="H216" i="4"/>
  <c r="I216" i="4"/>
  <c r="J216" i="4"/>
  <c r="G217" i="4"/>
  <c r="H217" i="4"/>
  <c r="I217" i="4"/>
  <c r="J217" i="4"/>
  <c r="G218" i="4"/>
  <c r="H218" i="4"/>
  <c r="I218" i="4"/>
  <c r="J218" i="4"/>
  <c r="G219" i="4"/>
  <c r="H219" i="4"/>
  <c r="I219" i="4"/>
  <c r="J219" i="4"/>
  <c r="G220" i="4"/>
  <c r="H220" i="4"/>
  <c r="I220" i="4"/>
  <c r="J220" i="4"/>
  <c r="G221" i="4"/>
  <c r="H221" i="4"/>
  <c r="I221" i="4"/>
  <c r="J221" i="4"/>
  <c r="G222" i="4"/>
  <c r="H222" i="4"/>
  <c r="I222" i="4"/>
  <c r="J222" i="4"/>
  <c r="G223" i="4"/>
  <c r="H223" i="4"/>
  <c r="I223" i="4"/>
  <c r="J223" i="4"/>
  <c r="G224" i="4"/>
  <c r="H224" i="4"/>
  <c r="I224" i="4"/>
  <c r="J224" i="4"/>
  <c r="G225" i="4"/>
  <c r="H225" i="4"/>
  <c r="I225" i="4"/>
  <c r="J225" i="4"/>
  <c r="G226" i="4"/>
  <c r="H226" i="4"/>
  <c r="I226" i="4"/>
  <c r="J226" i="4"/>
  <c r="G227" i="4"/>
  <c r="H227" i="4"/>
  <c r="I227" i="4"/>
  <c r="J227" i="4"/>
  <c r="G228" i="4"/>
  <c r="H228" i="4"/>
  <c r="I228" i="4"/>
  <c r="J228" i="4"/>
  <c r="G229" i="4"/>
  <c r="H229" i="4"/>
  <c r="I229" i="4"/>
  <c r="J229" i="4"/>
  <c r="G230" i="4"/>
  <c r="H230" i="4"/>
  <c r="I230" i="4"/>
  <c r="J230" i="4"/>
  <c r="G231" i="4"/>
  <c r="H231" i="4"/>
  <c r="I231" i="4"/>
  <c r="J231" i="4"/>
  <c r="G232" i="4"/>
  <c r="H232" i="4"/>
  <c r="I232" i="4"/>
  <c r="J232" i="4"/>
  <c r="G233" i="4"/>
  <c r="H233" i="4"/>
  <c r="I233" i="4"/>
  <c r="J233" i="4"/>
  <c r="J134" i="4"/>
  <c r="I134" i="4"/>
  <c r="H134" i="4"/>
  <c r="G134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G5" i="10"/>
  <c r="F5" i="10"/>
  <c r="E5" i="10"/>
  <c r="D5" i="10"/>
  <c r="G8" i="10"/>
  <c r="I8" i="10"/>
  <c r="H8" i="10"/>
  <c r="Q112" i="9"/>
  <c r="F8" i="10"/>
  <c r="D8" i="10"/>
  <c r="E8" i="10"/>
  <c r="AB234" i="4" l="1"/>
  <c r="F246" i="4" s="1"/>
  <c r="I13" i="10" s="1"/>
  <c r="T234" i="4"/>
  <c r="D248" i="4" s="1"/>
  <c r="G15" i="10" s="1"/>
  <c r="G234" i="4"/>
  <c r="H234" i="4"/>
  <c r="B246" i="4" s="1"/>
  <c r="E13" i="10" s="1"/>
  <c r="R234" i="4"/>
  <c r="AC234" i="4"/>
  <c r="F247" i="4" s="1"/>
  <c r="I14" i="10" s="1"/>
  <c r="I234" i="4"/>
  <c r="B247" i="4" s="1"/>
  <c r="E14" i="10" s="1"/>
  <c r="V234" i="4"/>
  <c r="E245" i="4" s="1"/>
  <c r="H12" i="10" s="1"/>
  <c r="Y234" i="4"/>
  <c r="W234" i="4"/>
  <c r="E246" i="4" s="1"/>
  <c r="H13" i="10" s="1"/>
  <c r="AA234" i="4"/>
  <c r="AD234" i="4"/>
  <c r="F248" i="4" s="1"/>
  <c r="I15" i="10" s="1"/>
  <c r="L234" i="4"/>
  <c r="S234" i="4"/>
  <c r="D247" i="4" s="1"/>
  <c r="G14" i="10" s="1"/>
  <c r="X234" i="4"/>
  <c r="E247" i="4" s="1"/>
  <c r="H14" i="10" s="1"/>
  <c r="Q234" i="4"/>
  <c r="D245" i="4" s="1"/>
  <c r="G12" i="10" s="1"/>
  <c r="O234" i="4"/>
  <c r="M234" i="4"/>
  <c r="N234" i="4"/>
  <c r="J234" i="4"/>
  <c r="B248" i="4" s="1"/>
  <c r="E15" i="10" s="1"/>
  <c r="C234" i="4"/>
  <c r="A246" i="4" s="1"/>
  <c r="D13" i="10" s="1"/>
  <c r="E234" i="4"/>
  <c r="A248" i="4" s="1"/>
  <c r="D15" i="10" s="1"/>
  <c r="D234" i="4"/>
  <c r="A247" i="4" s="1"/>
  <c r="D14" i="10" s="1"/>
  <c r="B234" i="4"/>
  <c r="A245" i="4" s="1"/>
  <c r="D12" i="10" s="1"/>
  <c r="D241" i="4" l="1"/>
  <c r="C241" i="4"/>
  <c r="E240" i="4"/>
  <c r="E248" i="4"/>
  <c r="H15" i="10" s="1"/>
  <c r="C240" i="4"/>
  <c r="E239" i="4"/>
  <c r="D239" i="4"/>
  <c r="C239" i="4"/>
  <c r="D246" i="4"/>
  <c r="G13" i="10" s="1"/>
  <c r="C238" i="4"/>
  <c r="C246" i="4"/>
  <c r="F13" i="10" s="1"/>
  <c r="D238" i="4"/>
  <c r="C247" i="4"/>
  <c r="F14" i="10" s="1"/>
  <c r="E238" i="4"/>
  <c r="C248" i="4"/>
  <c r="F15" i="10" s="1"/>
  <c r="C237" i="4"/>
  <c r="D237" i="4"/>
  <c r="B237" i="4"/>
  <c r="B245" i="4"/>
  <c r="E12" i="10" s="1"/>
  <c r="B241" i="4"/>
  <c r="F245" i="4"/>
  <c r="I12" i="10" s="1"/>
  <c r="B238" i="4"/>
  <c r="C245" i="4"/>
  <c r="F12" i="10" s="1"/>
  <c r="B240" i="4"/>
  <c r="E241" i="4"/>
  <c r="D240" i="4"/>
  <c r="E236" i="4"/>
  <c r="D236" i="4"/>
  <c r="C236" i="4"/>
  <c r="B236" i="4"/>
  <c r="B239" i="4"/>
  <c r="E237" i="4"/>
  <c r="A13" i="9" l="1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J106" i="8" l="1"/>
  <c r="H106" i="8"/>
  <c r="F106" i="8"/>
  <c r="D106" i="8"/>
  <c r="E17" i="4"/>
  <c r="D17" i="4"/>
  <c r="C17" i="4"/>
  <c r="A71" i="4"/>
  <c r="A186" i="4" s="1"/>
  <c r="A72" i="4"/>
  <c r="A187" i="4" s="1"/>
  <c r="A73" i="4"/>
  <c r="A188" i="4" s="1"/>
  <c r="A74" i="4"/>
  <c r="A189" i="4" s="1"/>
  <c r="A75" i="4"/>
  <c r="A190" i="4" s="1"/>
  <c r="A76" i="4"/>
  <c r="A191" i="4" s="1"/>
  <c r="A77" i="4"/>
  <c r="A192" i="4" s="1"/>
  <c r="A78" i="4"/>
  <c r="A193" i="4" s="1"/>
  <c r="A79" i="4"/>
  <c r="A194" i="4" s="1"/>
  <c r="A80" i="4"/>
  <c r="A195" i="4" s="1"/>
  <c r="A81" i="4"/>
  <c r="A196" i="4" s="1"/>
  <c r="A82" i="4"/>
  <c r="A197" i="4" s="1"/>
  <c r="A83" i="4"/>
  <c r="A198" i="4" s="1"/>
  <c r="A84" i="4"/>
  <c r="A199" i="4" s="1"/>
  <c r="A85" i="4"/>
  <c r="A200" i="4" s="1"/>
  <c r="A86" i="4"/>
  <c r="A201" i="4" s="1"/>
  <c r="A87" i="4"/>
  <c r="A202" i="4" s="1"/>
  <c r="A88" i="4"/>
  <c r="A203" i="4" s="1"/>
  <c r="A89" i="4"/>
  <c r="A204" i="4" s="1"/>
  <c r="A90" i="4"/>
  <c r="A205" i="4" s="1"/>
  <c r="A91" i="4"/>
  <c r="A206" i="4" s="1"/>
  <c r="A92" i="4"/>
  <c r="A207" i="4" s="1"/>
  <c r="A93" i="4"/>
  <c r="A208" i="4" s="1"/>
  <c r="A94" i="4"/>
  <c r="A209" i="4" s="1"/>
  <c r="A95" i="4"/>
  <c r="A210" i="4" s="1"/>
  <c r="A96" i="4"/>
  <c r="A211" i="4" s="1"/>
  <c r="A97" i="4"/>
  <c r="A212" i="4" s="1"/>
  <c r="A98" i="4"/>
  <c r="A213" i="4" s="1"/>
  <c r="A99" i="4"/>
  <c r="A214" i="4" s="1"/>
  <c r="A100" i="4"/>
  <c r="A215" i="4" s="1"/>
  <c r="A101" i="4"/>
  <c r="A216" i="4" s="1"/>
  <c r="A102" i="4"/>
  <c r="A217" i="4" s="1"/>
  <c r="A103" i="4"/>
  <c r="A218" i="4" s="1"/>
  <c r="A104" i="4"/>
  <c r="A219" i="4" s="1"/>
  <c r="A105" i="4"/>
  <c r="A220" i="4" s="1"/>
  <c r="A106" i="4"/>
  <c r="A221" i="4" s="1"/>
  <c r="A107" i="4"/>
  <c r="A222" i="4" s="1"/>
  <c r="A108" i="4"/>
  <c r="A223" i="4" s="1"/>
  <c r="A109" i="4"/>
  <c r="A224" i="4" s="1"/>
  <c r="A110" i="4"/>
  <c r="A225" i="4" s="1"/>
  <c r="A111" i="4"/>
  <c r="A226" i="4" s="1"/>
  <c r="A112" i="4"/>
  <c r="A227" i="4" s="1"/>
  <c r="A113" i="4"/>
  <c r="A228" i="4" s="1"/>
  <c r="A114" i="4"/>
  <c r="A229" i="4" s="1"/>
  <c r="A115" i="4"/>
  <c r="A230" i="4" s="1"/>
  <c r="A116" i="4"/>
  <c r="A231" i="4" s="1"/>
  <c r="A117" i="4"/>
  <c r="A232" i="4" s="1"/>
  <c r="A118" i="4"/>
  <c r="A233" i="4" s="1"/>
  <c r="A37" i="4"/>
  <c r="A152" i="4" s="1"/>
  <c r="A38" i="4"/>
  <c r="A153" i="4" s="1"/>
  <c r="A39" i="4"/>
  <c r="A154" i="4" s="1"/>
  <c r="A40" i="4"/>
  <c r="A155" i="4" s="1"/>
  <c r="A41" i="4"/>
  <c r="A156" i="4" s="1"/>
  <c r="A42" i="4"/>
  <c r="A157" i="4" s="1"/>
  <c r="A43" i="4"/>
  <c r="A158" i="4" s="1"/>
  <c r="A44" i="4"/>
  <c r="A159" i="4" s="1"/>
  <c r="A45" i="4"/>
  <c r="A160" i="4" s="1"/>
  <c r="A46" i="4"/>
  <c r="A161" i="4" s="1"/>
  <c r="A47" i="4"/>
  <c r="A162" i="4" s="1"/>
  <c r="A48" i="4"/>
  <c r="A163" i="4" s="1"/>
  <c r="A49" i="4"/>
  <c r="A164" i="4" s="1"/>
  <c r="A50" i="4"/>
  <c r="A165" i="4" s="1"/>
  <c r="A51" i="4"/>
  <c r="A166" i="4" s="1"/>
  <c r="A52" i="4"/>
  <c r="A167" i="4" s="1"/>
  <c r="A53" i="4"/>
  <c r="A168" i="4" s="1"/>
  <c r="A54" i="4"/>
  <c r="A169" i="4" s="1"/>
  <c r="A55" i="4"/>
  <c r="A170" i="4" s="1"/>
  <c r="A56" i="4"/>
  <c r="A171" i="4" s="1"/>
  <c r="A57" i="4"/>
  <c r="A172" i="4" s="1"/>
  <c r="A58" i="4"/>
  <c r="A173" i="4" s="1"/>
  <c r="A59" i="4"/>
  <c r="A174" i="4" s="1"/>
  <c r="A60" i="4"/>
  <c r="A175" i="4" s="1"/>
  <c r="A61" i="4"/>
  <c r="A176" i="4" s="1"/>
  <c r="A62" i="4"/>
  <c r="A177" i="4" s="1"/>
  <c r="A63" i="4"/>
  <c r="A178" i="4" s="1"/>
  <c r="A64" i="4"/>
  <c r="A179" i="4" s="1"/>
  <c r="A65" i="4"/>
  <c r="A180" i="4" s="1"/>
  <c r="A66" i="4"/>
  <c r="A181" i="4" s="1"/>
  <c r="A67" i="4"/>
  <c r="A182" i="4" s="1"/>
  <c r="A68" i="4"/>
  <c r="A183" i="4" s="1"/>
  <c r="A69" i="4"/>
  <c r="A184" i="4" s="1"/>
  <c r="A70" i="4"/>
  <c r="A185" i="4" s="1"/>
  <c r="A25" i="4"/>
  <c r="A140" i="4" s="1"/>
  <c r="A26" i="4"/>
  <c r="A141" i="4" s="1"/>
  <c r="A27" i="4"/>
  <c r="A142" i="4" s="1"/>
  <c r="A28" i="4"/>
  <c r="A143" i="4" s="1"/>
  <c r="A29" i="4"/>
  <c r="A144" i="4" s="1"/>
  <c r="A30" i="4"/>
  <c r="A145" i="4" s="1"/>
  <c r="A31" i="4"/>
  <c r="A146" i="4" s="1"/>
  <c r="A32" i="4"/>
  <c r="A147" i="4" s="1"/>
  <c r="A33" i="4"/>
  <c r="A148" i="4" s="1"/>
  <c r="A34" i="4"/>
  <c r="A149" i="4" s="1"/>
  <c r="A35" i="4"/>
  <c r="A150" i="4" s="1"/>
  <c r="A36" i="4"/>
  <c r="A151" i="4" s="1"/>
  <c r="A20" i="4"/>
  <c r="A135" i="4" s="1"/>
  <c r="A21" i="4"/>
  <c r="A136" i="4" s="1"/>
  <c r="A22" i="4"/>
  <c r="A137" i="4" s="1"/>
  <c r="A23" i="4"/>
  <c r="A138" i="4" s="1"/>
  <c r="A24" i="4"/>
  <c r="A139" i="4" s="1"/>
  <c r="A19" i="4"/>
  <c r="A134" i="4" s="1"/>
  <c r="K5" i="8" l="1"/>
  <c r="E19" i="4" s="1"/>
  <c r="K6" i="8"/>
  <c r="E20" i="4" s="1"/>
  <c r="K7" i="8"/>
  <c r="E21" i="4" s="1"/>
  <c r="K8" i="8"/>
  <c r="E22" i="4" s="1"/>
  <c r="K9" i="8"/>
  <c r="E23" i="4" s="1"/>
  <c r="K10" i="8"/>
  <c r="E24" i="4" s="1"/>
  <c r="K11" i="8"/>
  <c r="E25" i="4" s="1"/>
  <c r="K12" i="8"/>
  <c r="E26" i="4" s="1"/>
  <c r="K13" i="8"/>
  <c r="E27" i="4" s="1"/>
  <c r="K14" i="8"/>
  <c r="E28" i="4" s="1"/>
  <c r="K15" i="8"/>
  <c r="E29" i="4" s="1"/>
  <c r="K16" i="8"/>
  <c r="E30" i="4" s="1"/>
  <c r="K17" i="8"/>
  <c r="E31" i="4" s="1"/>
  <c r="K18" i="8"/>
  <c r="E32" i="4" s="1"/>
  <c r="K19" i="8"/>
  <c r="E33" i="4" s="1"/>
  <c r="K20" i="8"/>
  <c r="E34" i="4" s="1"/>
  <c r="K21" i="8"/>
  <c r="E35" i="4" s="1"/>
  <c r="K22" i="8"/>
  <c r="E36" i="4" s="1"/>
  <c r="K23" i="8"/>
  <c r="E37" i="4" s="1"/>
  <c r="K24" i="8"/>
  <c r="E38" i="4" s="1"/>
  <c r="K25" i="8"/>
  <c r="E39" i="4" s="1"/>
  <c r="K26" i="8"/>
  <c r="E40" i="4" s="1"/>
  <c r="K27" i="8"/>
  <c r="E41" i="4" s="1"/>
  <c r="K28" i="8"/>
  <c r="E42" i="4" s="1"/>
  <c r="K29" i="8"/>
  <c r="E43" i="4" s="1"/>
  <c r="K30" i="8"/>
  <c r="E44" i="4" s="1"/>
  <c r="K31" i="8"/>
  <c r="E45" i="4" s="1"/>
  <c r="K32" i="8"/>
  <c r="E46" i="4" s="1"/>
  <c r="K33" i="8"/>
  <c r="E47" i="4" s="1"/>
  <c r="K34" i="8"/>
  <c r="E48" i="4" s="1"/>
  <c r="K35" i="8"/>
  <c r="E49" i="4" s="1"/>
  <c r="K36" i="8"/>
  <c r="E50" i="4" s="1"/>
  <c r="K37" i="8"/>
  <c r="E51" i="4" s="1"/>
  <c r="K38" i="8"/>
  <c r="E52" i="4" s="1"/>
  <c r="K39" i="8"/>
  <c r="E53" i="4" s="1"/>
  <c r="K40" i="8"/>
  <c r="E54" i="4" s="1"/>
  <c r="K41" i="8"/>
  <c r="E55" i="4" s="1"/>
  <c r="K42" i="8"/>
  <c r="E56" i="4" s="1"/>
  <c r="K43" i="8"/>
  <c r="E57" i="4" s="1"/>
  <c r="K44" i="8"/>
  <c r="E58" i="4" s="1"/>
  <c r="K45" i="8"/>
  <c r="E59" i="4" s="1"/>
  <c r="K46" i="8"/>
  <c r="E60" i="4" s="1"/>
  <c r="K47" i="8"/>
  <c r="E61" i="4" s="1"/>
  <c r="K48" i="8"/>
  <c r="E62" i="4" s="1"/>
  <c r="K49" i="8"/>
  <c r="E63" i="4" s="1"/>
  <c r="K50" i="8"/>
  <c r="E64" i="4" s="1"/>
  <c r="K51" i="8"/>
  <c r="E65" i="4" s="1"/>
  <c r="K52" i="8"/>
  <c r="E66" i="4" s="1"/>
  <c r="K53" i="8"/>
  <c r="E67" i="4" s="1"/>
  <c r="K54" i="8"/>
  <c r="E68" i="4" s="1"/>
  <c r="K55" i="8"/>
  <c r="E69" i="4" s="1"/>
  <c r="K56" i="8"/>
  <c r="E70" i="4" s="1"/>
  <c r="K57" i="8"/>
  <c r="E71" i="4" s="1"/>
  <c r="K58" i="8"/>
  <c r="E72" i="4" s="1"/>
  <c r="K59" i="8"/>
  <c r="E73" i="4" s="1"/>
  <c r="K60" i="8"/>
  <c r="E74" i="4" s="1"/>
  <c r="K61" i="8"/>
  <c r="E75" i="4" s="1"/>
  <c r="K62" i="8"/>
  <c r="E76" i="4" s="1"/>
  <c r="K63" i="8"/>
  <c r="E77" i="4" s="1"/>
  <c r="K64" i="8"/>
  <c r="E78" i="4" s="1"/>
  <c r="K65" i="8"/>
  <c r="E79" i="4" s="1"/>
  <c r="K66" i="8"/>
  <c r="E80" i="4" s="1"/>
  <c r="K67" i="8"/>
  <c r="E81" i="4" s="1"/>
  <c r="K68" i="8"/>
  <c r="E82" i="4" s="1"/>
  <c r="K69" i="8"/>
  <c r="E83" i="4" s="1"/>
  <c r="K70" i="8"/>
  <c r="E84" i="4" s="1"/>
  <c r="K71" i="8"/>
  <c r="E85" i="4" s="1"/>
  <c r="K72" i="8"/>
  <c r="E86" i="4" s="1"/>
  <c r="K73" i="8"/>
  <c r="E87" i="4" s="1"/>
  <c r="K74" i="8"/>
  <c r="E88" i="4" s="1"/>
  <c r="K75" i="8"/>
  <c r="E89" i="4" s="1"/>
  <c r="K76" i="8"/>
  <c r="E90" i="4" s="1"/>
  <c r="K77" i="8"/>
  <c r="E91" i="4" s="1"/>
  <c r="K78" i="8"/>
  <c r="E92" i="4" s="1"/>
  <c r="K79" i="8"/>
  <c r="E93" i="4" s="1"/>
  <c r="K80" i="8"/>
  <c r="E94" i="4" s="1"/>
  <c r="K81" i="8"/>
  <c r="E95" i="4" s="1"/>
  <c r="K82" i="8"/>
  <c r="E96" i="4" s="1"/>
  <c r="K83" i="8"/>
  <c r="E97" i="4" s="1"/>
  <c r="K84" i="8"/>
  <c r="E98" i="4" s="1"/>
  <c r="K85" i="8"/>
  <c r="E99" i="4" s="1"/>
  <c r="K86" i="8"/>
  <c r="E100" i="4" s="1"/>
  <c r="K87" i="8"/>
  <c r="E101" i="4" s="1"/>
  <c r="K88" i="8"/>
  <c r="E102" i="4" s="1"/>
  <c r="K89" i="8"/>
  <c r="E103" i="4" s="1"/>
  <c r="K90" i="8"/>
  <c r="E104" i="4" s="1"/>
  <c r="K91" i="8"/>
  <c r="E105" i="4" s="1"/>
  <c r="K92" i="8"/>
  <c r="E106" i="4" s="1"/>
  <c r="K93" i="8"/>
  <c r="E107" i="4" s="1"/>
  <c r="K94" i="8"/>
  <c r="E108" i="4" s="1"/>
  <c r="K95" i="8"/>
  <c r="E109" i="4" s="1"/>
  <c r="K96" i="8"/>
  <c r="E110" i="4" s="1"/>
  <c r="K97" i="8"/>
  <c r="E111" i="4" s="1"/>
  <c r="K98" i="8"/>
  <c r="E112" i="4" s="1"/>
  <c r="K99" i="8"/>
  <c r="E113" i="4" s="1"/>
  <c r="K100" i="8"/>
  <c r="E114" i="4" s="1"/>
  <c r="K101" i="8"/>
  <c r="E115" i="4" s="1"/>
  <c r="K102" i="8"/>
  <c r="E116" i="4" s="1"/>
  <c r="K103" i="8"/>
  <c r="E117" i="4" s="1"/>
  <c r="K104" i="8"/>
  <c r="E118" i="4" s="1"/>
  <c r="I6" i="8"/>
  <c r="D20" i="4" s="1"/>
  <c r="I5" i="8"/>
  <c r="D19" i="4" s="1"/>
  <c r="I7" i="8"/>
  <c r="D21" i="4" s="1"/>
  <c r="I8" i="8"/>
  <c r="D22" i="4" s="1"/>
  <c r="I9" i="8"/>
  <c r="D23" i="4" s="1"/>
  <c r="I10" i="8"/>
  <c r="D24" i="4" s="1"/>
  <c r="I11" i="8"/>
  <c r="D25" i="4" s="1"/>
  <c r="I12" i="8"/>
  <c r="D26" i="4" s="1"/>
  <c r="I13" i="8"/>
  <c r="D27" i="4" s="1"/>
  <c r="I14" i="8"/>
  <c r="D28" i="4" s="1"/>
  <c r="I15" i="8"/>
  <c r="D29" i="4" s="1"/>
  <c r="I16" i="8"/>
  <c r="D30" i="4" s="1"/>
  <c r="I17" i="8"/>
  <c r="D31" i="4" s="1"/>
  <c r="I18" i="8"/>
  <c r="D32" i="4" s="1"/>
  <c r="I19" i="8"/>
  <c r="D33" i="4" s="1"/>
  <c r="I20" i="8"/>
  <c r="D34" i="4" s="1"/>
  <c r="I21" i="8"/>
  <c r="D35" i="4" s="1"/>
  <c r="I22" i="8"/>
  <c r="D36" i="4" s="1"/>
  <c r="I23" i="8"/>
  <c r="D37" i="4" s="1"/>
  <c r="I24" i="8"/>
  <c r="D38" i="4" s="1"/>
  <c r="I25" i="8"/>
  <c r="D39" i="4" s="1"/>
  <c r="I26" i="8"/>
  <c r="D40" i="4" s="1"/>
  <c r="I27" i="8"/>
  <c r="D41" i="4" s="1"/>
  <c r="I28" i="8"/>
  <c r="D42" i="4" s="1"/>
  <c r="I29" i="8"/>
  <c r="D43" i="4" s="1"/>
  <c r="I30" i="8"/>
  <c r="D44" i="4" s="1"/>
  <c r="I31" i="8"/>
  <c r="D45" i="4" s="1"/>
  <c r="I32" i="8"/>
  <c r="D46" i="4" s="1"/>
  <c r="I33" i="8"/>
  <c r="D47" i="4" s="1"/>
  <c r="I34" i="8"/>
  <c r="D48" i="4" s="1"/>
  <c r="I35" i="8"/>
  <c r="D49" i="4" s="1"/>
  <c r="I36" i="8"/>
  <c r="D50" i="4" s="1"/>
  <c r="I37" i="8"/>
  <c r="D51" i="4" s="1"/>
  <c r="I38" i="8"/>
  <c r="D52" i="4" s="1"/>
  <c r="I39" i="8"/>
  <c r="D53" i="4" s="1"/>
  <c r="I40" i="8"/>
  <c r="D54" i="4" s="1"/>
  <c r="I41" i="8"/>
  <c r="D55" i="4" s="1"/>
  <c r="I42" i="8"/>
  <c r="D56" i="4" s="1"/>
  <c r="I43" i="8"/>
  <c r="D57" i="4" s="1"/>
  <c r="I44" i="8"/>
  <c r="D58" i="4" s="1"/>
  <c r="I45" i="8"/>
  <c r="D59" i="4" s="1"/>
  <c r="I46" i="8"/>
  <c r="D60" i="4" s="1"/>
  <c r="I47" i="8"/>
  <c r="D61" i="4" s="1"/>
  <c r="I48" i="8"/>
  <c r="D62" i="4" s="1"/>
  <c r="I49" i="8"/>
  <c r="D63" i="4" s="1"/>
  <c r="I50" i="8"/>
  <c r="D64" i="4" s="1"/>
  <c r="I51" i="8"/>
  <c r="D65" i="4" s="1"/>
  <c r="I52" i="8"/>
  <c r="D66" i="4" s="1"/>
  <c r="I53" i="8"/>
  <c r="D67" i="4" s="1"/>
  <c r="I54" i="8"/>
  <c r="D68" i="4" s="1"/>
  <c r="I55" i="8"/>
  <c r="D69" i="4" s="1"/>
  <c r="I56" i="8"/>
  <c r="D70" i="4" s="1"/>
  <c r="I57" i="8"/>
  <c r="D71" i="4" s="1"/>
  <c r="I58" i="8"/>
  <c r="D72" i="4" s="1"/>
  <c r="I59" i="8"/>
  <c r="D73" i="4" s="1"/>
  <c r="I60" i="8"/>
  <c r="D74" i="4" s="1"/>
  <c r="I61" i="8"/>
  <c r="D75" i="4" s="1"/>
  <c r="I62" i="8"/>
  <c r="D76" i="4" s="1"/>
  <c r="I63" i="8"/>
  <c r="D77" i="4" s="1"/>
  <c r="I64" i="8"/>
  <c r="D78" i="4" s="1"/>
  <c r="I65" i="8"/>
  <c r="D79" i="4" s="1"/>
  <c r="I66" i="8"/>
  <c r="D80" i="4" s="1"/>
  <c r="I67" i="8"/>
  <c r="D81" i="4" s="1"/>
  <c r="I68" i="8"/>
  <c r="D82" i="4" s="1"/>
  <c r="I69" i="8"/>
  <c r="D83" i="4" s="1"/>
  <c r="I70" i="8"/>
  <c r="D84" i="4" s="1"/>
  <c r="I71" i="8"/>
  <c r="D85" i="4" s="1"/>
  <c r="I72" i="8"/>
  <c r="D86" i="4" s="1"/>
  <c r="I73" i="8"/>
  <c r="D87" i="4" s="1"/>
  <c r="I74" i="8"/>
  <c r="D88" i="4" s="1"/>
  <c r="I75" i="8"/>
  <c r="D89" i="4" s="1"/>
  <c r="I76" i="8"/>
  <c r="D90" i="4" s="1"/>
  <c r="I77" i="8"/>
  <c r="D91" i="4" s="1"/>
  <c r="I78" i="8"/>
  <c r="D92" i="4" s="1"/>
  <c r="I79" i="8"/>
  <c r="D93" i="4" s="1"/>
  <c r="I80" i="8"/>
  <c r="D94" i="4" s="1"/>
  <c r="I81" i="8"/>
  <c r="D95" i="4" s="1"/>
  <c r="I82" i="8"/>
  <c r="D96" i="4" s="1"/>
  <c r="I83" i="8"/>
  <c r="D97" i="4" s="1"/>
  <c r="I84" i="8"/>
  <c r="D98" i="4" s="1"/>
  <c r="I85" i="8"/>
  <c r="D99" i="4" s="1"/>
  <c r="I86" i="8"/>
  <c r="D100" i="4" s="1"/>
  <c r="I87" i="8"/>
  <c r="D101" i="4" s="1"/>
  <c r="I88" i="8"/>
  <c r="D102" i="4" s="1"/>
  <c r="I89" i="8"/>
  <c r="D103" i="4" s="1"/>
  <c r="I90" i="8"/>
  <c r="D104" i="4" s="1"/>
  <c r="I91" i="8"/>
  <c r="D105" i="4" s="1"/>
  <c r="I92" i="8"/>
  <c r="D106" i="4" s="1"/>
  <c r="I93" i="8"/>
  <c r="D107" i="4" s="1"/>
  <c r="I94" i="8"/>
  <c r="D108" i="4" s="1"/>
  <c r="I95" i="8"/>
  <c r="D109" i="4" s="1"/>
  <c r="I96" i="8"/>
  <c r="D110" i="4" s="1"/>
  <c r="I97" i="8"/>
  <c r="D111" i="4" s="1"/>
  <c r="I98" i="8"/>
  <c r="D112" i="4" s="1"/>
  <c r="I99" i="8"/>
  <c r="D113" i="4" s="1"/>
  <c r="I100" i="8"/>
  <c r="D114" i="4" s="1"/>
  <c r="I101" i="8"/>
  <c r="D115" i="4" s="1"/>
  <c r="I102" i="8"/>
  <c r="D116" i="4" s="1"/>
  <c r="I103" i="8"/>
  <c r="D117" i="4" s="1"/>
  <c r="I104" i="8"/>
  <c r="D118" i="4" s="1"/>
  <c r="G5" i="8"/>
  <c r="C19" i="4" s="1"/>
  <c r="G6" i="8"/>
  <c r="G7" i="8"/>
  <c r="G8" i="8"/>
  <c r="G9" i="8"/>
  <c r="G10" i="8"/>
  <c r="G11" i="8"/>
  <c r="G12" i="8"/>
  <c r="G13" i="8"/>
  <c r="G14" i="8"/>
  <c r="G15" i="8"/>
  <c r="C29" i="4" s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C66" i="4" l="1"/>
  <c r="C41" i="4"/>
  <c r="C40" i="4"/>
  <c r="C115" i="4"/>
  <c r="C103" i="4"/>
  <c r="C91" i="4"/>
  <c r="C79" i="4"/>
  <c r="C67" i="4"/>
  <c r="C55" i="4"/>
  <c r="C43" i="4"/>
  <c r="C31" i="4"/>
  <c r="C102" i="4"/>
  <c r="C30" i="4"/>
  <c r="C65" i="4"/>
  <c r="C76" i="4"/>
  <c r="C111" i="4"/>
  <c r="C99" i="4"/>
  <c r="C87" i="4"/>
  <c r="C75" i="4"/>
  <c r="C63" i="4"/>
  <c r="C51" i="4"/>
  <c r="C39" i="4"/>
  <c r="C27" i="4"/>
  <c r="C113" i="4"/>
  <c r="C88" i="4"/>
  <c r="C110" i="4"/>
  <c r="C98" i="4"/>
  <c r="C86" i="4"/>
  <c r="C74" i="4"/>
  <c r="C62" i="4"/>
  <c r="C50" i="4"/>
  <c r="C38" i="4"/>
  <c r="C26" i="4"/>
  <c r="C78" i="4"/>
  <c r="C25" i="4"/>
  <c r="C54" i="4"/>
  <c r="C97" i="4"/>
  <c r="C73" i="4"/>
  <c r="C37" i="4"/>
  <c r="C108" i="4"/>
  <c r="C96" i="4"/>
  <c r="C84" i="4"/>
  <c r="C72" i="4"/>
  <c r="C60" i="4"/>
  <c r="C48" i="4"/>
  <c r="C36" i="4"/>
  <c r="C24" i="4"/>
  <c r="C101" i="4"/>
  <c r="C112" i="4"/>
  <c r="C52" i="4"/>
  <c r="C109" i="4"/>
  <c r="C85" i="4"/>
  <c r="C61" i="4"/>
  <c r="C49" i="4"/>
  <c r="C107" i="4"/>
  <c r="C95" i="4"/>
  <c r="C83" i="4"/>
  <c r="C71" i="4"/>
  <c r="C59" i="4"/>
  <c r="C47" i="4"/>
  <c r="C35" i="4"/>
  <c r="C23" i="4"/>
  <c r="C114" i="4"/>
  <c r="C42" i="4"/>
  <c r="C89" i="4"/>
  <c r="C64" i="4"/>
  <c r="C28" i="4"/>
  <c r="C118" i="4"/>
  <c r="C106" i="4"/>
  <c r="C94" i="4"/>
  <c r="C82" i="4"/>
  <c r="C70" i="4"/>
  <c r="C58" i="4"/>
  <c r="C46" i="4"/>
  <c r="C34" i="4"/>
  <c r="C22" i="4"/>
  <c r="C53" i="4"/>
  <c r="C117" i="4"/>
  <c r="C105" i="4"/>
  <c r="C93" i="4"/>
  <c r="C81" i="4"/>
  <c r="C69" i="4"/>
  <c r="C57" i="4"/>
  <c r="C45" i="4"/>
  <c r="C33" i="4"/>
  <c r="C21" i="4"/>
  <c r="C90" i="4"/>
  <c r="C77" i="4"/>
  <c r="C100" i="4"/>
  <c r="C116" i="4"/>
  <c r="C104" i="4"/>
  <c r="C92" i="4"/>
  <c r="C80" i="4"/>
  <c r="C68" i="4"/>
  <c r="C56" i="4"/>
  <c r="C44" i="4"/>
  <c r="C32" i="4"/>
  <c r="C20" i="4"/>
  <c r="G4" i="2" l="1"/>
  <c r="G8" i="2" s="1"/>
  <c r="C17" i="3"/>
  <c r="D3" i="8" s="1"/>
  <c r="C29" i="3"/>
  <c r="C19" i="3"/>
  <c r="C18" i="3"/>
  <c r="C6" i="2"/>
  <c r="F4" i="1"/>
  <c r="F3" i="1"/>
  <c r="L60" i="9" l="1"/>
  <c r="H104" i="9"/>
  <c r="T70" i="9"/>
  <c r="P102" i="9"/>
  <c r="L62" i="9"/>
  <c r="X25" i="9"/>
  <c r="X37" i="9"/>
  <c r="X49" i="9"/>
  <c r="X61" i="9"/>
  <c r="X73" i="9"/>
  <c r="X85" i="9"/>
  <c r="X97" i="9"/>
  <c r="X109" i="9"/>
  <c r="T21" i="9"/>
  <c r="T33" i="9"/>
  <c r="T45" i="9"/>
  <c r="T57" i="9"/>
  <c r="T69" i="9"/>
  <c r="T81" i="9"/>
  <c r="T93" i="9"/>
  <c r="T105" i="9"/>
  <c r="P17" i="9"/>
  <c r="P29" i="9"/>
  <c r="P41" i="9"/>
  <c r="P53" i="9"/>
  <c r="P65" i="9"/>
  <c r="P77" i="9"/>
  <c r="P89" i="9"/>
  <c r="P101" i="9"/>
  <c r="P13" i="9"/>
  <c r="L25" i="9"/>
  <c r="L37" i="9"/>
  <c r="L49" i="9"/>
  <c r="L61" i="9"/>
  <c r="L73" i="9"/>
  <c r="L85" i="9"/>
  <c r="L97" i="9"/>
  <c r="L109" i="9"/>
  <c r="H21" i="9"/>
  <c r="H33" i="9"/>
  <c r="H45" i="9"/>
  <c r="H57" i="9"/>
  <c r="H69" i="9"/>
  <c r="H81" i="9"/>
  <c r="H93" i="9"/>
  <c r="H105" i="9"/>
  <c r="X26" i="9"/>
  <c r="X38" i="9"/>
  <c r="X50" i="9"/>
  <c r="X62" i="9"/>
  <c r="X86" i="9"/>
  <c r="X98" i="9"/>
  <c r="T34" i="9"/>
  <c r="T58" i="9"/>
  <c r="T94" i="9"/>
  <c r="P18" i="9"/>
  <c r="P54" i="9"/>
  <c r="P90" i="9"/>
  <c r="L14" i="9"/>
  <c r="L50" i="9"/>
  <c r="L98" i="9"/>
  <c r="X14" i="9"/>
  <c r="X74" i="9"/>
  <c r="X110" i="9"/>
  <c r="T46" i="9"/>
  <c r="T82" i="9"/>
  <c r="T106" i="9"/>
  <c r="P42" i="9"/>
  <c r="P78" i="9"/>
  <c r="L38" i="9"/>
  <c r="L86" i="9"/>
  <c r="X15" i="9"/>
  <c r="X27" i="9"/>
  <c r="X39" i="9"/>
  <c r="X51" i="9"/>
  <c r="X63" i="9"/>
  <c r="X75" i="9"/>
  <c r="X87" i="9"/>
  <c r="X99" i="9"/>
  <c r="X111" i="9"/>
  <c r="T23" i="9"/>
  <c r="T35" i="9"/>
  <c r="T47" i="9"/>
  <c r="T59" i="9"/>
  <c r="T71" i="9"/>
  <c r="T83" i="9"/>
  <c r="T95" i="9"/>
  <c r="T107" i="9"/>
  <c r="P19" i="9"/>
  <c r="P31" i="9"/>
  <c r="P43" i="9"/>
  <c r="P55" i="9"/>
  <c r="P67" i="9"/>
  <c r="P79" i="9"/>
  <c r="P91" i="9"/>
  <c r="P103" i="9"/>
  <c r="L15" i="9"/>
  <c r="L27" i="9"/>
  <c r="L39" i="9"/>
  <c r="L51" i="9"/>
  <c r="L63" i="9"/>
  <c r="L75" i="9"/>
  <c r="L87" i="9"/>
  <c r="L99" i="9"/>
  <c r="L111" i="9"/>
  <c r="H23" i="9"/>
  <c r="H35" i="9"/>
  <c r="H47" i="9"/>
  <c r="H59" i="9"/>
  <c r="H71" i="9"/>
  <c r="H83" i="9"/>
  <c r="H95" i="9"/>
  <c r="H107" i="9"/>
  <c r="L77" i="9"/>
  <c r="L13" i="9"/>
  <c r="H37" i="9"/>
  <c r="H61" i="9"/>
  <c r="H85" i="9"/>
  <c r="H109" i="9"/>
  <c r="H65" i="9"/>
  <c r="X58" i="9"/>
  <c r="T30" i="9"/>
  <c r="P26" i="9"/>
  <c r="X16" i="9"/>
  <c r="X28" i="9"/>
  <c r="X40" i="9"/>
  <c r="X52" i="9"/>
  <c r="X64" i="9"/>
  <c r="X76" i="9"/>
  <c r="X88" i="9"/>
  <c r="X100" i="9"/>
  <c r="X112" i="9"/>
  <c r="T24" i="9"/>
  <c r="T36" i="9"/>
  <c r="T48" i="9"/>
  <c r="T60" i="9"/>
  <c r="T72" i="9"/>
  <c r="T84" i="9"/>
  <c r="T96" i="9"/>
  <c r="T108" i="9"/>
  <c r="P20" i="9"/>
  <c r="P32" i="9"/>
  <c r="P44" i="9"/>
  <c r="P56" i="9"/>
  <c r="P68" i="9"/>
  <c r="P80" i="9"/>
  <c r="P92" i="9"/>
  <c r="P104" i="9"/>
  <c r="L16" i="9"/>
  <c r="L28" i="9"/>
  <c r="L40" i="9"/>
  <c r="L52" i="9"/>
  <c r="L64" i="9"/>
  <c r="L76" i="9"/>
  <c r="L88" i="9"/>
  <c r="L100" i="9"/>
  <c r="L112" i="9"/>
  <c r="H24" i="9"/>
  <c r="H36" i="9"/>
  <c r="H48" i="9"/>
  <c r="H60" i="9"/>
  <c r="H72" i="9"/>
  <c r="H84" i="9"/>
  <c r="H96" i="9"/>
  <c r="H108" i="9"/>
  <c r="X17" i="9"/>
  <c r="X29" i="9"/>
  <c r="X41" i="9"/>
  <c r="X53" i="9"/>
  <c r="X65" i="9"/>
  <c r="X77" i="9"/>
  <c r="X89" i="9"/>
  <c r="X101" i="9"/>
  <c r="X13" i="9"/>
  <c r="T25" i="9"/>
  <c r="T37" i="9"/>
  <c r="T49" i="9"/>
  <c r="T61" i="9"/>
  <c r="T73" i="9"/>
  <c r="T85" i="9"/>
  <c r="T97" i="9"/>
  <c r="T109" i="9"/>
  <c r="P21" i="9"/>
  <c r="P33" i="9"/>
  <c r="P45" i="9"/>
  <c r="P57" i="9"/>
  <c r="P69" i="9"/>
  <c r="P81" i="9"/>
  <c r="P93" i="9"/>
  <c r="P105" i="9"/>
  <c r="L17" i="9"/>
  <c r="L29" i="9"/>
  <c r="L53" i="9"/>
  <c r="L65" i="9"/>
  <c r="L89" i="9"/>
  <c r="L101" i="9"/>
  <c r="H25" i="9"/>
  <c r="H49" i="9"/>
  <c r="H73" i="9"/>
  <c r="H53" i="9"/>
  <c r="X82" i="9"/>
  <c r="T66" i="9"/>
  <c r="L41" i="9"/>
  <c r="H97" i="9"/>
  <c r="X46" i="9"/>
  <c r="T78" i="9"/>
  <c r="X18" i="9"/>
  <c r="X30" i="9"/>
  <c r="X42" i="9"/>
  <c r="X54" i="9"/>
  <c r="X66" i="9"/>
  <c r="X78" i="9"/>
  <c r="X90" i="9"/>
  <c r="X102" i="9"/>
  <c r="T14" i="9"/>
  <c r="T26" i="9"/>
  <c r="T38" i="9"/>
  <c r="T50" i="9"/>
  <c r="T62" i="9"/>
  <c r="T74" i="9"/>
  <c r="T86" i="9"/>
  <c r="T98" i="9"/>
  <c r="T110" i="9"/>
  <c r="P22" i="9"/>
  <c r="P34" i="9"/>
  <c r="P46" i="9"/>
  <c r="P58" i="9"/>
  <c r="P70" i="9"/>
  <c r="P82" i="9"/>
  <c r="P94" i="9"/>
  <c r="P106" i="9"/>
  <c r="L18" i="9"/>
  <c r="L30" i="9"/>
  <c r="L42" i="9"/>
  <c r="L54" i="9"/>
  <c r="L66" i="9"/>
  <c r="L78" i="9"/>
  <c r="L90" i="9"/>
  <c r="L102" i="9"/>
  <c r="H14" i="9"/>
  <c r="H26" i="9"/>
  <c r="H38" i="9"/>
  <c r="H50" i="9"/>
  <c r="H62" i="9"/>
  <c r="H74" i="9"/>
  <c r="H86" i="9"/>
  <c r="H98" i="9"/>
  <c r="H110" i="9"/>
  <c r="X80" i="9"/>
  <c r="T52" i="9"/>
  <c r="T88" i="9"/>
  <c r="T112" i="9"/>
  <c r="P48" i="9"/>
  <c r="P72" i="9"/>
  <c r="P96" i="9"/>
  <c r="L20" i="9"/>
  <c r="L44" i="9"/>
  <c r="L68" i="9"/>
  <c r="L92" i="9"/>
  <c r="H16" i="9"/>
  <c r="H28" i="9"/>
  <c r="H52" i="9"/>
  <c r="H76" i="9"/>
  <c r="H100" i="9"/>
  <c r="X33" i="9"/>
  <c r="T17" i="9"/>
  <c r="T53" i="9"/>
  <c r="T89" i="9"/>
  <c r="P25" i="9"/>
  <c r="P73" i="9"/>
  <c r="P109" i="9"/>
  <c r="L45" i="9"/>
  <c r="L81" i="9"/>
  <c r="H41" i="9"/>
  <c r="H13" i="9"/>
  <c r="X70" i="9"/>
  <c r="T42" i="9"/>
  <c r="T102" i="9"/>
  <c r="X19" i="9"/>
  <c r="X31" i="9"/>
  <c r="X43" i="9"/>
  <c r="X55" i="9"/>
  <c r="X67" i="9"/>
  <c r="X79" i="9"/>
  <c r="X91" i="9"/>
  <c r="X103" i="9"/>
  <c r="T15" i="9"/>
  <c r="T27" i="9"/>
  <c r="T39" i="9"/>
  <c r="T51" i="9"/>
  <c r="T63" i="9"/>
  <c r="T75" i="9"/>
  <c r="T87" i="9"/>
  <c r="T99" i="9"/>
  <c r="T111" i="9"/>
  <c r="P23" i="9"/>
  <c r="P35" i="9"/>
  <c r="P47" i="9"/>
  <c r="P59" i="9"/>
  <c r="P71" i="9"/>
  <c r="P83" i="9"/>
  <c r="P95" i="9"/>
  <c r="P107" i="9"/>
  <c r="L19" i="9"/>
  <c r="L31" i="9"/>
  <c r="L43" i="9"/>
  <c r="L55" i="9"/>
  <c r="L67" i="9"/>
  <c r="L79" i="9"/>
  <c r="L91" i="9"/>
  <c r="L103" i="9"/>
  <c r="H15" i="9"/>
  <c r="H27" i="9"/>
  <c r="H39" i="9"/>
  <c r="H51" i="9"/>
  <c r="H63" i="9"/>
  <c r="H75" i="9"/>
  <c r="H87" i="9"/>
  <c r="H99" i="9"/>
  <c r="H111" i="9"/>
  <c r="X20" i="9"/>
  <c r="X32" i="9"/>
  <c r="X44" i="9"/>
  <c r="X56" i="9"/>
  <c r="X68" i="9"/>
  <c r="X92" i="9"/>
  <c r="X104" i="9"/>
  <c r="T16" i="9"/>
  <c r="T28" i="9"/>
  <c r="T40" i="9"/>
  <c r="T64" i="9"/>
  <c r="T76" i="9"/>
  <c r="T100" i="9"/>
  <c r="P24" i="9"/>
  <c r="P36" i="9"/>
  <c r="P60" i="9"/>
  <c r="P84" i="9"/>
  <c r="P108" i="9"/>
  <c r="L32" i="9"/>
  <c r="L56" i="9"/>
  <c r="L80" i="9"/>
  <c r="L104" i="9"/>
  <c r="H40" i="9"/>
  <c r="H64" i="9"/>
  <c r="H88" i="9"/>
  <c r="H112" i="9"/>
  <c r="X45" i="9"/>
  <c r="X93" i="9"/>
  <c r="T29" i="9"/>
  <c r="T65" i="9"/>
  <c r="T101" i="9"/>
  <c r="P37" i="9"/>
  <c r="P85" i="9"/>
  <c r="L21" i="9"/>
  <c r="L57" i="9"/>
  <c r="L93" i="9"/>
  <c r="H17" i="9"/>
  <c r="H89" i="9"/>
  <c r="X34" i="9"/>
  <c r="X106" i="9"/>
  <c r="T90" i="9"/>
  <c r="P61" i="9"/>
  <c r="H77" i="9"/>
  <c r="X94" i="9"/>
  <c r="T54" i="9"/>
  <c r="P38" i="9"/>
  <c r="X21" i="9"/>
  <c r="X57" i="9"/>
  <c r="X69" i="9"/>
  <c r="X81" i="9"/>
  <c r="X105" i="9"/>
  <c r="T41" i="9"/>
  <c r="T77" i="9"/>
  <c r="T13" i="9"/>
  <c r="P49" i="9"/>
  <c r="P97" i="9"/>
  <c r="L33" i="9"/>
  <c r="L69" i="9"/>
  <c r="L105" i="9"/>
  <c r="H29" i="9"/>
  <c r="H101" i="9"/>
  <c r="X22" i="9"/>
  <c r="T18" i="9"/>
  <c r="P14" i="9"/>
  <c r="X23" i="9"/>
  <c r="X35" i="9"/>
  <c r="X47" i="9"/>
  <c r="X59" i="9"/>
  <c r="X71" i="9"/>
  <c r="X83" i="9"/>
  <c r="X95" i="9"/>
  <c r="X107" i="9"/>
  <c r="T19" i="9"/>
  <c r="T31" i="9"/>
  <c r="T43" i="9"/>
  <c r="T55" i="9"/>
  <c r="T67" i="9"/>
  <c r="T79" i="9"/>
  <c r="T91" i="9"/>
  <c r="T103" i="9"/>
  <c r="P15" i="9"/>
  <c r="P27" i="9"/>
  <c r="P39" i="9"/>
  <c r="P51" i="9"/>
  <c r="P63" i="9"/>
  <c r="P75" i="9"/>
  <c r="P87" i="9"/>
  <c r="P99" i="9"/>
  <c r="P111" i="9"/>
  <c r="L23" i="9"/>
  <c r="L35" i="9"/>
  <c r="L47" i="9"/>
  <c r="L59" i="9"/>
  <c r="L71" i="9"/>
  <c r="L83" i="9"/>
  <c r="L95" i="9"/>
  <c r="L107" i="9"/>
  <c r="H19" i="9"/>
  <c r="H31" i="9"/>
  <c r="H43" i="9"/>
  <c r="H55" i="9"/>
  <c r="H67" i="9"/>
  <c r="H79" i="9"/>
  <c r="H91" i="9"/>
  <c r="H103" i="9"/>
  <c r="X24" i="9"/>
  <c r="X36" i="9"/>
  <c r="X48" i="9"/>
  <c r="X60" i="9"/>
  <c r="X72" i="9"/>
  <c r="X84" i="9"/>
  <c r="X96" i="9"/>
  <c r="X108" i="9"/>
  <c r="T20" i="9"/>
  <c r="T32" i="9"/>
  <c r="T44" i="9"/>
  <c r="T56" i="9"/>
  <c r="T68" i="9"/>
  <c r="T80" i="9"/>
  <c r="T92" i="9"/>
  <c r="T104" i="9"/>
  <c r="P16" i="9"/>
  <c r="P28" i="9"/>
  <c r="P40" i="9"/>
  <c r="P52" i="9"/>
  <c r="P64" i="9"/>
  <c r="P76" i="9"/>
  <c r="P88" i="9"/>
  <c r="P100" i="9"/>
  <c r="P112" i="9"/>
  <c r="L24" i="9"/>
  <c r="L36" i="9"/>
  <c r="L48" i="9"/>
  <c r="L72" i="9"/>
  <c r="L84" i="9"/>
  <c r="L96" i="9"/>
  <c r="L108" i="9"/>
  <c r="H20" i="9"/>
  <c r="H32" i="9"/>
  <c r="H44" i="9"/>
  <c r="H56" i="9"/>
  <c r="H68" i="9"/>
  <c r="H80" i="9"/>
  <c r="H92" i="9"/>
  <c r="T22" i="9"/>
  <c r="P30" i="9"/>
  <c r="P66" i="9"/>
  <c r="L26" i="9"/>
  <c r="L74" i="9"/>
  <c r="P74" i="9"/>
  <c r="L110" i="9"/>
  <c r="H82" i="9"/>
  <c r="P86" i="9"/>
  <c r="H18" i="9"/>
  <c r="H90" i="9"/>
  <c r="P98" i="9"/>
  <c r="H22" i="9"/>
  <c r="H94" i="9"/>
  <c r="L22" i="9"/>
  <c r="H106" i="9"/>
  <c r="H42" i="9"/>
  <c r="L58" i="9"/>
  <c r="L70" i="9"/>
  <c r="P50" i="9"/>
  <c r="H78" i="9"/>
  <c r="P110" i="9"/>
  <c r="H30" i="9"/>
  <c r="H102" i="9"/>
  <c r="H34" i="9"/>
  <c r="L34" i="9"/>
  <c r="H46" i="9"/>
  <c r="H54" i="9"/>
  <c r="H58" i="9"/>
  <c r="H66" i="9"/>
  <c r="H70" i="9"/>
  <c r="L106" i="9"/>
  <c r="L46" i="9"/>
  <c r="L82" i="9"/>
  <c r="L94" i="9"/>
  <c r="P62" i="9"/>
  <c r="B17" i="4"/>
  <c r="E21" i="8"/>
  <c r="B35" i="4" s="1"/>
  <c r="L21" i="8" s="1"/>
  <c r="N21" i="8" s="1"/>
  <c r="B29" i="9" s="1"/>
  <c r="E33" i="8"/>
  <c r="B47" i="4" s="1"/>
  <c r="L33" i="8" s="1"/>
  <c r="N33" i="8" s="1"/>
  <c r="B41" i="9" s="1"/>
  <c r="E45" i="8"/>
  <c r="B59" i="4" s="1"/>
  <c r="L45" i="8" s="1"/>
  <c r="N45" i="8" s="1"/>
  <c r="B53" i="9" s="1"/>
  <c r="E57" i="8"/>
  <c r="B71" i="4" s="1"/>
  <c r="L57" i="8" s="1"/>
  <c r="N57" i="8" s="1"/>
  <c r="B65" i="9" s="1"/>
  <c r="E69" i="8"/>
  <c r="B83" i="4" s="1"/>
  <c r="L69" i="8" s="1"/>
  <c r="N69" i="8" s="1"/>
  <c r="B77" i="9" s="1"/>
  <c r="E81" i="8"/>
  <c r="B95" i="4" s="1"/>
  <c r="L81" i="8" s="1"/>
  <c r="N81" i="8" s="1"/>
  <c r="B89" i="9" s="1"/>
  <c r="E93" i="8"/>
  <c r="B107" i="4" s="1"/>
  <c r="L93" i="8" s="1"/>
  <c r="N93" i="8" s="1"/>
  <c r="B101" i="9" s="1"/>
  <c r="E6" i="8"/>
  <c r="B20" i="4" s="1"/>
  <c r="L6" i="8" s="1"/>
  <c r="N6" i="8" s="1"/>
  <c r="B14" i="9" s="1"/>
  <c r="E10" i="8"/>
  <c r="B24" i="4" s="1"/>
  <c r="L10" i="8" s="1"/>
  <c r="N10" i="8" s="1"/>
  <c r="B18" i="9" s="1"/>
  <c r="E22" i="8"/>
  <c r="B36" i="4" s="1"/>
  <c r="L22" i="8" s="1"/>
  <c r="N22" i="8" s="1"/>
  <c r="B30" i="9" s="1"/>
  <c r="E34" i="8"/>
  <c r="B48" i="4" s="1"/>
  <c r="L34" i="8" s="1"/>
  <c r="N34" i="8" s="1"/>
  <c r="B42" i="9" s="1"/>
  <c r="E58" i="8"/>
  <c r="B72" i="4" s="1"/>
  <c r="L58" i="8" s="1"/>
  <c r="N58" i="8" s="1"/>
  <c r="B66" i="9" s="1"/>
  <c r="E70" i="8"/>
  <c r="B84" i="4" s="1"/>
  <c r="L70" i="8" s="1"/>
  <c r="N70" i="8" s="1"/>
  <c r="B78" i="9" s="1"/>
  <c r="E82" i="8"/>
  <c r="B96" i="4" s="1"/>
  <c r="L82" i="8" s="1"/>
  <c r="N82" i="8" s="1"/>
  <c r="B90" i="9" s="1"/>
  <c r="E94" i="8"/>
  <c r="B108" i="4" s="1"/>
  <c r="L94" i="8" s="1"/>
  <c r="N94" i="8" s="1"/>
  <c r="B102" i="9" s="1"/>
  <c r="E7" i="8"/>
  <c r="B21" i="4" s="1"/>
  <c r="L7" i="8" s="1"/>
  <c r="N7" i="8" s="1"/>
  <c r="B15" i="9" s="1"/>
  <c r="E68" i="8"/>
  <c r="B82" i="4" s="1"/>
  <c r="L68" i="8" s="1"/>
  <c r="N68" i="8" s="1"/>
  <c r="B76" i="9" s="1"/>
  <c r="E46" i="8"/>
  <c r="B60" i="4" s="1"/>
  <c r="L46" i="8" s="1"/>
  <c r="N46" i="8" s="1"/>
  <c r="B54" i="9" s="1"/>
  <c r="E11" i="8"/>
  <c r="B25" i="4" s="1"/>
  <c r="L11" i="8" s="1"/>
  <c r="N11" i="8" s="1"/>
  <c r="B19" i="9" s="1"/>
  <c r="E23" i="8"/>
  <c r="B37" i="4" s="1"/>
  <c r="L23" i="8" s="1"/>
  <c r="N23" i="8" s="1"/>
  <c r="B31" i="9" s="1"/>
  <c r="E35" i="8"/>
  <c r="B49" i="4" s="1"/>
  <c r="L35" i="8" s="1"/>
  <c r="N35" i="8" s="1"/>
  <c r="B43" i="9" s="1"/>
  <c r="E47" i="8"/>
  <c r="B61" i="4" s="1"/>
  <c r="L47" i="8" s="1"/>
  <c r="N47" i="8" s="1"/>
  <c r="B55" i="9" s="1"/>
  <c r="E59" i="8"/>
  <c r="B73" i="4" s="1"/>
  <c r="L59" i="8" s="1"/>
  <c r="N59" i="8" s="1"/>
  <c r="B67" i="9" s="1"/>
  <c r="E71" i="8"/>
  <c r="B85" i="4" s="1"/>
  <c r="L71" i="8" s="1"/>
  <c r="N71" i="8" s="1"/>
  <c r="B79" i="9" s="1"/>
  <c r="E83" i="8"/>
  <c r="B97" i="4" s="1"/>
  <c r="L83" i="8" s="1"/>
  <c r="N83" i="8" s="1"/>
  <c r="B91" i="9" s="1"/>
  <c r="E95" i="8"/>
  <c r="B109" i="4" s="1"/>
  <c r="L95" i="8" s="1"/>
  <c r="N95" i="8" s="1"/>
  <c r="B103" i="9" s="1"/>
  <c r="E8" i="8"/>
  <c r="B22" i="4" s="1"/>
  <c r="L8" i="8" s="1"/>
  <c r="N8" i="8" s="1"/>
  <c r="B16" i="9" s="1"/>
  <c r="E37" i="8"/>
  <c r="B51" i="4" s="1"/>
  <c r="L37" i="8" s="1"/>
  <c r="N37" i="8" s="1"/>
  <c r="B45" i="9" s="1"/>
  <c r="E73" i="8"/>
  <c r="B87" i="4" s="1"/>
  <c r="L73" i="8" s="1"/>
  <c r="N73" i="8" s="1"/>
  <c r="B81" i="9" s="1"/>
  <c r="E97" i="8"/>
  <c r="B111" i="4" s="1"/>
  <c r="L97" i="8" s="1"/>
  <c r="N97" i="8" s="1"/>
  <c r="B105" i="9" s="1"/>
  <c r="E38" i="8"/>
  <c r="B52" i="4" s="1"/>
  <c r="L38" i="8" s="1"/>
  <c r="N38" i="8" s="1"/>
  <c r="B46" i="9" s="1"/>
  <c r="E98" i="8"/>
  <c r="B112" i="4" s="1"/>
  <c r="L98" i="8" s="1"/>
  <c r="N98" i="8" s="1"/>
  <c r="B106" i="9" s="1"/>
  <c r="E63" i="8"/>
  <c r="B77" i="4" s="1"/>
  <c r="L63" i="8" s="1"/>
  <c r="N63" i="8" s="1"/>
  <c r="B71" i="9" s="1"/>
  <c r="E76" i="8"/>
  <c r="B90" i="4" s="1"/>
  <c r="L76" i="8" s="1"/>
  <c r="N76" i="8" s="1"/>
  <c r="B84" i="9" s="1"/>
  <c r="E41" i="8"/>
  <c r="B55" i="4" s="1"/>
  <c r="L41" i="8" s="1"/>
  <c r="N41" i="8" s="1"/>
  <c r="B49" i="9" s="1"/>
  <c r="E101" i="8"/>
  <c r="B115" i="4" s="1"/>
  <c r="L101" i="8" s="1"/>
  <c r="N101" i="8" s="1"/>
  <c r="B109" i="9" s="1"/>
  <c r="E12" i="8"/>
  <c r="B26" i="4" s="1"/>
  <c r="L12" i="8" s="1"/>
  <c r="N12" i="8" s="1"/>
  <c r="B20" i="9" s="1"/>
  <c r="E24" i="8"/>
  <c r="B38" i="4" s="1"/>
  <c r="L24" i="8" s="1"/>
  <c r="N24" i="8" s="1"/>
  <c r="B32" i="9" s="1"/>
  <c r="E36" i="8"/>
  <c r="B50" i="4" s="1"/>
  <c r="L36" i="8" s="1"/>
  <c r="N36" i="8" s="1"/>
  <c r="B44" i="9" s="1"/>
  <c r="E48" i="8"/>
  <c r="B62" i="4" s="1"/>
  <c r="L48" i="8" s="1"/>
  <c r="N48" i="8" s="1"/>
  <c r="B56" i="9" s="1"/>
  <c r="E60" i="8"/>
  <c r="B74" i="4" s="1"/>
  <c r="L60" i="8" s="1"/>
  <c r="N60" i="8" s="1"/>
  <c r="B68" i="9" s="1"/>
  <c r="E72" i="8"/>
  <c r="B86" i="4" s="1"/>
  <c r="L72" i="8" s="1"/>
  <c r="N72" i="8" s="1"/>
  <c r="B80" i="9" s="1"/>
  <c r="E84" i="8"/>
  <c r="B98" i="4" s="1"/>
  <c r="L84" i="8" s="1"/>
  <c r="N84" i="8" s="1"/>
  <c r="B92" i="9" s="1"/>
  <c r="E96" i="8"/>
  <c r="B110" i="4" s="1"/>
  <c r="L96" i="8" s="1"/>
  <c r="N96" i="8" s="1"/>
  <c r="B104" i="9" s="1"/>
  <c r="E9" i="8"/>
  <c r="B23" i="4" s="1"/>
  <c r="L9" i="8" s="1"/>
  <c r="N9" i="8" s="1"/>
  <c r="B17" i="9" s="1"/>
  <c r="E13" i="8"/>
  <c r="B27" i="4" s="1"/>
  <c r="L13" i="8" s="1"/>
  <c r="N13" i="8" s="1"/>
  <c r="B21" i="9" s="1"/>
  <c r="E49" i="8"/>
  <c r="B63" i="4" s="1"/>
  <c r="L49" i="8" s="1"/>
  <c r="N49" i="8" s="1"/>
  <c r="B57" i="9" s="1"/>
  <c r="E85" i="8"/>
  <c r="B99" i="4" s="1"/>
  <c r="L85" i="8" s="1"/>
  <c r="N85" i="8" s="1"/>
  <c r="B93" i="9" s="1"/>
  <c r="E14" i="8"/>
  <c r="B28" i="4" s="1"/>
  <c r="L14" i="8" s="1"/>
  <c r="N14" i="8" s="1"/>
  <c r="B22" i="9" s="1"/>
  <c r="E62" i="8"/>
  <c r="B76" i="4" s="1"/>
  <c r="L62" i="8" s="1"/>
  <c r="N62" i="8" s="1"/>
  <c r="B70" i="9" s="1"/>
  <c r="E87" i="8"/>
  <c r="B101" i="4" s="1"/>
  <c r="L87" i="8" s="1"/>
  <c r="N87" i="8" s="1"/>
  <c r="B95" i="9" s="1"/>
  <c r="E89" i="8"/>
  <c r="B103" i="4" s="1"/>
  <c r="L89" i="8" s="1"/>
  <c r="N89" i="8" s="1"/>
  <c r="B97" i="9" s="1"/>
  <c r="E25" i="8"/>
  <c r="B39" i="4" s="1"/>
  <c r="L25" i="8" s="1"/>
  <c r="N25" i="8" s="1"/>
  <c r="B33" i="9" s="1"/>
  <c r="E61" i="8"/>
  <c r="B75" i="4" s="1"/>
  <c r="L61" i="8" s="1"/>
  <c r="N61" i="8" s="1"/>
  <c r="B69" i="9" s="1"/>
  <c r="E50" i="8"/>
  <c r="B64" i="4" s="1"/>
  <c r="L50" i="8" s="1"/>
  <c r="N50" i="8" s="1"/>
  <c r="B58" i="9" s="1"/>
  <c r="E86" i="8"/>
  <c r="B100" i="4" s="1"/>
  <c r="L86" i="8" s="1"/>
  <c r="N86" i="8" s="1"/>
  <c r="B94" i="9" s="1"/>
  <c r="E51" i="8"/>
  <c r="B65" i="4" s="1"/>
  <c r="L51" i="8" s="1"/>
  <c r="N51" i="8" s="1"/>
  <c r="B59" i="9" s="1"/>
  <c r="E99" i="8"/>
  <c r="B113" i="4" s="1"/>
  <c r="L99" i="8" s="1"/>
  <c r="N99" i="8" s="1"/>
  <c r="B107" i="9" s="1"/>
  <c r="E28" i="8"/>
  <c r="B42" i="4" s="1"/>
  <c r="L28" i="8" s="1"/>
  <c r="N28" i="8" s="1"/>
  <c r="B36" i="9" s="1"/>
  <c r="E64" i="8"/>
  <c r="B78" i="4" s="1"/>
  <c r="L64" i="8" s="1"/>
  <c r="N64" i="8" s="1"/>
  <c r="B72" i="9" s="1"/>
  <c r="E29" i="8"/>
  <c r="B43" i="4" s="1"/>
  <c r="L29" i="8" s="1"/>
  <c r="N29" i="8" s="1"/>
  <c r="B37" i="9" s="1"/>
  <c r="E80" i="8"/>
  <c r="B94" i="4" s="1"/>
  <c r="L80" i="8" s="1"/>
  <c r="N80" i="8" s="1"/>
  <c r="B88" i="9" s="1"/>
  <c r="E26" i="8"/>
  <c r="B40" i="4" s="1"/>
  <c r="L26" i="8" s="1"/>
  <c r="N26" i="8" s="1"/>
  <c r="B34" i="9" s="1"/>
  <c r="E74" i="8"/>
  <c r="B88" i="4" s="1"/>
  <c r="L74" i="8" s="1"/>
  <c r="N74" i="8" s="1"/>
  <c r="B82" i="9" s="1"/>
  <c r="E100" i="8"/>
  <c r="B114" i="4" s="1"/>
  <c r="L100" i="8" s="1"/>
  <c r="N100" i="8" s="1"/>
  <c r="B108" i="9" s="1"/>
  <c r="E5" i="8"/>
  <c r="B19" i="4" s="1"/>
  <c r="L5" i="8" s="1"/>
  <c r="N5" i="8" s="1"/>
  <c r="B13" i="9" s="1"/>
  <c r="E77" i="8"/>
  <c r="B91" i="4" s="1"/>
  <c r="L77" i="8" s="1"/>
  <c r="N77" i="8" s="1"/>
  <c r="B85" i="9" s="1"/>
  <c r="E44" i="8"/>
  <c r="B58" i="4" s="1"/>
  <c r="L44" i="8" s="1"/>
  <c r="N44" i="8" s="1"/>
  <c r="B52" i="9" s="1"/>
  <c r="E15" i="8"/>
  <c r="B29" i="4" s="1"/>
  <c r="L15" i="8" s="1"/>
  <c r="N15" i="8" s="1"/>
  <c r="B23" i="9" s="1"/>
  <c r="E27" i="8"/>
  <c r="B41" i="4" s="1"/>
  <c r="L27" i="8" s="1"/>
  <c r="N27" i="8" s="1"/>
  <c r="B35" i="9" s="1"/>
  <c r="E39" i="8"/>
  <c r="B53" i="4" s="1"/>
  <c r="L39" i="8" s="1"/>
  <c r="N39" i="8" s="1"/>
  <c r="B47" i="9" s="1"/>
  <c r="E75" i="8"/>
  <c r="B89" i="4" s="1"/>
  <c r="L75" i="8" s="1"/>
  <c r="N75" i="8" s="1"/>
  <c r="B83" i="9" s="1"/>
  <c r="E16" i="8"/>
  <c r="B30" i="4" s="1"/>
  <c r="L16" i="8" s="1"/>
  <c r="N16" i="8" s="1"/>
  <c r="B24" i="9" s="1"/>
  <c r="E52" i="8"/>
  <c r="B66" i="4" s="1"/>
  <c r="L52" i="8" s="1"/>
  <c r="N52" i="8" s="1"/>
  <c r="B60" i="9" s="1"/>
  <c r="E88" i="8"/>
  <c r="B102" i="4" s="1"/>
  <c r="L88" i="8" s="1"/>
  <c r="N88" i="8" s="1"/>
  <c r="B96" i="9" s="1"/>
  <c r="E65" i="8"/>
  <c r="B79" i="4" s="1"/>
  <c r="L65" i="8" s="1"/>
  <c r="N65" i="8" s="1"/>
  <c r="B73" i="9" s="1"/>
  <c r="E56" i="8"/>
  <c r="B70" i="4" s="1"/>
  <c r="L56" i="8" s="1"/>
  <c r="N56" i="8" s="1"/>
  <c r="B64" i="9" s="1"/>
  <c r="E40" i="8"/>
  <c r="B54" i="4" s="1"/>
  <c r="L40" i="8" s="1"/>
  <c r="N40" i="8" s="1"/>
  <c r="B48" i="9" s="1"/>
  <c r="E17" i="8"/>
  <c r="B31" i="4" s="1"/>
  <c r="L17" i="8" s="1"/>
  <c r="N17" i="8" s="1"/>
  <c r="B25" i="9" s="1"/>
  <c r="E53" i="8"/>
  <c r="B67" i="4" s="1"/>
  <c r="L53" i="8" s="1"/>
  <c r="N53" i="8" s="1"/>
  <c r="B61" i="9" s="1"/>
  <c r="E20" i="8"/>
  <c r="B34" i="4" s="1"/>
  <c r="L20" i="8" s="1"/>
  <c r="N20" i="8" s="1"/>
  <c r="B28" i="9" s="1"/>
  <c r="E18" i="8"/>
  <c r="B32" i="4" s="1"/>
  <c r="L18" i="8" s="1"/>
  <c r="N18" i="8" s="1"/>
  <c r="B26" i="9" s="1"/>
  <c r="E30" i="8"/>
  <c r="B44" i="4" s="1"/>
  <c r="L30" i="8" s="1"/>
  <c r="N30" i="8" s="1"/>
  <c r="B38" i="9" s="1"/>
  <c r="E42" i="8"/>
  <c r="B56" i="4" s="1"/>
  <c r="L42" i="8" s="1"/>
  <c r="N42" i="8" s="1"/>
  <c r="B50" i="9" s="1"/>
  <c r="E54" i="8"/>
  <c r="B68" i="4" s="1"/>
  <c r="L54" i="8" s="1"/>
  <c r="N54" i="8" s="1"/>
  <c r="B62" i="9" s="1"/>
  <c r="E66" i="8"/>
  <c r="B80" i="4" s="1"/>
  <c r="L66" i="8" s="1"/>
  <c r="N66" i="8" s="1"/>
  <c r="B74" i="9" s="1"/>
  <c r="E78" i="8"/>
  <c r="B92" i="4" s="1"/>
  <c r="L78" i="8" s="1"/>
  <c r="N78" i="8" s="1"/>
  <c r="B86" i="9" s="1"/>
  <c r="E90" i="8"/>
  <c r="B104" i="4" s="1"/>
  <c r="L90" i="8" s="1"/>
  <c r="N90" i="8" s="1"/>
  <c r="B98" i="9" s="1"/>
  <c r="E102" i="8"/>
  <c r="B116" i="4" s="1"/>
  <c r="L102" i="8" s="1"/>
  <c r="N102" i="8" s="1"/>
  <c r="B110" i="9" s="1"/>
  <c r="E32" i="8"/>
  <c r="B46" i="4" s="1"/>
  <c r="L32" i="8" s="1"/>
  <c r="N32" i="8" s="1"/>
  <c r="B40" i="9" s="1"/>
  <c r="E104" i="8"/>
  <c r="B118" i="4" s="1"/>
  <c r="L104" i="8" s="1"/>
  <c r="N104" i="8" s="1"/>
  <c r="B112" i="9" s="1"/>
  <c r="E19" i="8"/>
  <c r="B33" i="4" s="1"/>
  <c r="L19" i="8" s="1"/>
  <c r="N19" i="8" s="1"/>
  <c r="B27" i="9" s="1"/>
  <c r="E31" i="8"/>
  <c r="B45" i="4" s="1"/>
  <c r="L31" i="8" s="1"/>
  <c r="N31" i="8" s="1"/>
  <c r="B39" i="9" s="1"/>
  <c r="E43" i="8"/>
  <c r="B57" i="4" s="1"/>
  <c r="L43" i="8" s="1"/>
  <c r="N43" i="8" s="1"/>
  <c r="B51" i="9" s="1"/>
  <c r="E55" i="8"/>
  <c r="B69" i="4" s="1"/>
  <c r="L55" i="8" s="1"/>
  <c r="N55" i="8" s="1"/>
  <c r="B63" i="9" s="1"/>
  <c r="E67" i="8"/>
  <c r="B81" i="4" s="1"/>
  <c r="L67" i="8" s="1"/>
  <c r="N67" i="8" s="1"/>
  <c r="B75" i="9" s="1"/>
  <c r="E79" i="8"/>
  <c r="B93" i="4" s="1"/>
  <c r="L79" i="8" s="1"/>
  <c r="N79" i="8" s="1"/>
  <c r="B87" i="9" s="1"/>
  <c r="E91" i="8"/>
  <c r="B105" i="4" s="1"/>
  <c r="L91" i="8" s="1"/>
  <c r="N91" i="8" s="1"/>
  <c r="B99" i="9" s="1"/>
  <c r="E103" i="8"/>
  <c r="B117" i="4" s="1"/>
  <c r="L103" i="8" s="1"/>
  <c r="N103" i="8" s="1"/>
  <c r="B111" i="9" s="1"/>
  <c r="E92" i="8"/>
  <c r="B106" i="4" s="1"/>
  <c r="L92" i="8" s="1"/>
  <c r="N92" i="8" s="1"/>
  <c r="B100" i="9" s="1"/>
  <c r="D23" i="9"/>
  <c r="D22" i="9"/>
  <c r="D24" i="9"/>
  <c r="D27" i="9"/>
  <c r="D25" i="9"/>
  <c r="D26" i="9"/>
  <c r="C25" i="3"/>
  <c r="C23" i="3"/>
  <c r="C26" i="3"/>
  <c r="B38" i="11" s="1"/>
  <c r="D36" i="9"/>
  <c r="D85" i="9"/>
  <c r="D14" i="9"/>
  <c r="D74" i="9"/>
  <c r="D110" i="9"/>
  <c r="D15" i="9"/>
  <c r="D87" i="9"/>
  <c r="D16" i="9"/>
  <c r="D28" i="9"/>
  <c r="D40" i="9"/>
  <c r="D52" i="9"/>
  <c r="D64" i="9"/>
  <c r="D76" i="9"/>
  <c r="D88" i="9"/>
  <c r="D100" i="9"/>
  <c r="D13" i="9"/>
  <c r="D17" i="9"/>
  <c r="D29" i="9"/>
  <c r="D41" i="9"/>
  <c r="D53" i="9"/>
  <c r="D65" i="9"/>
  <c r="D77" i="9"/>
  <c r="D89" i="9"/>
  <c r="D101" i="9"/>
  <c r="D56" i="9"/>
  <c r="D92" i="9"/>
  <c r="D45" i="9"/>
  <c r="D81" i="9"/>
  <c r="D63" i="9"/>
  <c r="D18" i="9"/>
  <c r="D30" i="9"/>
  <c r="D42" i="9"/>
  <c r="D54" i="9"/>
  <c r="D66" i="9"/>
  <c r="D78" i="9"/>
  <c r="D90" i="9"/>
  <c r="D102" i="9"/>
  <c r="D19" i="9"/>
  <c r="D43" i="9"/>
  <c r="D55" i="9"/>
  <c r="D67" i="9"/>
  <c r="D79" i="9"/>
  <c r="D91" i="9"/>
  <c r="D103" i="9"/>
  <c r="D20" i="9"/>
  <c r="D44" i="9"/>
  <c r="D68" i="9"/>
  <c r="D80" i="9"/>
  <c r="D21" i="9"/>
  <c r="D57" i="9"/>
  <c r="D93" i="9"/>
  <c r="D112" i="9"/>
  <c r="D39" i="9"/>
  <c r="D99" i="9"/>
  <c r="D31" i="9"/>
  <c r="D32" i="9"/>
  <c r="D104" i="9"/>
  <c r="D33" i="9"/>
  <c r="D69" i="9"/>
  <c r="D105" i="9"/>
  <c r="D75" i="9"/>
  <c r="D34" i="9"/>
  <c r="D46" i="9"/>
  <c r="D58" i="9"/>
  <c r="D70" i="9"/>
  <c r="D82" i="9"/>
  <c r="D94" i="9"/>
  <c r="D106" i="9"/>
  <c r="D73" i="9"/>
  <c r="D50" i="9"/>
  <c r="D86" i="9"/>
  <c r="D51" i="9"/>
  <c r="D35" i="9"/>
  <c r="D47" i="9"/>
  <c r="D59" i="9"/>
  <c r="D71" i="9"/>
  <c r="D83" i="9"/>
  <c r="D95" i="9"/>
  <c r="D107" i="9"/>
  <c r="D48" i="9"/>
  <c r="D60" i="9"/>
  <c r="D72" i="9"/>
  <c r="D84" i="9"/>
  <c r="D96" i="9"/>
  <c r="D108" i="9"/>
  <c r="D37" i="9"/>
  <c r="D49" i="9"/>
  <c r="D61" i="9"/>
  <c r="D97" i="9"/>
  <c r="D109" i="9"/>
  <c r="D38" i="9"/>
  <c r="D62" i="9"/>
  <c r="D98" i="9"/>
  <c r="D111" i="9"/>
  <c r="G7" i="2"/>
  <c r="G9" i="2" s="1"/>
  <c r="C22" i="3"/>
  <c r="C9" i="2"/>
  <c r="C7" i="2"/>
  <c r="K5" i="11" l="1"/>
  <c r="B28" i="11"/>
  <c r="M23" i="9"/>
  <c r="I23" i="9"/>
  <c r="Y23" i="9"/>
  <c r="U23" i="9"/>
  <c r="E23" i="9"/>
  <c r="Q23" i="9"/>
  <c r="Q27" i="9"/>
  <c r="I27" i="9"/>
  <c r="Y27" i="9"/>
  <c r="M27" i="9"/>
  <c r="E27" i="9"/>
  <c r="U27" i="9"/>
  <c r="E61" i="9"/>
  <c r="I61" i="9"/>
  <c r="Q61" i="9"/>
  <c r="Y61" i="9"/>
  <c r="U61" i="9"/>
  <c r="M61" i="9"/>
  <c r="E52" i="9"/>
  <c r="Y52" i="9"/>
  <c r="U52" i="9"/>
  <c r="M52" i="9"/>
  <c r="I52" i="9"/>
  <c r="Q52" i="9"/>
  <c r="E94" i="9"/>
  <c r="M94" i="9"/>
  <c r="I94" i="9"/>
  <c r="Q94" i="9"/>
  <c r="Y94" i="9"/>
  <c r="U94" i="9"/>
  <c r="Q104" i="9"/>
  <c r="I104" i="9"/>
  <c r="E104" i="9"/>
  <c r="M104" i="9"/>
  <c r="Y104" i="9"/>
  <c r="U104" i="9"/>
  <c r="I106" i="9"/>
  <c r="Y106" i="9"/>
  <c r="U106" i="9"/>
  <c r="M106" i="9"/>
  <c r="Q106" i="9"/>
  <c r="E106" i="9"/>
  <c r="E31" i="9"/>
  <c r="U31" i="9"/>
  <c r="M31" i="9"/>
  <c r="I31" i="9"/>
  <c r="Q31" i="9"/>
  <c r="Y31" i="9"/>
  <c r="I14" i="9"/>
  <c r="Q14" i="9"/>
  <c r="U14" i="9"/>
  <c r="M14" i="9"/>
  <c r="E14" i="9"/>
  <c r="Y14" i="9"/>
  <c r="Y47" i="9"/>
  <c r="E47" i="9"/>
  <c r="Q47" i="9"/>
  <c r="I47" i="9"/>
  <c r="M47" i="9"/>
  <c r="U47" i="9"/>
  <c r="E107" i="9"/>
  <c r="Y107" i="9"/>
  <c r="M107" i="9"/>
  <c r="U107" i="9"/>
  <c r="I107" i="9"/>
  <c r="Q107" i="9"/>
  <c r="Q59" i="9"/>
  <c r="E59" i="9"/>
  <c r="I59" i="9"/>
  <c r="Y59" i="9"/>
  <c r="M59" i="9"/>
  <c r="U59" i="9"/>
  <c r="E112" i="9"/>
  <c r="Y112" i="9"/>
  <c r="M112" i="9"/>
  <c r="I112" i="9"/>
  <c r="U112" i="9"/>
  <c r="U25" i="9"/>
  <c r="Q25" i="9"/>
  <c r="Y25" i="9"/>
  <c r="I25" i="9"/>
  <c r="M25" i="9"/>
  <c r="E25" i="9"/>
  <c r="I85" i="9"/>
  <c r="U85" i="9"/>
  <c r="Y85" i="9"/>
  <c r="M85" i="9"/>
  <c r="E85" i="9"/>
  <c r="Q85" i="9"/>
  <c r="Y58" i="9"/>
  <c r="U58" i="9"/>
  <c r="E58" i="9"/>
  <c r="M58" i="9"/>
  <c r="Q58" i="9"/>
  <c r="I58" i="9"/>
  <c r="E92" i="9"/>
  <c r="U92" i="9"/>
  <c r="M92" i="9"/>
  <c r="Q92" i="9"/>
  <c r="I92" i="9"/>
  <c r="Y92" i="9"/>
  <c r="E46" i="9"/>
  <c r="U46" i="9"/>
  <c r="Q46" i="9"/>
  <c r="I46" i="9"/>
  <c r="Y46" i="9"/>
  <c r="M46" i="9"/>
  <c r="E19" i="9"/>
  <c r="Y19" i="9"/>
  <c r="I19" i="9"/>
  <c r="M19" i="9"/>
  <c r="Q19" i="9"/>
  <c r="U19" i="9"/>
  <c r="U101" i="9"/>
  <c r="Q101" i="9"/>
  <c r="E101" i="9"/>
  <c r="I101" i="9"/>
  <c r="M101" i="9"/>
  <c r="Y101" i="9"/>
  <c r="E63" i="9"/>
  <c r="U63" i="9"/>
  <c r="Q63" i="9"/>
  <c r="M63" i="9"/>
  <c r="I63" i="9"/>
  <c r="Y63" i="9"/>
  <c r="E67" i="9"/>
  <c r="Q67" i="9"/>
  <c r="U67" i="9"/>
  <c r="M67" i="9"/>
  <c r="I67" i="9"/>
  <c r="Y67" i="9"/>
  <c r="E30" i="9"/>
  <c r="Y30" i="9"/>
  <c r="Q30" i="9"/>
  <c r="U30" i="9"/>
  <c r="M30" i="9"/>
  <c r="I30" i="9"/>
  <c r="E39" i="9"/>
  <c r="M39" i="9"/>
  <c r="Y39" i="9"/>
  <c r="Q39" i="9"/>
  <c r="U39" i="9"/>
  <c r="I39" i="9"/>
  <c r="E17" i="9"/>
  <c r="I17" i="9"/>
  <c r="Q17" i="9"/>
  <c r="Y17" i="9"/>
  <c r="M17" i="9"/>
  <c r="U17" i="9"/>
  <c r="E40" i="9"/>
  <c r="I40" i="9"/>
  <c r="Q40" i="9"/>
  <c r="M40" i="9"/>
  <c r="Y40" i="9"/>
  <c r="U40" i="9"/>
  <c r="E48" i="9"/>
  <c r="U48" i="9"/>
  <c r="Q48" i="9"/>
  <c r="I48" i="9"/>
  <c r="Y48" i="9"/>
  <c r="M48" i="9"/>
  <c r="I13" i="9"/>
  <c r="Y13" i="9"/>
  <c r="M13" i="9"/>
  <c r="U13" i="9"/>
  <c r="E13" i="9"/>
  <c r="Q13" i="9"/>
  <c r="M69" i="9"/>
  <c r="U69" i="9"/>
  <c r="I69" i="9"/>
  <c r="Q69" i="9"/>
  <c r="Y69" i="9"/>
  <c r="E69" i="9"/>
  <c r="Y80" i="9"/>
  <c r="U80" i="9"/>
  <c r="Q80" i="9"/>
  <c r="I80" i="9"/>
  <c r="M80" i="9"/>
  <c r="E80" i="9"/>
  <c r="E105" i="9"/>
  <c r="Q105" i="9"/>
  <c r="M105" i="9"/>
  <c r="I105" i="9"/>
  <c r="U105" i="9"/>
  <c r="Y105" i="9"/>
  <c r="E54" i="9"/>
  <c r="U54" i="9"/>
  <c r="Q54" i="9"/>
  <c r="I54" i="9"/>
  <c r="Y54" i="9"/>
  <c r="M54" i="9"/>
  <c r="E89" i="9"/>
  <c r="Y89" i="9"/>
  <c r="I89" i="9"/>
  <c r="U89" i="9"/>
  <c r="Q89" i="9"/>
  <c r="M89" i="9"/>
  <c r="Q38" i="9"/>
  <c r="E38" i="9"/>
  <c r="M38" i="9"/>
  <c r="U38" i="9"/>
  <c r="Y38" i="9"/>
  <c r="I38" i="9"/>
  <c r="E57" i="9"/>
  <c r="Y57" i="9"/>
  <c r="I57" i="9"/>
  <c r="U57" i="9"/>
  <c r="M57" i="9"/>
  <c r="Q57" i="9"/>
  <c r="E51" i="9"/>
  <c r="M51" i="9"/>
  <c r="Y51" i="9"/>
  <c r="Q51" i="9"/>
  <c r="U51" i="9"/>
  <c r="I51" i="9"/>
  <c r="U55" i="9"/>
  <c r="M55" i="9"/>
  <c r="Q55" i="9"/>
  <c r="E55" i="9"/>
  <c r="I55" i="9"/>
  <c r="Y55" i="9"/>
  <c r="E28" i="9"/>
  <c r="M28" i="9"/>
  <c r="U28" i="9"/>
  <c r="I28" i="9"/>
  <c r="Q28" i="9"/>
  <c r="Y28" i="9"/>
  <c r="E71" i="9"/>
  <c r="U71" i="9"/>
  <c r="I71" i="9"/>
  <c r="Q71" i="9"/>
  <c r="Y71" i="9"/>
  <c r="M71" i="9"/>
  <c r="E110" i="9"/>
  <c r="Q110" i="9"/>
  <c r="M110" i="9"/>
  <c r="Y110" i="9"/>
  <c r="U110" i="9"/>
  <c r="I110" i="9"/>
  <c r="Q64" i="9"/>
  <c r="E64" i="9"/>
  <c r="M64" i="9"/>
  <c r="Y64" i="9"/>
  <c r="U64" i="9"/>
  <c r="I64" i="9"/>
  <c r="M108" i="9"/>
  <c r="I108" i="9"/>
  <c r="Y108" i="9"/>
  <c r="U108" i="9"/>
  <c r="E108" i="9"/>
  <c r="Q108" i="9"/>
  <c r="E33" i="9"/>
  <c r="Y33" i="9"/>
  <c r="Q33" i="9"/>
  <c r="M33" i="9"/>
  <c r="I33" i="9"/>
  <c r="U33" i="9"/>
  <c r="E68" i="9"/>
  <c r="M68" i="9"/>
  <c r="Y68" i="9"/>
  <c r="U68" i="9"/>
  <c r="Q68" i="9"/>
  <c r="I68" i="9"/>
  <c r="E81" i="9"/>
  <c r="U81" i="9"/>
  <c r="Y81" i="9"/>
  <c r="M81" i="9"/>
  <c r="I81" i="9"/>
  <c r="Q81" i="9"/>
  <c r="Y76" i="9"/>
  <c r="Q76" i="9"/>
  <c r="U76" i="9"/>
  <c r="M76" i="9"/>
  <c r="I76" i="9"/>
  <c r="E76" i="9"/>
  <c r="Y77" i="9"/>
  <c r="U77" i="9"/>
  <c r="E77" i="9"/>
  <c r="Q77" i="9"/>
  <c r="M77" i="9"/>
  <c r="I77" i="9"/>
  <c r="E42" i="9"/>
  <c r="M42" i="9"/>
  <c r="U42" i="9"/>
  <c r="Y42" i="9"/>
  <c r="Q42" i="9"/>
  <c r="I42" i="9"/>
  <c r="I26" i="9"/>
  <c r="M26" i="9"/>
  <c r="U26" i="9"/>
  <c r="Y26" i="9"/>
  <c r="Q26" i="9"/>
  <c r="E26" i="9"/>
  <c r="Q84" i="9"/>
  <c r="E84" i="9"/>
  <c r="M84" i="9"/>
  <c r="U84" i="9"/>
  <c r="I84" i="9"/>
  <c r="Y84" i="9"/>
  <c r="U18" i="9"/>
  <c r="Q18" i="9"/>
  <c r="I18" i="9"/>
  <c r="E18" i="9"/>
  <c r="M18" i="9"/>
  <c r="Y18" i="9"/>
  <c r="Y100" i="9"/>
  <c r="E100" i="9"/>
  <c r="U100" i="9"/>
  <c r="M100" i="9"/>
  <c r="I100" i="9"/>
  <c r="Q100" i="9"/>
  <c r="Q98" i="9"/>
  <c r="E98" i="9"/>
  <c r="Y98" i="9"/>
  <c r="U98" i="9"/>
  <c r="M98" i="9"/>
  <c r="I98" i="9"/>
  <c r="E73" i="9"/>
  <c r="Y73" i="9"/>
  <c r="U73" i="9"/>
  <c r="I73" i="9"/>
  <c r="M73" i="9"/>
  <c r="Q73" i="9"/>
  <c r="E82" i="9"/>
  <c r="M82" i="9"/>
  <c r="I82" i="9"/>
  <c r="Y82" i="9"/>
  <c r="Q82" i="9"/>
  <c r="U82" i="9"/>
  <c r="E97" i="9"/>
  <c r="Y97" i="9"/>
  <c r="U97" i="9"/>
  <c r="Q97" i="9"/>
  <c r="M97" i="9"/>
  <c r="I97" i="9"/>
  <c r="M56" i="9"/>
  <c r="Q56" i="9"/>
  <c r="E56" i="9"/>
  <c r="I56" i="9"/>
  <c r="Y56" i="9"/>
  <c r="U56" i="9"/>
  <c r="E45" i="9"/>
  <c r="U45" i="9"/>
  <c r="I45" i="9"/>
  <c r="Q45" i="9"/>
  <c r="Y45" i="9"/>
  <c r="M45" i="9"/>
  <c r="M15" i="9"/>
  <c r="E15" i="9"/>
  <c r="Q15" i="9"/>
  <c r="I15" i="9"/>
  <c r="U15" i="9"/>
  <c r="Y15" i="9"/>
  <c r="E65" i="9"/>
  <c r="I65" i="9"/>
  <c r="Y65" i="9"/>
  <c r="U65" i="9"/>
  <c r="Q65" i="9"/>
  <c r="M65" i="9"/>
  <c r="E49" i="9"/>
  <c r="Y49" i="9"/>
  <c r="I49" i="9"/>
  <c r="M49" i="9"/>
  <c r="U49" i="9"/>
  <c r="Q49" i="9"/>
  <c r="Q35" i="9"/>
  <c r="I35" i="9"/>
  <c r="Y35" i="9"/>
  <c r="E35" i="9"/>
  <c r="U35" i="9"/>
  <c r="M35" i="9"/>
  <c r="E21" i="9"/>
  <c r="U21" i="9"/>
  <c r="I21" i="9"/>
  <c r="Q21" i="9"/>
  <c r="Y21" i="9"/>
  <c r="M21" i="9"/>
  <c r="E43" i="9"/>
  <c r="M43" i="9"/>
  <c r="Q43" i="9"/>
  <c r="Y43" i="9"/>
  <c r="I43" i="9"/>
  <c r="U43" i="9"/>
  <c r="E111" i="9"/>
  <c r="U111" i="9"/>
  <c r="M111" i="9"/>
  <c r="I111" i="9"/>
  <c r="Y111" i="9"/>
  <c r="Q111" i="9"/>
  <c r="E86" i="9"/>
  <c r="I86" i="9"/>
  <c r="U86" i="9"/>
  <c r="M86" i="9"/>
  <c r="Q86" i="9"/>
  <c r="Y86" i="9"/>
  <c r="E96" i="9"/>
  <c r="U96" i="9"/>
  <c r="M96" i="9"/>
  <c r="I96" i="9"/>
  <c r="Y96" i="9"/>
  <c r="Q96" i="9"/>
  <c r="E34" i="9"/>
  <c r="U34" i="9"/>
  <c r="M34" i="9"/>
  <c r="I34" i="9"/>
  <c r="Y34" i="9"/>
  <c r="Q34" i="9"/>
  <c r="E95" i="9"/>
  <c r="U95" i="9"/>
  <c r="Q95" i="9"/>
  <c r="M95" i="9"/>
  <c r="I95" i="9"/>
  <c r="Y95" i="9"/>
  <c r="E44" i="9"/>
  <c r="M44" i="9"/>
  <c r="Y44" i="9"/>
  <c r="Q44" i="9"/>
  <c r="U44" i="9"/>
  <c r="I44" i="9"/>
  <c r="E16" i="9"/>
  <c r="M16" i="9"/>
  <c r="I16" i="9"/>
  <c r="Q16" i="9"/>
  <c r="U16" i="9"/>
  <c r="Y16" i="9"/>
  <c r="E102" i="9"/>
  <c r="Y102" i="9"/>
  <c r="U102" i="9"/>
  <c r="Q102" i="9"/>
  <c r="I102" i="9"/>
  <c r="M102" i="9"/>
  <c r="U53" i="9"/>
  <c r="Q53" i="9"/>
  <c r="M53" i="9"/>
  <c r="Y53" i="9"/>
  <c r="I53" i="9"/>
  <c r="E53" i="9"/>
  <c r="E36" i="9"/>
  <c r="I36" i="9"/>
  <c r="Y36" i="9"/>
  <c r="U36" i="9"/>
  <c r="Q36" i="9"/>
  <c r="M36" i="9"/>
  <c r="E99" i="9"/>
  <c r="Q99" i="9"/>
  <c r="I99" i="9"/>
  <c r="M99" i="9"/>
  <c r="Y99" i="9"/>
  <c r="U99" i="9"/>
  <c r="E74" i="9"/>
  <c r="Y74" i="9"/>
  <c r="U74" i="9"/>
  <c r="I74" i="9"/>
  <c r="M74" i="9"/>
  <c r="Q74" i="9"/>
  <c r="E60" i="9"/>
  <c r="Q60" i="9"/>
  <c r="M60" i="9"/>
  <c r="I60" i="9"/>
  <c r="Y60" i="9"/>
  <c r="U60" i="9"/>
  <c r="E88" i="9"/>
  <c r="Q88" i="9"/>
  <c r="I88" i="9"/>
  <c r="Y88" i="9"/>
  <c r="U88" i="9"/>
  <c r="M88" i="9"/>
  <c r="E70" i="9"/>
  <c r="M70" i="9"/>
  <c r="Q70" i="9"/>
  <c r="I70" i="9"/>
  <c r="Y70" i="9"/>
  <c r="U70" i="9"/>
  <c r="E32" i="9"/>
  <c r="Y32" i="9"/>
  <c r="U32" i="9"/>
  <c r="M32" i="9"/>
  <c r="I32" i="9"/>
  <c r="Q32" i="9"/>
  <c r="I103" i="9"/>
  <c r="Y103" i="9"/>
  <c r="U103" i="9"/>
  <c r="M103" i="9"/>
  <c r="E103" i="9"/>
  <c r="Q103" i="9"/>
  <c r="E90" i="9"/>
  <c r="M90" i="9"/>
  <c r="Y90" i="9"/>
  <c r="Q90" i="9"/>
  <c r="U90" i="9"/>
  <c r="I90" i="9"/>
  <c r="E41" i="9"/>
  <c r="Y41" i="9"/>
  <c r="Q41" i="9"/>
  <c r="M41" i="9"/>
  <c r="I41" i="9"/>
  <c r="U41" i="9"/>
  <c r="E87" i="9"/>
  <c r="I87" i="9"/>
  <c r="Q87" i="9"/>
  <c r="M87" i="9"/>
  <c r="U87" i="9"/>
  <c r="Y87" i="9"/>
  <c r="Y22" i="9"/>
  <c r="U22" i="9"/>
  <c r="M22" i="9"/>
  <c r="Q22" i="9"/>
  <c r="I22" i="9"/>
  <c r="E22" i="9"/>
  <c r="E62" i="9"/>
  <c r="M62" i="9"/>
  <c r="I62" i="9"/>
  <c r="U62" i="9"/>
  <c r="Q62" i="9"/>
  <c r="Y62" i="9"/>
  <c r="U24" i="9"/>
  <c r="Q24" i="9"/>
  <c r="I24" i="9"/>
  <c r="E24" i="9"/>
  <c r="Y24" i="9"/>
  <c r="M24" i="9"/>
  <c r="E37" i="9"/>
  <c r="Q37" i="9"/>
  <c r="I37" i="9"/>
  <c r="U37" i="9"/>
  <c r="M37" i="9"/>
  <c r="Y37" i="9"/>
  <c r="E20" i="9"/>
  <c r="Y20" i="9"/>
  <c r="U20" i="9"/>
  <c r="Q20" i="9"/>
  <c r="I20" i="9"/>
  <c r="M20" i="9"/>
  <c r="E91" i="9"/>
  <c r="Q91" i="9"/>
  <c r="I91" i="9"/>
  <c r="Y91" i="9"/>
  <c r="U91" i="9"/>
  <c r="M91" i="9"/>
  <c r="E78" i="9"/>
  <c r="Q78" i="9"/>
  <c r="M78" i="9"/>
  <c r="I78" i="9"/>
  <c r="Y78" i="9"/>
  <c r="U78" i="9"/>
  <c r="E29" i="9"/>
  <c r="Q29" i="9"/>
  <c r="M29" i="9"/>
  <c r="I29" i="9"/>
  <c r="Y29" i="9"/>
  <c r="U29" i="9"/>
  <c r="E75" i="9"/>
  <c r="U75" i="9"/>
  <c r="Q75" i="9"/>
  <c r="Y75" i="9"/>
  <c r="I75" i="9"/>
  <c r="M75" i="9"/>
  <c r="E50" i="9"/>
  <c r="M50" i="9"/>
  <c r="Y50" i="9"/>
  <c r="U50" i="9"/>
  <c r="I50" i="9"/>
  <c r="Q50" i="9"/>
  <c r="E83" i="9"/>
  <c r="M83" i="9"/>
  <c r="Y83" i="9"/>
  <c r="U83" i="9"/>
  <c r="I83" i="9"/>
  <c r="Q83" i="9"/>
  <c r="I72" i="9"/>
  <c r="Y72" i="9"/>
  <c r="U72" i="9"/>
  <c r="Q72" i="9"/>
  <c r="M72" i="9"/>
  <c r="E72" i="9"/>
  <c r="E93" i="9"/>
  <c r="I93" i="9"/>
  <c r="Q93" i="9"/>
  <c r="M93" i="9"/>
  <c r="Y93" i="9"/>
  <c r="U93" i="9"/>
  <c r="E109" i="9"/>
  <c r="U109" i="9"/>
  <c r="Q109" i="9"/>
  <c r="I109" i="9"/>
  <c r="Y109" i="9"/>
  <c r="M109" i="9"/>
  <c r="E79" i="9"/>
  <c r="U79" i="9"/>
  <c r="M79" i="9"/>
  <c r="Q79" i="9"/>
  <c r="I79" i="9"/>
  <c r="Y79" i="9"/>
  <c r="M66" i="9"/>
  <c r="Y66" i="9"/>
  <c r="E66" i="9"/>
  <c r="U66" i="9"/>
  <c r="Q66" i="9"/>
  <c r="I66" i="9"/>
  <c r="G10" i="2"/>
  <c r="C10" i="2"/>
  <c r="C119" i="9" s="1"/>
  <c r="S115" i="9" l="1"/>
  <c r="H7" i="10" s="1"/>
  <c r="H9" i="10" s="1"/>
  <c r="W115" i="9"/>
  <c r="I7" i="10" s="1"/>
  <c r="I9" i="10" s="1"/>
  <c r="O115" i="9"/>
  <c r="G7" i="10" s="1"/>
  <c r="G9" i="10" s="1"/>
  <c r="G115" i="9"/>
  <c r="E7" i="10" s="1"/>
  <c r="E9" i="10" s="1"/>
  <c r="C115" i="9"/>
  <c r="K115" i="9"/>
  <c r="F7" i="10" s="1"/>
  <c r="F9" i="10" s="1"/>
  <c r="I5" i="11"/>
  <c r="S130" i="9"/>
  <c r="K130" i="9"/>
  <c r="W130" i="9"/>
  <c r="K119" i="9"/>
  <c r="G119" i="9"/>
  <c r="C130" i="9"/>
  <c r="O119" i="9"/>
  <c r="O130" i="9"/>
  <c r="G130" i="9"/>
  <c r="S119" i="9"/>
  <c r="W119" i="9"/>
  <c r="J10" i="11"/>
  <c r="J39" i="11" s="1"/>
  <c r="K10" i="11"/>
  <c r="K39" i="11" s="1"/>
  <c r="C123" i="9" l="1"/>
  <c r="C124" i="9" s="1"/>
  <c r="C120" i="9"/>
  <c r="C121" i="9" s="1"/>
  <c r="C122" i="9" s="1"/>
  <c r="G120" i="9"/>
  <c r="C125" i="4" s="1"/>
  <c r="J7" i="12" s="1"/>
  <c r="G131" i="9"/>
  <c r="G132" i="9" s="1"/>
  <c r="G133" i="9" s="1"/>
  <c r="K120" i="9"/>
  <c r="C126" i="4" s="1"/>
  <c r="J8" i="12" s="1"/>
  <c r="J17" i="12" s="1"/>
  <c r="O120" i="9"/>
  <c r="O121" i="9" s="1"/>
  <c r="O122" i="9" s="1"/>
  <c r="K131" i="9"/>
  <c r="K132" i="9" s="1"/>
  <c r="K133" i="9" s="1"/>
  <c r="O131" i="9"/>
  <c r="O132" i="9" s="1"/>
  <c r="O133" i="9" s="1"/>
  <c r="C131" i="9"/>
  <c r="C132" i="9" s="1"/>
  <c r="C133" i="9" s="1"/>
  <c r="W134" i="9"/>
  <c r="W135" i="9" s="1"/>
  <c r="B129" i="4"/>
  <c r="W123" i="9"/>
  <c r="W124" i="9" s="1"/>
  <c r="S131" i="9"/>
  <c r="D128" i="4" s="1"/>
  <c r="K10" i="12" s="1"/>
  <c r="B128" i="4"/>
  <c r="I10" i="12" s="1"/>
  <c r="S134" i="9"/>
  <c r="S135" i="9" s="1"/>
  <c r="S123" i="9"/>
  <c r="S124" i="9" s="1"/>
  <c r="W120" i="9"/>
  <c r="C129" i="4" s="1"/>
  <c r="J11" i="12" s="1"/>
  <c r="W131" i="9"/>
  <c r="D129" i="4" s="1"/>
  <c r="K11" i="12" s="1"/>
  <c r="S120" i="9"/>
  <c r="S121" i="9" s="1"/>
  <c r="S122" i="9" s="1"/>
  <c r="B126" i="4"/>
  <c r="I8" i="12" s="1"/>
  <c r="K134" i="9"/>
  <c r="K135" i="9" s="1"/>
  <c r="K123" i="9"/>
  <c r="K124" i="9" s="1"/>
  <c r="B124" i="4"/>
  <c r="I6" i="12" s="1"/>
  <c r="C134" i="9"/>
  <c r="C135" i="9" s="1"/>
  <c r="B125" i="4"/>
  <c r="I7" i="12" s="1"/>
  <c r="G123" i="9"/>
  <c r="G124" i="9" s="1"/>
  <c r="G134" i="9"/>
  <c r="G135" i="9" s="1"/>
  <c r="D7" i="10"/>
  <c r="D9" i="10" s="1"/>
  <c r="B127" i="4"/>
  <c r="O134" i="9"/>
  <c r="O135" i="9" s="1"/>
  <c r="O123" i="9"/>
  <c r="O124" i="9" s="1"/>
  <c r="K45" i="11"/>
  <c r="K29" i="11"/>
  <c r="K14" i="11"/>
  <c r="J29" i="11"/>
  <c r="J45" i="11"/>
  <c r="J14" i="11"/>
  <c r="E10" i="11"/>
  <c r="E39" i="11" s="1"/>
  <c r="C11" i="11"/>
  <c r="F10" i="11"/>
  <c r="F39" i="11" s="1"/>
  <c r="G10" i="11"/>
  <c r="G39" i="11" s="1"/>
  <c r="H10" i="11"/>
  <c r="H39" i="11" s="1"/>
  <c r="I10" i="11"/>
  <c r="I39" i="11" s="1"/>
  <c r="D10" i="11"/>
  <c r="D39" i="11" s="1"/>
  <c r="C10" i="11"/>
  <c r="C39" i="11" s="1"/>
  <c r="J16" i="12" l="1"/>
  <c r="H7" i="11"/>
  <c r="I11" i="12"/>
  <c r="F7" i="11"/>
  <c r="I9" i="12"/>
  <c r="G7" i="11"/>
  <c r="C128" i="4"/>
  <c r="J10" i="12" s="1"/>
  <c r="W132" i="9"/>
  <c r="W133" i="9" s="1"/>
  <c r="D126" i="4"/>
  <c r="K8" i="12" s="1"/>
  <c r="K17" i="12" s="1"/>
  <c r="G121" i="9"/>
  <c r="G122" i="9" s="1"/>
  <c r="D125" i="4"/>
  <c r="K7" i="12" s="1"/>
  <c r="K16" i="12" s="1"/>
  <c r="K121" i="9"/>
  <c r="K122" i="9" s="1"/>
  <c r="S132" i="9"/>
  <c r="S133" i="9" s="1"/>
  <c r="D127" i="4"/>
  <c r="C127" i="4"/>
  <c r="C124" i="4"/>
  <c r="J6" i="12" s="1"/>
  <c r="J15" i="12" s="1"/>
  <c r="G136" i="9"/>
  <c r="G137" i="9" s="1"/>
  <c r="E10" i="10" s="1"/>
  <c r="C136" i="9"/>
  <c r="C137" i="9" s="1"/>
  <c r="D10" i="10" s="1"/>
  <c r="K136" i="9"/>
  <c r="K137" i="9" s="1"/>
  <c r="F10" i="10" s="1"/>
  <c r="W121" i="9"/>
  <c r="W122" i="9" s="1"/>
  <c r="D7" i="11"/>
  <c r="J7" i="11"/>
  <c r="D124" i="4"/>
  <c r="K7" i="11"/>
  <c r="E7" i="11"/>
  <c r="I7" i="11"/>
  <c r="C7" i="11"/>
  <c r="S125" i="9"/>
  <c r="S126" i="9" s="1"/>
  <c r="E14" i="11"/>
  <c r="E45" i="11"/>
  <c r="E29" i="11"/>
  <c r="F29" i="11"/>
  <c r="F45" i="11"/>
  <c r="F14" i="11"/>
  <c r="O136" i="9"/>
  <c r="O137" i="9" s="1"/>
  <c r="G10" i="10" s="1"/>
  <c r="C12" i="11"/>
  <c r="D11" i="11"/>
  <c r="O125" i="9"/>
  <c r="O126" i="9" s="1"/>
  <c r="D45" i="11"/>
  <c r="D14" i="11"/>
  <c r="D29" i="11"/>
  <c r="C29" i="11"/>
  <c r="C14" i="11"/>
  <c r="C45" i="11"/>
  <c r="H14" i="11"/>
  <c r="H45" i="11"/>
  <c r="H29" i="11"/>
  <c r="I14" i="11"/>
  <c r="I45" i="11"/>
  <c r="I29" i="11"/>
  <c r="G29" i="11"/>
  <c r="G45" i="11"/>
  <c r="G14" i="11"/>
  <c r="F8" i="11" l="1"/>
  <c r="F25" i="11" s="1"/>
  <c r="J9" i="12"/>
  <c r="J18" i="12" s="1"/>
  <c r="C9" i="11"/>
  <c r="C35" i="11" s="1"/>
  <c r="C38" i="11" s="1"/>
  <c r="C40" i="11" s="1"/>
  <c r="K6" i="12"/>
  <c r="K15" i="12" s="1"/>
  <c r="F9" i="11"/>
  <c r="F35" i="11" s="1"/>
  <c r="K9" i="12"/>
  <c r="K18" i="12" s="1"/>
  <c r="I8" i="11"/>
  <c r="I25" i="11" s="1"/>
  <c r="K8" i="11"/>
  <c r="J9" i="11"/>
  <c r="K9" i="11"/>
  <c r="G9" i="11"/>
  <c r="G35" i="11" s="1"/>
  <c r="E8" i="11"/>
  <c r="E25" i="11" s="1"/>
  <c r="J8" i="11"/>
  <c r="D8" i="11"/>
  <c r="D25" i="11" s="1"/>
  <c r="G8" i="11"/>
  <c r="G25" i="11" s="1"/>
  <c r="H8" i="11"/>
  <c r="H25" i="11" s="1"/>
  <c r="H9" i="11"/>
  <c r="H35" i="11" s="1"/>
  <c r="J35" i="11"/>
  <c r="J25" i="11"/>
  <c r="K35" i="11"/>
  <c r="K25" i="11"/>
  <c r="D9" i="11"/>
  <c r="D35" i="11" s="1"/>
  <c r="S136" i="9"/>
  <c r="S137" i="9" s="1"/>
  <c r="H10" i="10" s="1"/>
  <c r="W136" i="9"/>
  <c r="W137" i="9" s="1"/>
  <c r="I10" i="10" s="1"/>
  <c r="I9" i="11"/>
  <c r="I35" i="11" s="1"/>
  <c r="K125" i="9"/>
  <c r="K126" i="9" s="1"/>
  <c r="E9" i="11"/>
  <c r="E35" i="11" s="1"/>
  <c r="G125" i="9"/>
  <c r="G126" i="9" s="1"/>
  <c r="C125" i="9"/>
  <c r="C126" i="9" s="1"/>
  <c r="C8" i="11"/>
  <c r="W125" i="9"/>
  <c r="W126" i="9" s="1"/>
  <c r="E11" i="11"/>
  <c r="D12" i="11"/>
  <c r="D38" i="11" l="1"/>
  <c r="E38" i="11" s="1"/>
  <c r="C25" i="11"/>
  <c r="C28" i="11" s="1"/>
  <c r="C41" i="11"/>
  <c r="C36" i="11"/>
  <c r="C37" i="11" s="1"/>
  <c r="C49" i="11"/>
  <c r="C18" i="11"/>
  <c r="F11" i="11"/>
  <c r="E12" i="11"/>
  <c r="D40" i="11" l="1"/>
  <c r="D41" i="11" s="1"/>
  <c r="D28" i="11"/>
  <c r="C30" i="11"/>
  <c r="C16" i="11" s="1"/>
  <c r="F38" i="11"/>
  <c r="E40" i="11"/>
  <c r="G11" i="11"/>
  <c r="F12" i="11"/>
  <c r="C48" i="11"/>
  <c r="C17" i="11"/>
  <c r="D36" i="11" l="1"/>
  <c r="D37" i="11" s="1"/>
  <c r="D18" i="11"/>
  <c r="D49" i="11"/>
  <c r="C47" i="11"/>
  <c r="C31" i="11"/>
  <c r="C15" i="11" s="1"/>
  <c r="C26" i="11"/>
  <c r="C27" i="11" s="1"/>
  <c r="F40" i="11"/>
  <c r="F41" i="11" s="1"/>
  <c r="G38" i="11"/>
  <c r="E36" i="11"/>
  <c r="E37" i="11" s="1"/>
  <c r="E41" i="11"/>
  <c r="E28" i="11"/>
  <c r="D30" i="11"/>
  <c r="H11" i="11"/>
  <c r="G12" i="11"/>
  <c r="E49" i="11"/>
  <c r="E18" i="11"/>
  <c r="D48" i="11"/>
  <c r="D17" i="11"/>
  <c r="F36" i="11" l="1"/>
  <c r="F37" i="11" s="1"/>
  <c r="C46" i="11"/>
  <c r="D16" i="11"/>
  <c r="D26" i="11"/>
  <c r="D27" i="11" s="1"/>
  <c r="D47" i="11"/>
  <c r="D31" i="11"/>
  <c r="E30" i="11"/>
  <c r="F28" i="11"/>
  <c r="H38" i="11"/>
  <c r="G40" i="11"/>
  <c r="E17" i="11"/>
  <c r="E48" i="11"/>
  <c r="F49" i="11"/>
  <c r="F18" i="11"/>
  <c r="I11" i="11"/>
  <c r="H12" i="11"/>
  <c r="F30" i="11" l="1"/>
  <c r="G28" i="11"/>
  <c r="G36" i="11"/>
  <c r="G37" i="11" s="1"/>
  <c r="G41" i="11"/>
  <c r="I38" i="11"/>
  <c r="H40" i="11"/>
  <c r="H41" i="11" s="1"/>
  <c r="E26" i="11"/>
  <c r="E27" i="11" s="1"/>
  <c r="E47" i="11"/>
  <c r="E16" i="11"/>
  <c r="E31" i="11"/>
  <c r="D46" i="11"/>
  <c r="D15" i="11"/>
  <c r="F17" i="11"/>
  <c r="F48" i="11"/>
  <c r="G49" i="11"/>
  <c r="G18" i="11"/>
  <c r="I12" i="11"/>
  <c r="J11" i="11"/>
  <c r="E46" i="11" l="1"/>
  <c r="E15" i="11"/>
  <c r="H36" i="11"/>
  <c r="H37" i="11" s="1"/>
  <c r="I40" i="11"/>
  <c r="J38" i="11"/>
  <c r="G30" i="11"/>
  <c r="H28" i="11"/>
  <c r="F26" i="11"/>
  <c r="F27" i="11" s="1"/>
  <c r="F16" i="11"/>
  <c r="F47" i="11"/>
  <c r="F31" i="11"/>
  <c r="J12" i="11"/>
  <c r="K11" i="11"/>
  <c r="K12" i="11" s="1"/>
  <c r="H49" i="11"/>
  <c r="H18" i="11"/>
  <c r="G48" i="11"/>
  <c r="G17" i="11"/>
  <c r="F46" i="11" l="1"/>
  <c r="F15" i="11"/>
  <c r="H30" i="11"/>
  <c r="I28" i="11"/>
  <c r="G26" i="11"/>
  <c r="G27" i="11" s="1"/>
  <c r="G47" i="11"/>
  <c r="G16" i="11"/>
  <c r="G31" i="11"/>
  <c r="I36" i="11"/>
  <c r="I37" i="11" s="1"/>
  <c r="I41" i="11"/>
  <c r="K38" i="11"/>
  <c r="K40" i="11" s="1"/>
  <c r="K41" i="11" s="1"/>
  <c r="J40" i="11"/>
  <c r="J36" i="11" s="1"/>
  <c r="J37" i="11" s="1"/>
  <c r="H48" i="11"/>
  <c r="H17" i="11"/>
  <c r="I18" i="11"/>
  <c r="I49" i="11"/>
  <c r="G15" i="11" l="1"/>
  <c r="G46" i="11"/>
  <c r="I30" i="11"/>
  <c r="J28" i="11"/>
  <c r="H26" i="11"/>
  <c r="H27" i="11" s="1"/>
  <c r="H31" i="11"/>
  <c r="H16" i="11"/>
  <c r="H47" i="11"/>
  <c r="J41" i="11"/>
  <c r="K36" i="11"/>
  <c r="K37" i="11" s="1"/>
  <c r="J49" i="11"/>
  <c r="J18" i="11"/>
  <c r="K49" i="11"/>
  <c r="K18" i="11"/>
  <c r="I48" i="11"/>
  <c r="I17" i="11"/>
  <c r="H46" i="11" l="1"/>
  <c r="H15" i="11"/>
  <c r="J30" i="11"/>
  <c r="K28" i="11"/>
  <c r="K30" i="11" s="1"/>
  <c r="I31" i="11"/>
  <c r="I16" i="11"/>
  <c r="I47" i="11"/>
  <c r="I26" i="11"/>
  <c r="I27" i="11" s="1"/>
  <c r="J17" i="11"/>
  <c r="J48" i="11"/>
  <c r="K17" i="11"/>
  <c r="K48" i="11"/>
  <c r="K16" i="11" l="1"/>
  <c r="K47" i="11"/>
  <c r="K31" i="11"/>
  <c r="I46" i="11"/>
  <c r="I15" i="11"/>
  <c r="K26" i="11"/>
  <c r="K27" i="11" s="1"/>
  <c r="J47" i="11"/>
  <c r="J31" i="11"/>
  <c r="J26" i="11"/>
  <c r="J27" i="11" s="1"/>
  <c r="J16" i="11"/>
  <c r="J46" i="11" l="1"/>
  <c r="J15" i="11"/>
  <c r="K15" i="11"/>
  <c r="K4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Cuevas</author>
  </authors>
  <commentList>
    <comment ref="L4" authorId="0" shapeId="0" xr:uid="{A9E93389-D0F9-4920-BB97-633BF6C24BC0}">
      <text>
        <r>
          <rPr>
            <b/>
            <sz val="9"/>
            <color indexed="81"/>
            <rFont val="Tahoma"/>
            <family val="2"/>
          </rPr>
          <t>Kevin Cuevas:</t>
        </r>
        <r>
          <rPr>
            <sz val="9"/>
            <color indexed="81"/>
            <rFont val="Tahoma"/>
            <family val="2"/>
          </rPr>
          <t xml:space="preserve">
The effective power is calculated for </t>
        </r>
        <r>
          <rPr>
            <i/>
            <sz val="9"/>
            <color indexed="81"/>
            <rFont val="Tahoma"/>
            <family val="2"/>
          </rPr>
          <t>ALL</t>
        </r>
        <r>
          <rPr>
            <sz val="9"/>
            <color indexed="81"/>
            <rFont val="Tahoma"/>
            <family val="2"/>
          </rPr>
          <t xml:space="preserve"> converters following this:
</t>
        </r>
      </text>
    </comment>
    <comment ref="M4" authorId="0" shapeId="0" xr:uid="{EB127023-F479-444C-8E7E-C3503F6D95AE}">
      <text>
        <r>
          <rPr>
            <b/>
            <sz val="9"/>
            <color indexed="81"/>
            <rFont val="Tahoma"/>
            <family val="2"/>
          </rPr>
          <t>Kevin Cuevas:</t>
        </r>
        <r>
          <rPr>
            <sz val="9"/>
            <color indexed="81"/>
            <rFont val="Tahoma"/>
            <family val="2"/>
          </rPr>
          <t xml:space="preserve">
5% - Existing components
10% - Existing w/ minor mods
20% - Brand new components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Cuevas</author>
  </authors>
  <commentList>
    <comment ref="B114" authorId="0" shapeId="0" xr:uid="{D16DA2BA-D249-4685-A032-3EA487B1764A}">
      <text>
        <r>
          <rPr>
            <b/>
            <sz val="9"/>
            <color indexed="81"/>
            <rFont val="Tahoma"/>
            <family val="2"/>
          </rPr>
          <t>Kevin Cuevas:</t>
        </r>
        <r>
          <rPr>
            <sz val="9"/>
            <color indexed="81"/>
            <rFont val="Tahoma"/>
            <family val="2"/>
          </rPr>
          <t xml:space="preserve">
20% - PDR
10% - CDR</t>
        </r>
      </text>
    </comment>
    <comment ref="B118" authorId="0" shapeId="0" xr:uid="{1719C99D-59E3-4A64-A864-A9099E24006E}">
      <text>
        <r>
          <rPr>
            <b/>
            <sz val="9"/>
            <color indexed="81"/>
            <rFont val="Tahoma"/>
            <family val="2"/>
          </rPr>
          <t>Kevin Cuevas:</t>
        </r>
        <r>
          <rPr>
            <sz val="9"/>
            <color indexed="81"/>
            <rFont val="Tahoma"/>
            <family val="2"/>
          </rPr>
          <t xml:space="preserve">
This value is the </t>
        </r>
        <r>
          <rPr>
            <i/>
            <sz val="9"/>
            <color indexed="81"/>
            <rFont val="Tahoma"/>
            <family val="2"/>
          </rPr>
          <t xml:space="preserve">orbit average </t>
        </r>
        <r>
          <rPr>
            <sz val="9"/>
            <color indexed="81"/>
            <rFont val="Tahoma"/>
            <family val="2"/>
          </rPr>
          <t xml:space="preserve">obtained via STK or the analyitical method of your choice
</t>
        </r>
      </text>
    </comment>
    <comment ref="B122" authorId="0" shapeId="0" xr:uid="{7B9AAF86-DD51-4067-B096-2440AC969740}">
      <text>
        <r>
          <rPr>
            <b/>
            <sz val="9"/>
            <color indexed="81"/>
            <rFont val="Tahoma"/>
            <family val="2"/>
          </rPr>
          <t>Kevin Cuevas:</t>
        </r>
        <r>
          <rPr>
            <sz val="9"/>
            <color indexed="81"/>
            <rFont val="Tahoma"/>
            <family val="2"/>
          </rPr>
          <t xml:space="preserve">
Based on the BOL efficiency of the batteries</t>
        </r>
      </text>
    </comment>
    <comment ref="B129" authorId="0" shapeId="0" xr:uid="{0B9B3179-1C7C-4A00-87E1-7F910315A1E0}">
      <text>
        <r>
          <rPr>
            <b/>
            <sz val="9"/>
            <color indexed="81"/>
            <rFont val="Tahoma"/>
            <family val="2"/>
          </rPr>
          <t>Kevin Cuevas:</t>
        </r>
        <r>
          <rPr>
            <sz val="9"/>
            <color indexed="81"/>
            <rFont val="Tahoma"/>
            <family val="2"/>
          </rPr>
          <t xml:space="preserve">
Takes into account solar cell degradation</t>
        </r>
      </text>
    </comment>
    <comment ref="B133" authorId="0" shapeId="0" xr:uid="{38E18C42-032F-4BE8-A06C-94DFEA9866CF}">
      <text>
        <r>
          <rPr>
            <b/>
            <sz val="9"/>
            <color indexed="81"/>
            <rFont val="Tahoma"/>
            <family val="2"/>
          </rPr>
          <t>Kevin Cuevas:</t>
        </r>
        <r>
          <rPr>
            <sz val="9"/>
            <color indexed="81"/>
            <rFont val="Tahoma"/>
            <family val="2"/>
          </rPr>
          <t xml:space="preserve">
Based on the EOL efficiency of the batteries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Cuevas</author>
  </authors>
  <commentList>
    <comment ref="C10" authorId="0" shapeId="0" xr:uid="{5456A9A9-1B66-4396-A3DB-42B8AA50E1DA}">
      <text>
        <r>
          <rPr>
            <b/>
            <sz val="9"/>
            <color indexed="81"/>
            <rFont val="Tahoma"/>
            <family val="2"/>
          </rPr>
          <t>Kevin Cuevas:</t>
        </r>
        <r>
          <rPr>
            <sz val="9"/>
            <color indexed="81"/>
            <rFont val="Tahoma"/>
            <family val="2"/>
          </rPr>
          <t xml:space="preserve">
Would be nice to add conditioning</t>
        </r>
      </text>
    </comment>
    <comment ref="B12" authorId="0" shapeId="0" xr:uid="{0E5F323D-3315-4894-AA72-CC287920109B}">
      <text>
        <r>
          <rPr>
            <b/>
            <sz val="9"/>
            <color indexed="81"/>
            <rFont val="Tahoma"/>
            <family val="2"/>
          </rPr>
          <t>Kevin Cuevas: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WIP</t>
        </r>
        <r>
          <rPr>
            <sz val="9"/>
            <color indexed="81"/>
            <rFont val="Tahoma"/>
            <family val="2"/>
          </rPr>
          <t xml:space="preserve"> - Need to finish the rest of the conditioning</t>
        </r>
      </text>
    </comment>
  </commentList>
</comments>
</file>

<file path=xl/sharedStrings.xml><?xml version="1.0" encoding="utf-8"?>
<sst xmlns="http://schemas.openxmlformats.org/spreadsheetml/2006/main" count="640" uniqueCount="329">
  <si>
    <t>Project:</t>
  </si>
  <si>
    <t>Ref:</t>
  </si>
  <si>
    <t>Doc:</t>
  </si>
  <si>
    <t>Issue:</t>
  </si>
  <si>
    <t>Date:</t>
  </si>
  <si>
    <t>Issue</t>
  </si>
  <si>
    <t>Date</t>
  </si>
  <si>
    <t>Change</t>
  </si>
  <si>
    <t>Affected Area</t>
  </si>
  <si>
    <t>Author</t>
  </si>
  <si>
    <t xml:space="preserve">Date </t>
  </si>
  <si>
    <t>Checked by:</t>
  </si>
  <si>
    <t xml:space="preserve">Issue </t>
  </si>
  <si>
    <t>Approved by:</t>
  </si>
  <si>
    <t>Power Budget</t>
  </si>
  <si>
    <t>Circular Orbit</t>
  </si>
  <si>
    <t>Constants</t>
  </si>
  <si>
    <t>Earth Radius</t>
  </si>
  <si>
    <t>km</t>
  </si>
  <si>
    <t>Earth µ</t>
  </si>
  <si>
    <t>EPS Efficiencies</t>
  </si>
  <si>
    <t>Vbatt to Vbatt</t>
  </si>
  <si>
    <t>Vbatt to 5V</t>
  </si>
  <si>
    <t>Vbatt to 3.3V</t>
  </si>
  <si>
    <t>Buck Converters</t>
  </si>
  <si>
    <t>Vbatt to TBD</t>
  </si>
  <si>
    <t>Efficiency</t>
  </si>
  <si>
    <t>Source</t>
  </si>
  <si>
    <t>Battery</t>
  </si>
  <si>
    <t>Charge-Discharge</t>
  </si>
  <si>
    <t>ACU</t>
  </si>
  <si>
    <t>Solar  Cells</t>
  </si>
  <si>
    <t>Degradation</t>
  </si>
  <si>
    <t>Battery Pack</t>
  </si>
  <si>
    <t>V</t>
  </si>
  <si>
    <t>Voltage [V]</t>
  </si>
  <si>
    <t>Capacity [Ah]</t>
  </si>
  <si>
    <t>Series Cells [#]</t>
  </si>
  <si>
    <t>Parallel Cells [#]</t>
  </si>
  <si>
    <t>Battery Voltage Vbatt [V]</t>
  </si>
  <si>
    <t>Battery Capacity [Ah]</t>
  </si>
  <si>
    <t>Energy [Whr]</t>
  </si>
  <si>
    <t>Ah</t>
  </si>
  <si>
    <t>Whr</t>
  </si>
  <si>
    <t>Wh</t>
  </si>
  <si>
    <t>BOL - Efficiency</t>
  </si>
  <si>
    <t>BOL - Storage Capability</t>
  </si>
  <si>
    <t>EOL - Efficiency</t>
  </si>
  <si>
    <t>EOL - Storage Capability</t>
  </si>
  <si>
    <t>J</t>
  </si>
  <si>
    <t>Max DoD</t>
  </si>
  <si>
    <t>Min SoC</t>
  </si>
  <si>
    <t>Bazookas</t>
  </si>
  <si>
    <t>BOL/EOL</t>
  </si>
  <si>
    <t>DoD</t>
  </si>
  <si>
    <t>Consumer</t>
  </si>
  <si>
    <t>System</t>
  </si>
  <si>
    <t>Subsystem</t>
  </si>
  <si>
    <t>Time [s]</t>
  </si>
  <si>
    <t>Avg Sunlight</t>
  </si>
  <si>
    <t xml:space="preserve">TOTAL CONSUMPTION </t>
  </si>
  <si>
    <t>W</t>
  </si>
  <si>
    <t>Eclipse Fraction</t>
  </si>
  <si>
    <t>NET POWER (SUN)</t>
  </si>
  <si>
    <t>TB-Power</t>
  </si>
  <si>
    <t>DoD after 1 orbit</t>
  </si>
  <si>
    <t>Energy in sunlight</t>
  </si>
  <si>
    <t>Energy in eclipse</t>
  </si>
  <si>
    <t>BOL</t>
  </si>
  <si>
    <t>ecc</t>
  </si>
  <si>
    <t>r_a</t>
  </si>
  <si>
    <t>r_p</t>
  </si>
  <si>
    <t>h_a</t>
  </si>
  <si>
    <t>h_p</t>
  </si>
  <si>
    <t>Re</t>
  </si>
  <si>
    <t>inc</t>
  </si>
  <si>
    <t>deg</t>
  </si>
  <si>
    <t>s</t>
  </si>
  <si>
    <t>hr</t>
  </si>
  <si>
    <t>-</t>
  </si>
  <si>
    <t>Altitude</t>
  </si>
  <si>
    <t>Inclination</t>
  </si>
  <si>
    <t>Period</t>
  </si>
  <si>
    <t>Eclipse Period</t>
  </si>
  <si>
    <t>Sunlight Period</t>
  </si>
  <si>
    <t>Elliptical Orbit</t>
  </si>
  <si>
    <t>a</t>
  </si>
  <si>
    <t>LIMITS!!!</t>
  </si>
  <si>
    <t>System Margin</t>
  </si>
  <si>
    <t>EOL</t>
  </si>
  <si>
    <t>Datasheet - Ask Daria</t>
  </si>
  <si>
    <t>Consumer #20</t>
  </si>
  <si>
    <t>Consumer #21</t>
  </si>
  <si>
    <t>Consumer #22</t>
  </si>
  <si>
    <t>Consumer #23</t>
  </si>
  <si>
    <t>Consumer #24</t>
  </si>
  <si>
    <t>Consumer #25</t>
  </si>
  <si>
    <t>Consumer #26</t>
  </si>
  <si>
    <t>Consumer #27</t>
  </si>
  <si>
    <t>Consumer #28</t>
  </si>
  <si>
    <t>Consumer #29</t>
  </si>
  <si>
    <t>Consumer #30</t>
  </si>
  <si>
    <t>Consumer #31</t>
  </si>
  <si>
    <t>Consumer #32</t>
  </si>
  <si>
    <t>Consumer #33</t>
  </si>
  <si>
    <t>Consumer #34</t>
  </si>
  <si>
    <t>Consumer #35</t>
  </si>
  <si>
    <t>Consumer #36</t>
  </si>
  <si>
    <t>Consumer #37</t>
  </si>
  <si>
    <t>Consumer #38</t>
  </si>
  <si>
    <t>Consumer #39</t>
  </si>
  <si>
    <t>Consumer #40</t>
  </si>
  <si>
    <t>Consumer #41</t>
  </si>
  <si>
    <t>Consumer #42</t>
  </si>
  <si>
    <t>Consumer #43</t>
  </si>
  <si>
    <t>Consumer #44</t>
  </si>
  <si>
    <t>Consumer #45</t>
  </si>
  <si>
    <t>Consumer #46</t>
  </si>
  <si>
    <t>Consumer #47</t>
  </si>
  <si>
    <t>Consumer #48</t>
  </si>
  <si>
    <t>Consumer #49</t>
  </si>
  <si>
    <t>Consumer #50</t>
  </si>
  <si>
    <t>Consumer #51</t>
  </si>
  <si>
    <t>Consumer #52</t>
  </si>
  <si>
    <t>Consumer #53</t>
  </si>
  <si>
    <t>Consumer #54</t>
  </si>
  <si>
    <t>Consumer #55</t>
  </si>
  <si>
    <t>Consumer #56</t>
  </si>
  <si>
    <t>Consumer #57</t>
  </si>
  <si>
    <t>Consumer #58</t>
  </si>
  <si>
    <t>Consumer #59</t>
  </si>
  <si>
    <t>Consumer #60</t>
  </si>
  <si>
    <t>Consumer #61</t>
  </si>
  <si>
    <t>Consumer #62</t>
  </si>
  <si>
    <t>Consumer #63</t>
  </si>
  <si>
    <t>Consumer #64</t>
  </si>
  <si>
    <t>Consumer #65</t>
  </si>
  <si>
    <t>Consumer #66</t>
  </si>
  <si>
    <t>Consumer #67</t>
  </si>
  <si>
    <t>Consumer #68</t>
  </si>
  <si>
    <t>Consumer #69</t>
  </si>
  <si>
    <t>Consumer #70</t>
  </si>
  <si>
    <t>Consumer #71</t>
  </si>
  <si>
    <t>Consumer #72</t>
  </si>
  <si>
    <t>Consumer #73</t>
  </si>
  <si>
    <t>Consumer #74</t>
  </si>
  <si>
    <t>Consumer #75</t>
  </si>
  <si>
    <t>Consumer #76</t>
  </si>
  <si>
    <t>Consumer #77</t>
  </si>
  <si>
    <t>Consumer #78</t>
  </si>
  <si>
    <t>Consumer #79</t>
  </si>
  <si>
    <t>Consumer #80</t>
  </si>
  <si>
    <t>Consumer #81</t>
  </si>
  <si>
    <t>Consumer #82</t>
  </si>
  <si>
    <t>Consumer #83</t>
  </si>
  <si>
    <t>Consumer #84</t>
  </si>
  <si>
    <t>Consumer #85</t>
  </si>
  <si>
    <t>Consumer #86</t>
  </si>
  <si>
    <t>Consumer #87</t>
  </si>
  <si>
    <t>Consumer #88</t>
  </si>
  <si>
    <t>Consumer #89</t>
  </si>
  <si>
    <t>Consumer #90</t>
  </si>
  <si>
    <t>Consumer #91</t>
  </si>
  <si>
    <t>Consumer #92</t>
  </si>
  <si>
    <t>Consumer #93</t>
  </si>
  <si>
    <t>Consumer #94</t>
  </si>
  <si>
    <t>Consumer #95</t>
  </si>
  <si>
    <t>Consumer #96</t>
  </si>
  <si>
    <t>Consumer #97</t>
  </si>
  <si>
    <t>Consumer #98</t>
  </si>
  <si>
    <t>Consumer #99</t>
  </si>
  <si>
    <t>Consumer #100</t>
  </si>
  <si>
    <t>Effective
Power [W]</t>
  </si>
  <si>
    <t>Margined
Power [W]</t>
  </si>
  <si>
    <t>Current
[mA]</t>
  </si>
  <si>
    <t>Power
[W]</t>
  </si>
  <si>
    <t>Margin
[%]</t>
  </si>
  <si>
    <t>ORBIT PARAMETERS</t>
  </si>
  <si>
    <t>EPS PARAMETERS</t>
  </si>
  <si>
    <t>POWER CONSUMPTIONS</t>
  </si>
  <si>
    <t>Custom-Buck
Convereter [V]</t>
  </si>
  <si>
    <t>Effective Power per Converter</t>
  </si>
  <si>
    <t>REGULATOR OUTPUT [mA]</t>
  </si>
  <si>
    <t>Should come from some cycle analysis</t>
  </si>
  <si>
    <t>Battery
Voltage [V]</t>
  </si>
  <si>
    <t>5V-Buck
Convereter [V]</t>
  </si>
  <si>
    <t>3V3-Buck
Convereter [V]</t>
  </si>
  <si>
    <t>Duty
Cycle [%]</t>
  </si>
  <si>
    <t>Average
Power [W]</t>
  </si>
  <si>
    <t>Guesstimate of lifetime+temp</t>
  </si>
  <si>
    <t>Orbit Avg Power</t>
  </si>
  <si>
    <t>Mode 1:</t>
  </si>
  <si>
    <t>Mode 2:</t>
  </si>
  <si>
    <t>Mode 3:</t>
  </si>
  <si>
    <t>Mode 6:</t>
  </si>
  <si>
    <t>Mode 4:</t>
  </si>
  <si>
    <t>Mode 5:</t>
  </si>
  <si>
    <t>This is a guess - MUST MEASURE!</t>
  </si>
  <si>
    <t>Boost Converter</t>
  </si>
  <si>
    <t>Guesstimate</t>
  </si>
  <si>
    <t>Average Power
Consumption [W]</t>
  </si>
  <si>
    <t>Net Power [W]</t>
  </si>
  <si>
    <t>Raw Batt [mA]</t>
  </si>
  <si>
    <t>DoD per Orbit</t>
  </si>
  <si>
    <t>EPS Limits</t>
  </si>
  <si>
    <t>TBD Buck Conv [mA]</t>
  </si>
  <si>
    <t>5V Buck Conv [mA]</t>
  </si>
  <si>
    <t>3.3V Buck Conv [mA]</t>
  </si>
  <si>
    <t>Average Power
Generation [W]</t>
  </si>
  <si>
    <t>POWER MODES</t>
  </si>
  <si>
    <t>SUMMARY</t>
  </si>
  <si>
    <t>EOL VALUES!!</t>
  </si>
  <si>
    <t>Vbatt
Current [mA]</t>
  </si>
  <si>
    <t>TBD Conv
Current [mA]</t>
  </si>
  <si>
    <t>5V Conv
Current [mA]</t>
  </si>
  <si>
    <t>3.3V Conv
Current [mA]</t>
  </si>
  <si>
    <t>Vbatt
Effective Power [W]</t>
  </si>
  <si>
    <t>TBD Conv
Eff Power [W]</t>
  </si>
  <si>
    <t>5V Conv
Eff Power [W]</t>
  </si>
  <si>
    <t>3.3V Conv
Eff Power [W]</t>
  </si>
  <si>
    <t>MODE 1</t>
  </si>
  <si>
    <t>TOTAL [mA]</t>
  </si>
  <si>
    <t>MODE 2</t>
  </si>
  <si>
    <t>Limit [mA]</t>
  </si>
  <si>
    <t>Margin</t>
  </si>
  <si>
    <t>Vbatt</t>
  </si>
  <si>
    <t>TBD</t>
  </si>
  <si>
    <t>Vbat</t>
  </si>
  <si>
    <t xml:space="preserve">Transpose </t>
  </si>
  <si>
    <t>Buck-Conv</t>
  </si>
  <si>
    <t>Sun Time Portions</t>
  </si>
  <si>
    <t>Eclipse portions</t>
  </si>
  <si>
    <t>Sun Intensity</t>
  </si>
  <si>
    <t>Delta-T [s]</t>
  </si>
  <si>
    <t>Orbit</t>
  </si>
  <si>
    <t>&lt;Copy Paste</t>
  </si>
  <si>
    <t>SoC (BOL)</t>
  </si>
  <si>
    <t>DoD (BOL)</t>
  </si>
  <si>
    <t>SoC (EOL)</t>
  </si>
  <si>
    <t>DoD (EOL)</t>
  </si>
  <si>
    <t>BEGINNING OF LIFE</t>
  </si>
  <si>
    <t>Energy Delta [Whr]</t>
  </si>
  <si>
    <t>Delta-DoD</t>
  </si>
  <si>
    <t>Delta-SoC</t>
  </si>
  <si>
    <t>SoC</t>
  </si>
  <si>
    <t>END OF LIFE</t>
  </si>
  <si>
    <t>&lt;Copy paste</t>
  </si>
  <si>
    <t>BOL SoC</t>
  </si>
  <si>
    <t>BOL DoD</t>
  </si>
  <si>
    <t>EOL SoC</t>
  </si>
  <si>
    <t>EOL DoD</t>
  </si>
  <si>
    <t>Mode</t>
  </si>
  <si>
    <t>M6</t>
  </si>
  <si>
    <t>&lt;&lt;&lt;&lt;&lt;</t>
  </si>
  <si>
    <t>&lt;&lt;&lt;&lt;</t>
  </si>
  <si>
    <t>Consumption [W]</t>
  </si>
  <si>
    <t>BOL Sun NET [W]</t>
  </si>
  <si>
    <t>EOL Sun NET [W]</t>
  </si>
  <si>
    <t>All</t>
  </si>
  <si>
    <t>KJC</t>
  </si>
  <si>
    <t>Power Consumptions</t>
  </si>
  <si>
    <t>AOCS - CubeSpace</t>
  </si>
  <si>
    <t>Updated Multi-Orbit Analysis</t>
  </si>
  <si>
    <t>MOA</t>
  </si>
  <si>
    <t>Spacecraft Bus</t>
  </si>
  <si>
    <t>Avionics</t>
  </si>
  <si>
    <t>GOS EPS</t>
  </si>
  <si>
    <t>GOS OBC</t>
  </si>
  <si>
    <t>GOS UHF Radio Tx</t>
  </si>
  <si>
    <t>GOS UHF Radio Rx</t>
  </si>
  <si>
    <t>CubeADCS OBC</t>
  </si>
  <si>
    <t>CubeADCS Sun Sensors</t>
  </si>
  <si>
    <t>CubeADCS Magnetorquer</t>
  </si>
  <si>
    <t>CubeADCS RWs</t>
  </si>
  <si>
    <t>EPSON G370 Gyro</t>
  </si>
  <si>
    <t>NovAtel GNSS Rx</t>
  </si>
  <si>
    <t>HiSPiCO S-Band SDR Tx</t>
  </si>
  <si>
    <t>GOS PHU</t>
  </si>
  <si>
    <t>AURA-2</t>
  </si>
  <si>
    <t>DÉCOR (1)</t>
  </si>
  <si>
    <t>DÉCOR (2)</t>
  </si>
  <si>
    <t>FIAN</t>
  </si>
  <si>
    <t>AMUR</t>
  </si>
  <si>
    <t>Payload</t>
  </si>
  <si>
    <t>DÉCOR</t>
  </si>
  <si>
    <t>PHU</t>
  </si>
  <si>
    <t>AOCS</t>
  </si>
  <si>
    <t>COMM</t>
  </si>
  <si>
    <t>GOS ARM</t>
  </si>
  <si>
    <t>VISCAM</t>
  </si>
  <si>
    <t>DL</t>
  </si>
  <si>
    <t>PG</t>
  </si>
  <si>
    <t>SAFE</t>
  </si>
  <si>
    <t>Batt Cap</t>
  </si>
  <si>
    <t>M1</t>
  </si>
  <si>
    <t>M2</t>
  </si>
  <si>
    <t>M3</t>
  </si>
  <si>
    <t>M4</t>
  </si>
  <si>
    <t>M5</t>
  </si>
  <si>
    <t>NET Sun (BOL) [W]</t>
  </si>
  <si>
    <t>NET Sun (EOL) [W]</t>
  </si>
  <si>
    <t>DoD Limit</t>
  </si>
  <si>
    <t>%</t>
  </si>
  <si>
    <t>Orbit Period</t>
  </si>
  <si>
    <t>Orbit Param</t>
  </si>
  <si>
    <t>Orbit Period [s]</t>
  </si>
  <si>
    <t>EPS Param</t>
  </si>
  <si>
    <t>Batt Cap (BOL) [Whr]</t>
  </si>
  <si>
    <t>Batt Cap (EOL) [Whr]</t>
  </si>
  <si>
    <t>DoD Limit [%]</t>
  </si>
  <si>
    <t>Mode Params</t>
  </si>
  <si>
    <t>Sim Params</t>
  </si>
  <si>
    <t>SoC Initial [%]</t>
  </si>
  <si>
    <t>NET Power
Sun BOL [W]</t>
  </si>
  <si>
    <t>NET Power
Sun EOL [W]</t>
  </si>
  <si>
    <t>Duration
[s]</t>
  </si>
  <si>
    <t>T1</t>
  </si>
  <si>
    <t>T2</t>
  </si>
  <si>
    <t>T3</t>
  </si>
  <si>
    <t>T4</t>
  </si>
  <si>
    <t>T5</t>
  </si>
  <si>
    <t>T6</t>
  </si>
  <si>
    <t>Eclipse [s]</t>
  </si>
  <si>
    <t>Cunsumption
[W]</t>
  </si>
  <si>
    <t>power in the sun</t>
  </si>
  <si>
    <t>PAY (Sun)</t>
  </si>
  <si>
    <t>Pay (Eclipse)</t>
  </si>
  <si>
    <t>Mode 2: Pay (Eclipse)</t>
  </si>
  <si>
    <t>Mode 3: 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</si>
</sst>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yy;@"/>
    <numFmt numFmtId="165" formatCode="0.0%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2" borderId="18" applyNumberFormat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5" fillId="6" borderId="18" applyNumberFormat="0" applyAlignment="0" applyProtection="0"/>
  </cellStyleXfs>
  <cellXfs count="210">
    <xf numFmtId="0" fontId="0" fillId="0" borderId="0" xfId="0"/>
    <xf numFmtId="0" fontId="4" fillId="3" borderId="13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 wrapText="1"/>
    </xf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164" fontId="0" fillId="0" borderId="8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0" fillId="0" borderId="13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2" xfId="0" applyBorder="1"/>
    <xf numFmtId="164" fontId="0" fillId="0" borderId="13" xfId="0" applyNumberFormat="1" applyBorder="1"/>
    <xf numFmtId="164" fontId="0" fillId="0" borderId="16" xfId="0" applyNumberFormat="1" applyBorder="1"/>
    <xf numFmtId="0" fontId="3" fillId="2" borderId="18" xfId="4"/>
    <xf numFmtId="0" fontId="3" fillId="2" borderId="13" xfId="4" applyBorder="1"/>
    <xf numFmtId="9" fontId="0" fillId="0" borderId="13" xfId="0" applyNumberFormat="1" applyBorder="1"/>
    <xf numFmtId="0" fontId="5" fillId="0" borderId="13" xfId="5" applyBorder="1"/>
    <xf numFmtId="0" fontId="4" fillId="3" borderId="13" xfId="0" applyFont="1" applyFill="1" applyBorder="1"/>
    <xf numFmtId="0" fontId="6" fillId="3" borderId="0" xfId="0" applyFont="1" applyFill="1"/>
    <xf numFmtId="0" fontId="4" fillId="3" borderId="19" xfId="0" applyFont="1" applyFill="1" applyBorder="1"/>
    <xf numFmtId="0" fontId="6" fillId="3" borderId="19" xfId="0" applyFont="1" applyFill="1" applyBorder="1"/>
    <xf numFmtId="0" fontId="0" fillId="0" borderId="10" xfId="0" applyBorder="1"/>
    <xf numFmtId="0" fontId="0" fillId="0" borderId="11" xfId="0" applyBorder="1"/>
    <xf numFmtId="0" fontId="6" fillId="3" borderId="20" xfId="0" applyFont="1" applyFill="1" applyBorder="1" applyAlignment="1">
      <alignment horizontal="left" vertical="center" wrapText="1"/>
    </xf>
    <xf numFmtId="0" fontId="0" fillId="0" borderId="21" xfId="0" applyBorder="1"/>
    <xf numFmtId="0" fontId="0" fillId="0" borderId="22" xfId="0" applyBorder="1"/>
    <xf numFmtId="0" fontId="6" fillId="3" borderId="20" xfId="0" applyFont="1" applyFill="1" applyBorder="1" applyAlignment="1">
      <alignment horizontal="left" vertical="center"/>
    </xf>
    <xf numFmtId="0" fontId="7" fillId="3" borderId="13" xfId="5" applyFont="1" applyFill="1" applyBorder="1"/>
    <xf numFmtId="165" fontId="3" fillId="2" borderId="10" xfId="3" applyNumberFormat="1" applyFont="1" applyFill="1" applyBorder="1"/>
    <xf numFmtId="165" fontId="3" fillId="2" borderId="13" xfId="3" applyNumberFormat="1" applyFont="1" applyFill="1" applyBorder="1"/>
    <xf numFmtId="165" fontId="3" fillId="2" borderId="16" xfId="3" applyNumberFormat="1" applyFont="1" applyFill="1" applyBorder="1"/>
    <xf numFmtId="165" fontId="3" fillId="2" borderId="21" xfId="3" applyNumberFormat="1" applyFont="1" applyFill="1" applyBorder="1"/>
    <xf numFmtId="0" fontId="4" fillId="3" borderId="0" xfId="0" applyFont="1" applyFill="1"/>
    <xf numFmtId="0" fontId="5" fillId="0" borderId="0" xfId="5"/>
    <xf numFmtId="9" fontId="3" fillId="2" borderId="24" xfId="3" applyFont="1" applyFill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27" xfId="0" applyBorder="1"/>
    <xf numFmtId="0" fontId="0" fillId="0" borderId="4" xfId="0" applyBorder="1"/>
    <xf numFmtId="9" fontId="3" fillId="2" borderId="32" xfId="3" applyFont="1" applyFill="1" applyBorder="1"/>
    <xf numFmtId="0" fontId="0" fillId="0" borderId="0" xfId="0" applyAlignment="1"/>
    <xf numFmtId="0" fontId="10" fillId="0" borderId="13" xfId="6" applyBorder="1"/>
    <xf numFmtId="10" fontId="0" fillId="0" borderId="0" xfId="3" applyNumberFormat="1" applyFont="1" applyBorder="1" applyAlignment="1">
      <alignment horizontal="center"/>
    </xf>
    <xf numFmtId="0" fontId="0" fillId="0" borderId="0" xfId="0"/>
    <xf numFmtId="10" fontId="0" fillId="0" borderId="0" xfId="3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9" fontId="0" fillId="0" borderId="0" xfId="3" applyFont="1" applyBorder="1"/>
    <xf numFmtId="9" fontId="0" fillId="0" borderId="7" xfId="3" applyFont="1" applyBorder="1"/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1"/>
    <xf numFmtId="2" fontId="0" fillId="0" borderId="4" xfId="0" applyNumberFormat="1" applyBorder="1"/>
    <xf numFmtId="2" fontId="0" fillId="0" borderId="13" xfId="0" applyNumberFormat="1" applyBorder="1"/>
    <xf numFmtId="0" fontId="14" fillId="0" borderId="0" xfId="0" applyFont="1" applyFill="1"/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6" fillId="3" borderId="10" xfId="0" applyFont="1" applyFill="1" applyBorder="1"/>
    <xf numFmtId="0" fontId="6" fillId="3" borderId="11" xfId="0" applyFont="1" applyFill="1" applyBorder="1"/>
    <xf numFmtId="9" fontId="6" fillId="3" borderId="10" xfId="3" applyFont="1" applyFill="1" applyBorder="1"/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2" fontId="0" fillId="0" borderId="14" xfId="0" applyNumberForma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4" fillId="3" borderId="9" xfId="0" applyFont="1" applyFill="1" applyBorder="1"/>
    <xf numFmtId="0" fontId="0" fillId="0" borderId="29" xfId="0" applyBorder="1"/>
    <xf numFmtId="0" fontId="0" fillId="0" borderId="30" xfId="0" applyBorder="1"/>
    <xf numFmtId="0" fontId="6" fillId="3" borderId="9" xfId="0" applyFont="1" applyFill="1" applyBorder="1"/>
    <xf numFmtId="0" fontId="4" fillId="4" borderId="33" xfId="4" applyFont="1" applyFill="1" applyBorder="1" applyAlignment="1">
      <alignment horizontal="center" vertical="center"/>
    </xf>
    <xf numFmtId="0" fontId="6" fillId="3" borderId="44" xfId="0" applyFont="1" applyFill="1" applyBorder="1"/>
    <xf numFmtId="0" fontId="4" fillId="4" borderId="31" xfId="4" applyFont="1" applyFill="1" applyBorder="1" applyAlignment="1">
      <alignment horizontal="center" vertical="center"/>
    </xf>
    <xf numFmtId="9" fontId="3" fillId="2" borderId="47" xfId="3" applyFont="1" applyFill="1" applyBorder="1"/>
    <xf numFmtId="9" fontId="3" fillId="2" borderId="48" xfId="3" applyFont="1" applyFill="1" applyBorder="1"/>
    <xf numFmtId="0" fontId="1" fillId="0" borderId="0" xfId="2"/>
    <xf numFmtId="0" fontId="1" fillId="3" borderId="28" xfId="2" applyFill="1" applyBorder="1"/>
    <xf numFmtId="0" fontId="1" fillId="3" borderId="28" xfId="2" applyFill="1" applyBorder="1" applyAlignment="1"/>
    <xf numFmtId="0" fontId="1" fillId="5" borderId="28" xfId="2" applyFill="1" applyBorder="1"/>
    <xf numFmtId="0" fontId="1" fillId="5" borderId="30" xfId="2" applyFill="1" applyBorder="1"/>
    <xf numFmtId="0" fontId="1" fillId="5" borderId="29" xfId="2" applyFill="1" applyBorder="1"/>
    <xf numFmtId="10" fontId="1" fillId="5" borderId="29" xfId="2" applyNumberFormat="1" applyFill="1" applyBorder="1"/>
    <xf numFmtId="0" fontId="1" fillId="5" borderId="30" xfId="2" applyFill="1" applyBorder="1" applyAlignment="1"/>
    <xf numFmtId="2" fontId="0" fillId="0" borderId="0" xfId="0" applyNumberFormat="1"/>
    <xf numFmtId="0" fontId="0" fillId="0" borderId="13" xfId="0" applyBorder="1" applyAlignment="1">
      <alignment wrapText="1"/>
    </xf>
    <xf numFmtId="2" fontId="0" fillId="0" borderId="13" xfId="0" applyNumberFormat="1" applyBorder="1" applyAlignment="1">
      <alignment horizontal="center" vertical="center"/>
    </xf>
    <xf numFmtId="10" fontId="0" fillId="0" borderId="13" xfId="3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6" xfId="0" applyBorder="1"/>
    <xf numFmtId="2" fontId="0" fillId="0" borderId="35" xfId="0" applyNumberFormat="1" applyBorder="1"/>
    <xf numFmtId="0" fontId="0" fillId="0" borderId="52" xfId="0" applyBorder="1"/>
    <xf numFmtId="0" fontId="0" fillId="0" borderId="55" xfId="0" applyBorder="1"/>
    <xf numFmtId="2" fontId="0" fillId="0" borderId="19" xfId="0" applyNumberFormat="1" applyBorder="1"/>
    <xf numFmtId="2" fontId="0" fillId="0" borderId="56" xfId="0" applyNumberFormat="1" applyBorder="1"/>
    <xf numFmtId="0" fontId="0" fillId="0" borderId="57" xfId="0" applyBorder="1"/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/>
    <xf numFmtId="0" fontId="0" fillId="0" borderId="28" xfId="0" applyBorder="1" applyAlignment="1">
      <alignment horizontal="center" vertical="center" wrapText="1"/>
    </xf>
    <xf numFmtId="0" fontId="0" fillId="0" borderId="0" xfId="0" applyNumberFormat="1" applyFill="1"/>
    <xf numFmtId="2" fontId="0" fillId="0" borderId="0" xfId="0" applyNumberFormat="1" applyFill="1"/>
    <xf numFmtId="0" fontId="0" fillId="0" borderId="52" xfId="0" applyBorder="1" applyAlignment="1">
      <alignment horizontal="center" vertical="center" wrapText="1"/>
    </xf>
    <xf numFmtId="2" fontId="0" fillId="0" borderId="36" xfId="0" applyNumberFormat="1" applyBorder="1"/>
    <xf numFmtId="2" fontId="0" fillId="0" borderId="55" xfId="0" applyNumberFormat="1" applyBorder="1"/>
    <xf numFmtId="0" fontId="0" fillId="0" borderId="45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2" fontId="0" fillId="0" borderId="12" xfId="0" applyNumberFormat="1" applyBorder="1"/>
    <xf numFmtId="2" fontId="0" fillId="0" borderId="14" xfId="0" applyNumberFormat="1" applyBorder="1"/>
    <xf numFmtId="2" fontId="0" fillId="0" borderId="39" xfId="0" applyNumberFormat="1" applyBorder="1"/>
    <xf numFmtId="2" fontId="0" fillId="0" borderId="61" xfId="0" applyNumberFormat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58" xfId="0" applyBorder="1" applyAlignment="1">
      <alignment horizontal="center" vertical="center" wrapText="1"/>
    </xf>
    <xf numFmtId="2" fontId="0" fillId="0" borderId="45" xfId="0" applyNumberFormat="1" applyBorder="1"/>
    <xf numFmtId="2" fontId="0" fillId="0" borderId="57" xfId="0" applyNumberFormat="1" applyBorder="1"/>
    <xf numFmtId="2" fontId="0" fillId="0" borderId="0" xfId="0" applyNumberFormat="1" applyFill="1" applyBorder="1"/>
    <xf numFmtId="2" fontId="0" fillId="0" borderId="55" xfId="0" applyNumberFormat="1" applyFill="1" applyBorder="1"/>
    <xf numFmtId="9" fontId="3" fillId="2" borderId="18" xfId="3" applyFont="1" applyFill="1" applyBorder="1"/>
    <xf numFmtId="1" fontId="0" fillId="0" borderId="13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9" fillId="0" borderId="13" xfId="0" applyFont="1" applyBorder="1"/>
    <xf numFmtId="0" fontId="0" fillId="0" borderId="13" xfId="0" applyBorder="1" applyAlignment="1">
      <alignment horizontal="right"/>
    </xf>
    <xf numFmtId="10" fontId="0" fillId="0" borderId="0" xfId="0" applyNumberFormat="1"/>
    <xf numFmtId="0" fontId="4" fillId="3" borderId="0" xfId="0" applyFont="1" applyFill="1" applyAlignment="1">
      <alignment horizontal="right"/>
    </xf>
    <xf numFmtId="0" fontId="0" fillId="7" borderId="0" xfId="0" applyFill="1"/>
    <xf numFmtId="4" fontId="0" fillId="0" borderId="0" xfId="0" applyNumberFormat="1"/>
    <xf numFmtId="10" fontId="3" fillId="2" borderId="18" xfId="3" applyNumberFormat="1" applyFont="1" applyFill="1" applyBorder="1"/>
    <xf numFmtId="10" fontId="0" fillId="0" borderId="0" xfId="3" applyNumberFormat="1" applyFont="1"/>
    <xf numFmtId="10" fontId="4" fillId="3" borderId="0" xfId="3" applyNumberFormat="1" applyFont="1" applyFill="1"/>
    <xf numFmtId="10" fontId="4" fillId="3" borderId="0" xfId="0" applyNumberFormat="1" applyFont="1" applyFill="1"/>
    <xf numFmtId="0" fontId="15" fillId="6" borderId="18" xfId="7"/>
    <xf numFmtId="0" fontId="3" fillId="7" borderId="18" xfId="4" applyFill="1"/>
    <xf numFmtId="0" fontId="3" fillId="7" borderId="62" xfId="4" applyFill="1" applyBorder="1"/>
    <xf numFmtId="0" fontId="3" fillId="2" borderId="63" xfId="4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0" xfId="0" applyFill="1"/>
    <xf numFmtId="0" fontId="16" fillId="8" borderId="0" xfId="0" applyFont="1" applyFill="1" applyAlignment="1">
      <alignment horizontal="center" vertical="center"/>
    </xf>
    <xf numFmtId="2" fontId="0" fillId="8" borderId="0" xfId="0" applyNumberFormat="1" applyFill="1"/>
    <xf numFmtId="0" fontId="1" fillId="0" borderId="13" xfId="0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6" fontId="3" fillId="2" borderId="24" xfId="4" applyNumberFormat="1" applyBorder="1" applyAlignment="1">
      <alignment horizontal="center"/>
    </xf>
    <xf numFmtId="166" fontId="3" fillId="2" borderId="34" xfId="4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10" fontId="0" fillId="0" borderId="37" xfId="3" applyNumberFormat="1" applyFont="1" applyBorder="1" applyAlignment="1">
      <alignment horizontal="center" vertical="center"/>
    </xf>
    <xf numFmtId="10" fontId="0" fillId="0" borderId="38" xfId="3" applyNumberFormat="1" applyFon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0" fontId="0" fillId="0" borderId="35" xfId="3" applyNumberFormat="1" applyFont="1" applyBorder="1" applyAlignment="1">
      <alignment horizontal="center" vertical="center"/>
    </xf>
    <xf numFmtId="10" fontId="0" fillId="0" borderId="36" xfId="3" applyNumberFormat="1" applyFont="1" applyBorder="1" applyAlignment="1">
      <alignment horizontal="center" vertical="center"/>
    </xf>
    <xf numFmtId="9" fontId="3" fillId="2" borderId="26" xfId="3" applyFont="1" applyFill="1" applyBorder="1" applyAlignment="1">
      <alignment horizontal="center" vertical="center"/>
    </xf>
    <xf numFmtId="2" fontId="3" fillId="2" borderId="45" xfId="4" applyNumberFormat="1" applyBorder="1" applyAlignment="1">
      <alignment horizontal="center" vertical="center"/>
    </xf>
    <xf numFmtId="2" fontId="3" fillId="2" borderId="36" xfId="4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9" fontId="3" fillId="2" borderId="25" xfId="3" applyFont="1" applyFill="1" applyBorder="1" applyAlignment="1">
      <alignment horizontal="center" vertical="center"/>
    </xf>
    <xf numFmtId="2" fontId="3" fillId="2" borderId="35" xfId="4" applyNumberFormat="1" applyBorder="1" applyAlignment="1">
      <alignment horizontal="center" vertical="center"/>
    </xf>
    <xf numFmtId="10" fontId="0" fillId="0" borderId="46" xfId="3" applyNumberFormat="1" applyFont="1" applyBorder="1" applyAlignment="1">
      <alignment horizontal="center" vertical="center"/>
    </xf>
    <xf numFmtId="10" fontId="0" fillId="0" borderId="45" xfId="3" applyNumberFormat="1" applyFont="1" applyBorder="1" applyAlignment="1">
      <alignment horizontal="center" vertical="center"/>
    </xf>
    <xf numFmtId="0" fontId="3" fillId="2" borderId="43" xfId="4" applyBorder="1" applyAlignment="1">
      <alignment horizontal="center"/>
    </xf>
    <xf numFmtId="0" fontId="3" fillId="2" borderId="27" xfId="4" applyBorder="1" applyAlignment="1">
      <alignment horizontal="center"/>
    </xf>
    <xf numFmtId="2" fontId="3" fillId="2" borderId="41" xfId="4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10" fontId="0" fillId="0" borderId="41" xfId="3" applyNumberFormat="1" applyFont="1" applyBorder="1" applyAlignment="1">
      <alignment horizontal="center" vertical="center"/>
    </xf>
    <xf numFmtId="10" fontId="0" fillId="0" borderId="42" xfId="3" applyNumberFormat="1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</cellXfs>
  <cellStyles count="8">
    <cellStyle name="Berechnung" xfId="7" builtinId="22"/>
    <cellStyle name="Eingabe" xfId="4" builtinId="20"/>
    <cellStyle name="Erklärender Text" xfId="5" builtinId="53"/>
    <cellStyle name="Link" xfId="6" builtinId="8"/>
    <cellStyle name="Prozent" xfId="3" builtinId="5"/>
    <cellStyle name="Spaltenebene_1" xfId="2" builtinId="2" iLevel="0"/>
    <cellStyle name="Standard" xfId="0" builtinId="0"/>
    <cellStyle name="Zeilenebene_1" xfId="1" builtinId="1" iLevel="0"/>
  </cellStyles>
  <dxfs count="156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7C80"/>
        </patternFill>
      </fill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2" formatCode="0.00"/>
    </dxf>
    <dxf>
      <numFmt numFmtId="2" formatCode="0.0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>
        <left/>
        <right style="thin">
          <color rgb="FF7F7F7F"/>
        </right>
        <top style="thin">
          <color rgb="FF7F7F7F"/>
        </top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D6A5F"/>
        </patternFill>
      </fill>
    </dxf>
    <dxf>
      <fill>
        <patternFill>
          <bgColor theme="7" tint="0.79998168889431442"/>
        </patternFill>
      </fill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border outline="0">
        <left style="medium">
          <color indexed="64"/>
        </left>
      </border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0" tint="-0.499984740745262"/>
        </top>
        <bottom style="thin">
          <color theme="0" tint="-0.499984740745262"/>
        </bottom>
        <vertical style="thin">
          <color theme="0"/>
        </vertical>
        <horizontal style="thin">
          <color theme="0" tint="-0.499984740745262"/>
        </horizontal>
      </border>
    </dxf>
    <dxf>
      <fill>
        <patternFill>
          <bgColor rgb="FFFFCC99"/>
        </patternFill>
      </fill>
    </dxf>
    <dxf>
      <fill>
        <patternFill patternType="solid">
          <bgColor rgb="FFF4B084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>
          <bgColor rgb="FFF4B08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fill>
        <patternFill>
          <bgColor theme="0" tint="-4.9989318521683403E-2"/>
        </patternFill>
      </fill>
      <border>
        <top style="thin">
          <color theme="8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4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</dxfs>
  <tableStyles count="3" defaultTableStyle="TableStyleMedium2" defaultPivotStyle="PivotStyleLight16">
    <tableStyle name="Auto Table" pivot="0" count="9" xr9:uid="{DBDC5548-FEEC-438D-8377-04426E8D14E6}">
      <tableStyleElement type="wholeTable" dxfId="155"/>
      <tableStyleElement type="headerRow" dxfId="154"/>
      <tableStyleElement type="totalRow" dxfId="153"/>
      <tableStyleElement type="firstColumn" dxfId="152"/>
      <tableStyleElement type="lastColumn" dxfId="151"/>
      <tableStyleElement type="firstRowStripe" dxfId="150"/>
      <tableStyleElement type="secondRowStripe" dxfId="149"/>
      <tableStyleElement type="firstColumnStripe" dxfId="148"/>
      <tableStyleElement type="secondColumnStripe" dxfId="147"/>
    </tableStyle>
    <tableStyle name="Component Properties" pivot="0" count="7" xr9:uid="{1835EE55-1481-4826-B90A-B181DB5FBF02}">
      <tableStyleElement type="wholeTable" dxfId="146"/>
      <tableStyleElement type="headerRow" dxfId="145"/>
      <tableStyleElement type="totalRow" dxfId="144"/>
      <tableStyleElement type="firstColumn" dxfId="143"/>
      <tableStyleElement type="lastColumn" dxfId="142"/>
      <tableStyleElement type="firstRowStripe" dxfId="141"/>
      <tableStyleElement type="secondRowStripe" dxfId="140"/>
    </tableStyle>
    <tableStyle name="Consumer Names" pivot="0" count="7" xr9:uid="{7D4B9810-8F20-4B45-87CF-AE2156D4EB98}">
      <tableStyleElement type="wholeTable" dxfId="139"/>
      <tableStyleElement type="headerRow" dxfId="138"/>
      <tableStyleElement type="totalRow" dxfId="137"/>
      <tableStyleElement type="firstColumn" dxfId="136"/>
      <tableStyleElement type="lastColumn" dxfId="135"/>
      <tableStyleElement type="firstRowStripe" dxfId="134"/>
      <tableStyleElement type="firstColumnStripe" dxfId="133"/>
    </tableStyle>
  </tableStyles>
  <colors>
    <mruColors>
      <color rgb="FFFFFFCC"/>
      <color rgb="FFFF7C80"/>
      <color rgb="FFF4B084"/>
      <color rgb="FFFFCC99"/>
      <color rgb="FFFFCC66"/>
      <color rgb="FFFF0000"/>
      <color rgb="FFFD6A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BOL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'WIP - Multi-Orbit Analysis'!$B$12:$K$12</c:f>
              <c:numCache>
                <c:formatCode>General</c:formatCode>
                <c:ptCount val="10"/>
                <c:pt idx="0">
                  <c:v>0</c:v>
                </c:pt>
                <c:pt idx="1">
                  <c:v>9.4687387356913663E-2</c:v>
                </c:pt>
                <c:pt idx="2">
                  <c:v>0.18937477471382733</c:v>
                </c:pt>
                <c:pt idx="3">
                  <c:v>0.28406216207074098</c:v>
                </c:pt>
                <c:pt idx="4">
                  <c:v>0.37874954942765465</c:v>
                </c:pt>
                <c:pt idx="5">
                  <c:v>0.47343693678456827</c:v>
                </c:pt>
                <c:pt idx="6">
                  <c:v>0.56812432414148195</c:v>
                </c:pt>
                <c:pt idx="7">
                  <c:v>0.66281171149839557</c:v>
                </c:pt>
                <c:pt idx="8">
                  <c:v>0.82604146134501544</c:v>
                </c:pt>
                <c:pt idx="9">
                  <c:v>0.98927121119163519</c:v>
                </c:pt>
              </c:numCache>
            </c:numRef>
          </c:xVal>
          <c:yVal>
            <c:numRef>
              <c:f>'WIP - Multi-Orbit Analysis'!$B$15:$K$15</c:f>
              <c:numCache>
                <c:formatCode>0.00%</c:formatCode>
                <c:ptCount val="10"/>
                <c:pt idx="0">
                  <c:v>0.95</c:v>
                </c:pt>
                <c:pt idx="1">
                  <c:v>0.95070380372201979</c:v>
                </c:pt>
                <c:pt idx="2">
                  <c:v>0.95140760744403974</c:v>
                </c:pt>
                <c:pt idx="3">
                  <c:v>0.95211141116605957</c:v>
                </c:pt>
                <c:pt idx="4">
                  <c:v>0.95281521488807952</c:v>
                </c:pt>
                <c:pt idx="5">
                  <c:v>0.95351901861009947</c:v>
                </c:pt>
                <c:pt idx="6">
                  <c:v>0.9542228223321193</c:v>
                </c:pt>
                <c:pt idx="7">
                  <c:v>0.95492662605413925</c:v>
                </c:pt>
                <c:pt idx="8">
                  <c:v>0.93803328897919769</c:v>
                </c:pt>
                <c:pt idx="9">
                  <c:v>0.92113995190425613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F8-4756-93DF-BB16089AB2D1}"/>
            </c:ext>
          </c:extLst>
        </c:ser>
        <c:ser>
          <c:idx val="1"/>
          <c:order val="1"/>
          <c:tx>
            <c:v>EOL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'WIP - Multi-Orbit Analysis'!$B$12:$K$12</c:f>
              <c:numCache>
                <c:formatCode>General</c:formatCode>
                <c:ptCount val="10"/>
                <c:pt idx="0">
                  <c:v>0</c:v>
                </c:pt>
                <c:pt idx="1">
                  <c:v>9.4687387356913663E-2</c:v>
                </c:pt>
                <c:pt idx="2">
                  <c:v>0.18937477471382733</c:v>
                </c:pt>
                <c:pt idx="3">
                  <c:v>0.28406216207074098</c:v>
                </c:pt>
                <c:pt idx="4">
                  <c:v>0.37874954942765465</c:v>
                </c:pt>
                <c:pt idx="5">
                  <c:v>0.47343693678456827</c:v>
                </c:pt>
                <c:pt idx="6">
                  <c:v>0.56812432414148195</c:v>
                </c:pt>
                <c:pt idx="7">
                  <c:v>0.66281171149839557</c:v>
                </c:pt>
                <c:pt idx="8">
                  <c:v>0.82604146134501544</c:v>
                </c:pt>
                <c:pt idx="9">
                  <c:v>0.98927121119163519</c:v>
                </c:pt>
              </c:numCache>
            </c:numRef>
          </c:xVal>
          <c:yVal>
            <c:numRef>
              <c:f>'WIP - Multi-Orbit Analysis'!$B$17:$K$17</c:f>
              <c:numCache>
                <c:formatCode>0.00%</c:formatCode>
                <c:ptCount val="10"/>
                <c:pt idx="0">
                  <c:v>0.95</c:v>
                </c:pt>
                <c:pt idx="1">
                  <c:v>0.95060908871426475</c:v>
                </c:pt>
                <c:pt idx="2">
                  <c:v>0.95121817742852943</c:v>
                </c:pt>
                <c:pt idx="3">
                  <c:v>0.95182726614279412</c:v>
                </c:pt>
                <c:pt idx="4">
                  <c:v>0.95243635485705891</c:v>
                </c:pt>
                <c:pt idx="5">
                  <c:v>0.95304544357132359</c:v>
                </c:pt>
                <c:pt idx="6">
                  <c:v>0.95365453228558839</c:v>
                </c:pt>
                <c:pt idx="7">
                  <c:v>0.95426362099985307</c:v>
                </c:pt>
                <c:pt idx="8">
                  <c:v>0.93701833940251689</c:v>
                </c:pt>
                <c:pt idx="9">
                  <c:v>0.9197730578051807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6F8-4756-93DF-BB16089A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36192"/>
        <c:axId val="595734552"/>
      </c:scatterChart>
      <c:valAx>
        <c:axId val="595736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734552"/>
        <c:crosses val="autoZero"/>
        <c:crossBetween val="midCat"/>
        <c:majorUnit val="0.1"/>
      </c:valAx>
      <c:valAx>
        <c:axId val="5957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SoC</a:t>
                </a:r>
                <a:r>
                  <a:rPr lang="en-GB" baseline="0"/>
                  <a:t>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7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6</xdr:row>
      <xdr:rowOff>85724</xdr:rowOff>
    </xdr:from>
    <xdr:to>
      <xdr:col>23</xdr:col>
      <xdr:colOff>47625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44D37-7256-482E-B878-5FCF2189C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GROOVE/Projektskizzen/GROOVE-III%20(ESA)/Systems%20Engineering/Space%20System%20Design/Technical%20Budgets/GROOVE-III_TB-Power%20v0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-log"/>
      <sheetName val="Orbit Parameters"/>
      <sheetName val="EPS Parameters"/>
      <sheetName val="Power Consumption - Components"/>
      <sheetName val="Power Modes"/>
      <sheetName val="Multi-Orbit Analysis "/>
      <sheetName val="Mode Summary"/>
      <sheetName val="BoH"/>
      <sheetName val="SXRM"/>
    </sheetNames>
    <sheetDataSet>
      <sheetData sheetId="0"/>
      <sheetData sheetId="1">
        <row r="6">
          <cell r="C6">
            <v>5801.0609907050284</v>
          </cell>
        </row>
      </sheetData>
      <sheetData sheetId="2">
        <row r="23">
          <cell r="C23">
            <v>290.08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9C48DA4-D913-43C1-B24F-A1B0C0D4C7C7}" name="Table10" displayName="Table10" ref="A4:C104" totalsRowShown="0" headerRowDxfId="132" tableBorderDxfId="131">
  <autoFilter ref="A4:C104" xr:uid="{52778786-1225-422E-A908-B79DED2D4EFC}">
    <filterColumn colId="0">
      <filters>
        <filter val="AMUR"/>
        <filter val="AURA-2"/>
        <filter val="CubeADCS Magnetorquer"/>
        <filter val="CubeADCS OBC"/>
        <filter val="CubeADCS RWs"/>
        <filter val="CubeADCS Sun Sensors"/>
        <filter val="DÉCOR (1)"/>
        <filter val="DÉCOR (2)"/>
        <filter val="EPSON G370 Gyro"/>
        <filter val="FIAN"/>
        <filter val="GOS ARM"/>
        <filter val="GOS EPS"/>
        <filter val="GOS OBC"/>
        <filter val="GOS PHU"/>
        <filter val="GOS UHF Radio Rx"/>
        <filter val="GOS UHF Radio Tx"/>
        <filter val="HiSPiCO S-Band SDR Tx"/>
        <filter val="NovAtel GNSS Rx"/>
        <filter val="VISCAM"/>
      </filters>
    </filterColumn>
  </autoFilter>
  <tableColumns count="3">
    <tableColumn id="1" xr3:uid="{5F0200BC-E201-4901-BDF1-E8D3F2D71105}" name="Consumer" dataDxfId="130"/>
    <tableColumn id="2" xr3:uid="{0C50DB91-04DB-4B5A-B292-F06D3D1CFDF9}" name="System" dataDxfId="129"/>
    <tableColumn id="3" xr3:uid="{01105DBB-B565-4162-83F5-D476C0B570E8}" name="Subsystem" dataDxfId="128"/>
  </tableColumns>
  <tableStyleInfo name="Consumer Names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48F547B-327F-4965-979C-D0DA23560873}" name="Table21" displayName="Table21" ref="L4:L104" totalsRowShown="0" headerRowDxfId="111" dataDxfId="110" tableBorderDxfId="109">
  <autoFilter ref="L4:L104" xr:uid="{67F79B01-50D2-454D-9A9A-62A0E0BB8787}"/>
  <tableColumns count="1">
    <tableColumn id="1" xr3:uid="{3D390492-BB8D-46CE-A1DB-DD3BB1E82F9A}" name="Effective_x000a_Power [W]" dataDxfId="108">
      <calculatedColumnFormula>SUM(BoH!B19:E19)</calculatedColumnFormula>
    </tableColumn>
  </tableColumns>
  <tableStyleInfo name="Auto Tab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F11A41D-10F7-4199-9389-7F270735815C}" name="Table22" displayName="Table22" ref="M4:M104" totalsRowShown="0" headerRowDxfId="107">
  <autoFilter ref="M4:M104" xr:uid="{510E7F35-3D33-476B-BD4F-B5A23D3C249C}"/>
  <tableColumns count="1">
    <tableColumn id="1" xr3:uid="{0EFC7963-088A-4B6D-BA0D-030BB636BD43}" name="Margin_x000a_[%]"/>
  </tableColumns>
  <tableStyleInfo name="Component Properties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C8BA191-103C-49D2-ACBB-2F0DC285E142}" name="Table23" displayName="Table23" ref="N4:N104" totalsRowShown="0" headerRowDxfId="106" dataDxfId="105">
  <autoFilter ref="N4:N104" xr:uid="{BA70B21B-88A8-4982-9B88-FEC59FDE5398}"/>
  <tableColumns count="1">
    <tableColumn id="1" xr3:uid="{781ABFD1-AC67-48E5-8785-9BAA7C5BBBEF}" name="Margined_x000a_Power [W]" dataDxfId="104">
      <calculatedColumnFormula>Table21[[#This Row],[Effective
Power '[W']]]*(1+Table22[[#This Row],[Margin
'[%']]])</calculatedColumnFormula>
    </tableColumn>
  </tableColumns>
  <tableStyleInfo name="Auto Tab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54B7774-FC24-4B18-828D-47AD0AD67645}" name="Table25" displayName="Table25" ref="A12:A112" totalsRowShown="0" headerRowDxfId="67" headerRowBorderDxfId="66" tableBorderDxfId="65">
  <autoFilter ref="A12:A112" xr:uid="{7B761C56-6EEF-4367-A5FC-BD80387A2E06}">
    <filterColumn colId="0">
      <filters>
        <filter val="AMUR"/>
        <filter val="AURA-2"/>
        <filter val="CubeADCS Magnetorquer"/>
        <filter val="CubeADCS OBC"/>
        <filter val="CubeADCS RWs"/>
        <filter val="CubeADCS Sun Sensors"/>
        <filter val="DÉCOR (1)"/>
        <filter val="DÉCOR (2)"/>
        <filter val="FIAN"/>
        <filter val="GOS ARM"/>
        <filter val="GOS EPS"/>
        <filter val="GOS OBC"/>
        <filter val="GOS PHU"/>
        <filter val="GOS UHF Radio Rx"/>
        <filter val="GOS UHF Radio Tx"/>
        <filter val="HiSPiCO S-Band SDR Tx"/>
        <filter val="VISCAM"/>
      </filters>
    </filterColumn>
  </autoFilter>
  <tableColumns count="1">
    <tableColumn id="1" xr3:uid="{B96CB790-82B0-426A-98DB-FACCCC689229}" name="Consumer" dataDxfId="64">
      <calculatedColumnFormula>'Power Consumption'!A5</calculatedColumnFormula>
    </tableColumn>
  </tableColumns>
  <tableStyleInfo name="Consumer Names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9FE1B7-26A3-4581-BE68-2315495068E9}" name="Table26" displayName="Table26" ref="B12:B112" totalsRowShown="0" headerRowDxfId="63" headerRowBorderDxfId="62" tableBorderDxfId="61">
  <autoFilter ref="B12:B112" xr:uid="{5861CEC4-03FE-4C9E-8480-912DA135B5A3}"/>
  <tableColumns count="1">
    <tableColumn id="1" xr3:uid="{16A847A1-6F49-4C08-85BC-BA915E6FA757}" name="Margined_x000a_Power [W]" dataDxfId="60">
      <calculatedColumnFormula>'Power Consumption'!N5</calculatedColumnFormula>
    </tableColumn>
  </tableColumns>
  <tableStyleInfo name="Auto Tab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CC3D5F2-4D67-4B34-B717-0A7D37F67B2F}" name="Table27" displayName="Table27" ref="C12:C112" totalsRowShown="0" headerRowDxfId="59" dataDxfId="57" headerRowBorderDxfId="58" tableBorderDxfId="56">
  <autoFilter ref="C12:C112" xr:uid="{1CF550C3-DA9D-46F0-B9CD-99C2A37A1A40}"/>
  <tableColumns count="1">
    <tableColumn id="1" xr3:uid="{B172F653-685C-4177-A37C-7DFB34830252}" name="Duty_x000a_Cycle [%]" dataDxfId="55"/>
  </tableColumns>
  <tableStyleInfo name="Component Properties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DD549BC-1B58-4A5E-A86B-C7B1BFC3C60F}" name="Table28" displayName="Table28" ref="D12:E112" totalsRowShown="0" headerRowDxfId="54" headerRowBorderDxfId="53" tableBorderDxfId="52">
  <autoFilter ref="D12:E112" xr:uid="{040ACC94-926B-42FC-9503-C688BDD647EA}"/>
  <tableColumns count="2">
    <tableColumn id="1" xr3:uid="{E7206B9D-0998-4637-8457-A60E5381154F}" name="Time [s]" dataDxfId="51"/>
    <tableColumn id="2" xr3:uid="{C355AF0D-C424-4B1F-98CC-327A3653BC45}" name="Average_x000a_Power [W]" dataDxfId="50"/>
  </tableColumns>
  <tableStyleInfo name="Auto Tab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65C4B1-2FDC-4006-A777-F54ADC77B343}" name="Table272" displayName="Table272" ref="G12:G112" totalsRowShown="0" headerRowBorderDxfId="49" tableBorderDxfId="48">
  <autoFilter ref="G12:G112" xr:uid="{F2365E2B-8D16-489A-9C3D-FCBB548F5A13}"/>
  <tableColumns count="1">
    <tableColumn id="1" xr3:uid="{19CB2E7B-1F8F-4358-922A-00F19D567D43}" name="Duty_x000a_Cycle [%]"/>
  </tableColumns>
  <tableStyleInfo name="Component Properties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B4E16-EF02-476A-9C53-452765A95747}" name="Table283" displayName="Table283" ref="H12:I112" totalsRowShown="0" headerRowBorderDxfId="47" tableBorderDxfId="46">
  <autoFilter ref="H12:I112" xr:uid="{B8944AA7-D053-4BD3-9265-7FC18794AE21}"/>
  <tableColumns count="2">
    <tableColumn id="1" xr3:uid="{1F363622-40EB-4A9B-B939-C86C9DCDA068}" name="Time [s]">
      <calculatedColumnFormula>Table272[[#This Row],[Duty
Cycle '[%']]]*'Orbit Parameters'!$C$6</calculatedColumnFormula>
    </tableColumn>
    <tableColumn id="2" xr3:uid="{3685093C-AB8D-4CF3-A032-B55B39F70C2D}" name="Average_x000a_Power [W]">
      <calculatedColumnFormula>Table26[[#This Row],[Margined
Power '[W']]]*Table272[[#This Row],[Duty
Cycle '[%']]]</calculatedColumnFormula>
    </tableColumn>
  </tableColumns>
  <tableStyleInfo name="Auto Tab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242463-7D3D-4B86-88D6-F8DFFB3DE7C7}" name="Table2724" displayName="Table2724" ref="K12:K112" totalsRowShown="0" headerRowBorderDxfId="45" tableBorderDxfId="44">
  <autoFilter ref="K12:K112" xr:uid="{A02AF7EA-FCFA-4BBC-B8FE-7D9109998729}"/>
  <tableColumns count="1">
    <tableColumn id="1" xr3:uid="{C06D2BFC-5ABC-4697-AB92-94FCD9DD80B3}" name="Duty_x000a_Cycle [%]"/>
  </tableColumns>
  <tableStyleInfo name="Component Properties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5315850-6E0C-40AF-8677-6B9F9194DAD2}" name="Table11" displayName="Table11" ref="D4:D104" totalsRowShown="0" headerRowDxfId="127">
  <autoFilter ref="D4:D104" xr:uid="{E15798E5-CF35-4BC7-BDD1-E7503904AC02}"/>
  <tableColumns count="1">
    <tableColumn id="1" xr3:uid="{BCA343F9-95A3-4D3F-9ECB-78A325AAF369}" name="Current_x000a_[mA]"/>
  </tableColumns>
  <tableStyleInfo name="Component Properties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22E948-E759-4688-A7F3-5D71AC5B1BFF}" name="Table2835" displayName="Table2835" ref="L12:M112" totalsRowShown="0" headerRowBorderDxfId="43" tableBorderDxfId="42">
  <autoFilter ref="L12:M112" xr:uid="{7667DD61-4CAB-4C3E-AC58-0E543A8A3F9B}"/>
  <tableColumns count="2">
    <tableColumn id="1" xr3:uid="{796D7F0C-969E-4102-AB7B-9A77854CCECD}" name="Time [s]">
      <calculatedColumnFormula>Table2724[[#This Row],[Duty
Cycle '[%']]]*'Orbit Parameters'!$C$6</calculatedColumnFormula>
    </tableColumn>
    <tableColumn id="2" xr3:uid="{6B6EE537-114D-4580-9C54-F6CF2FAFDBF7}" name="Average_x000a_Power [W]">
      <calculatedColumnFormula>Table26[[#This Row],[Margined
Power '[W']]]*Table2724[[#This Row],[Duty
Cycle '[%']]]</calculatedColumnFormula>
    </tableColumn>
  </tableColumns>
  <tableStyleInfo name="Auto Table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834AEC-59FE-4C98-96E0-9DB497E96EDE}" name="Table276" displayName="Table276" ref="O12:O112" totalsRowShown="0" headerRowBorderDxfId="41" tableBorderDxfId="40">
  <autoFilter ref="O12:O112" xr:uid="{C22303FC-F1F6-41DC-A106-E3E1151D4C95}"/>
  <tableColumns count="1">
    <tableColumn id="1" xr3:uid="{C3256F6E-B51A-477D-ADDD-E9F2031D8510}" name="Duty_x000a_Cycle [%]"/>
  </tableColumns>
  <tableStyleInfo name="Component Properties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C2B7E0-5B8E-4E34-85AE-1C05BC83801B}" name="Table287" displayName="Table287" ref="P12:Q112" totalsRowShown="0" headerRowBorderDxfId="39" tableBorderDxfId="38">
  <autoFilter ref="P12:Q112" xr:uid="{0BD57BE2-9D48-4791-B056-57BF267562B0}"/>
  <tableColumns count="2">
    <tableColumn id="1" xr3:uid="{7C6291D2-873D-4F0D-94F6-34202F274318}" name="Time [s]">
      <calculatedColumnFormula>Table276[[#This Row],[Duty
Cycle '[%']]]*'Orbit Parameters'!$C$6</calculatedColumnFormula>
    </tableColumn>
    <tableColumn id="2" xr3:uid="{20BC544A-A465-4403-B5F1-D79DCA59C0E4}" name="Average_x000a_Power [W]"/>
  </tableColumns>
  <tableStyleInfo name="Auto Table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2A5411-25DE-4B05-8EA1-5EB74D423FC8}" name="Table2728" displayName="Table2728" ref="S12:S112" totalsRowShown="0" headerRowBorderDxfId="37" tableBorderDxfId="36">
  <autoFilter ref="S12:S112" xr:uid="{F4368D01-0A60-42FE-A88A-8E862709D304}"/>
  <tableColumns count="1">
    <tableColumn id="1" xr3:uid="{11AA2D8F-C5A6-4BF0-8DB2-AF7F5E8E5EFB}" name="Duty_x000a_Cycle [%]"/>
  </tableColumns>
  <tableStyleInfo name="Component Properties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F69F20-1449-4DC8-9851-77874184B8C6}" name="Table2839" displayName="Table2839" ref="T12:U112" totalsRowShown="0" headerRowBorderDxfId="35" tableBorderDxfId="34">
  <autoFilter ref="T12:U112" xr:uid="{6C29CB8B-A191-4747-AF43-7EBF78BB91F4}"/>
  <tableColumns count="2">
    <tableColumn id="1" xr3:uid="{E5B8C65E-8F45-4C6D-AC2E-B4DB1F507CDF}" name="Time [s]">
      <calculatedColumnFormula>Table2728[[#This Row],[Duty
Cycle '[%']]]*'Orbit Parameters'!$C$6</calculatedColumnFormula>
    </tableColumn>
    <tableColumn id="2" xr3:uid="{9CA14106-1EC0-4C39-AD40-40F59407B100}" name="Average_x000a_Power [W]">
      <calculatedColumnFormula>Table26[[#This Row],[Margined
Power '[W']]]*Table2728[[#This Row],[Duty
Cycle '[%']]]</calculatedColumnFormula>
    </tableColumn>
  </tableColumns>
  <tableStyleInfo name="Auto Table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05A899-5010-40C2-BDFD-B73512EBC95D}" name="Table272410" displayName="Table272410" ref="W12:W112" totalsRowShown="0" headerRowBorderDxfId="33" tableBorderDxfId="32">
  <autoFilter ref="W12:W112" xr:uid="{3813E7B5-6E02-4475-B308-EC7A8226A28C}"/>
  <tableColumns count="1">
    <tableColumn id="1" xr3:uid="{2A68480A-CC36-4A68-A9AD-E38B5E5D2E28}" name="Duty_x000a_Cycle [%]"/>
  </tableColumns>
  <tableStyleInfo name="Component Properties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998433-91B6-4C5B-87D9-145594A4844E}" name="Table283513" displayName="Table283513" ref="X12:Y112" totalsRowShown="0" headerRowBorderDxfId="31" tableBorderDxfId="30">
  <autoFilter ref="X12:Y112" xr:uid="{91A66E06-98E5-4339-91D6-7035BA28A89D}"/>
  <tableColumns count="2">
    <tableColumn id="1" xr3:uid="{3905CB61-B9EB-45AE-B48F-02AA08A700E1}" name="Time [s]">
      <calculatedColumnFormula>Table272410[[#This Row],[Duty
Cycle '[%']]]*'Orbit Parameters'!$C$6</calculatedColumnFormula>
    </tableColumn>
    <tableColumn id="2" xr3:uid="{C1B1929D-9763-4EE5-B92B-8FBC907458D9}" name="Average_x000a_Power [W]">
      <calculatedColumnFormula>Table26[[#This Row],[Margined
Power '[W']]]*Table272410[[#This Row],[Duty
Cycle '[%']]]</calculatedColumnFormula>
    </tableColumn>
  </tableColumns>
  <tableStyleInfo name="Auto Table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B547B4-85F3-446E-8F7B-37D46AE62EE2}" name="Table13" displayName="Table13" ref="A18:E118" totalsRowShown="0" headerRowDxfId="26" headerRowBorderDxfId="25" tableBorderDxfId="24" totalsRowBorderDxfId="23">
  <autoFilter ref="A18:E118" xr:uid="{8AD0396F-22A5-4F4F-B719-FCEBE7163961}"/>
  <tableColumns count="5">
    <tableColumn id="1" xr3:uid="{02804FE9-D329-48AB-A3A6-92E8F272AF3B}" name="Consumer" dataDxfId="22">
      <calculatedColumnFormula>'Power Consumption'!A5</calculatedColumnFormula>
    </tableColumn>
    <tableColumn id="2" xr3:uid="{35B834EC-56A3-468E-B598-2793DFD8D74E}" name="Vbatt_x000a_Effective Power [W]" dataDxfId="21">
      <calculatedColumnFormula>'Power Consumption'!$E5/'EPS Parameters'!$C$3/'EPS Parameters'!$C$8</calculatedColumnFormula>
    </tableColumn>
    <tableColumn id="3" xr3:uid="{609A4A02-476B-405E-B184-D3E65701BCCC}" name="TBD Conv_x000a_Eff Power [W]" dataDxfId="20">
      <calculatedColumnFormula>'Power Consumption'!$G5/'EPS Parameters'!$C$4/'EPS Parameters'!$C$8</calculatedColumnFormula>
    </tableColumn>
    <tableColumn id="4" xr3:uid="{A1F9C66B-40A7-47D9-937B-39CD49DE305A}" name="5V Conv_x000a_Eff Power [W]" dataDxfId="19">
      <calculatedColumnFormula>'Power Consumption'!$I5/'EPS Parameters'!$C$5/'EPS Parameters'!$C$8</calculatedColumnFormula>
    </tableColumn>
    <tableColumn id="5" xr3:uid="{8B71DA75-6232-4709-A14D-28DB10DE90E5}" name="3.3V Conv_x000a_Eff Power [W]" dataDxfId="18">
      <calculatedColumnFormula>'Power Consumption'!$K5/'EPS Parameters'!$C$6/'EPS Parameters'!$C$8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698634A-3F78-44D0-93AD-A382299A0CD7}" name="Table1325" displayName="Table1325" ref="A133:E234" totalsRowCount="1" headerRowBorderDxfId="17" tableBorderDxfId="16" totalsRowBorderDxfId="15">
  <autoFilter ref="A133:E233" xr:uid="{65DAF5F0-7945-4AF1-A84F-6E059FD6E1BC}"/>
  <tableColumns count="5">
    <tableColumn id="1" xr3:uid="{3E46B1D8-7D2E-499A-90F0-434881A74946}" name="Consumer" totalsRowLabel="TOTAL [mA]">
      <calculatedColumnFormula>A19</calculatedColumnFormula>
    </tableColumn>
    <tableColumn id="2" xr3:uid="{BE7B018F-2FC3-48AB-8B44-FAF12A028AE9}" name="Vbatt_x000a_Current [mA]" totalsRowFunction="custom">
      <calculatedColumnFormula>IF('Power Modes'!$C13&gt;0, 'Power Consumption'!$D5,0)</calculatedColumnFormula>
      <totalsRowFormula>SUM(Table1325[Vbatt
Current '[mA']])</totalsRowFormula>
    </tableColumn>
    <tableColumn id="3" xr3:uid="{32A2E7E1-BF55-478F-8F1A-1A7CB9D0756B}" name="TBD Conv_x000a_Current [mA]" totalsRowFunction="custom">
      <calculatedColumnFormula>IF('Power Modes'!$C13&gt;0, 'Power Consumption'!$F5,0)</calculatedColumnFormula>
      <totalsRowFormula>SUM(Table1325[TBD Conv
Current '[mA']])</totalsRowFormula>
    </tableColumn>
    <tableColumn id="4" xr3:uid="{D91E1606-AD3A-414A-AEA5-113CB04D1DEA}" name="5V Conv_x000a_Current [mA]" totalsRowFunction="custom">
      <calculatedColumnFormula>IF('Power Modes'!$C13&gt;0, 'Power Consumption'!$H5,0)</calculatedColumnFormula>
      <totalsRowFormula>SUM(Table1325[5V Conv
Current '[mA']])</totalsRowFormula>
    </tableColumn>
    <tableColumn id="5" xr3:uid="{809506B7-F310-46DA-8E1C-9193CCF54729}" name="3.3V Conv_x000a_Current [mA]" totalsRowFunction="custom">
      <calculatedColumnFormula>IF('Power Modes'!$C13&gt;0, 'Power Consumption'!$J5,0)</calculatedColumnFormula>
      <totalsRowFormula>SUM(Table1325[3.3V Conv
Current '[mA']])</totalsRow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669D044-E8D7-43F9-AE3B-BB9FD89E7F7B}" name="Table29" displayName="Table29" ref="G133:J234" totalsRowCount="1" headerRowBorderDxfId="14" tableBorderDxfId="13" totalsRowBorderDxfId="12">
  <autoFilter ref="G133:J233" xr:uid="{BAC58B56-43F9-46D4-8914-DE8B03AAF829}"/>
  <tableColumns count="4">
    <tableColumn id="1" xr3:uid="{B3197951-D2B1-44BD-AFA0-4744631F9FEB}" name="Vbatt_x000a_Current [mA]" totalsRowFunction="custom">
      <calculatedColumnFormula>IF('Power Modes'!$G13&gt;0, 'Power Consumption'!$D5,0)</calculatedColumnFormula>
      <totalsRowFormula>SUM(Table29[Vbatt
Current '[mA']])</totalsRowFormula>
    </tableColumn>
    <tableColumn id="2" xr3:uid="{648F9804-F247-4081-9150-2C76B8E78521}" name="TBD Conv_x000a_Current [mA]" totalsRowFunction="custom">
      <calculatedColumnFormula>IF('Power Modes'!$G13&gt;0, 'Power Consumption'!$F5,0)</calculatedColumnFormula>
      <totalsRowFormula>SUM(Table29[TBD Conv
Current '[mA']])</totalsRowFormula>
    </tableColumn>
    <tableColumn id="3" xr3:uid="{DBE0E870-DFDA-4AEF-9243-BF313278DF80}" name="5V Conv_x000a_Current [mA]" totalsRowFunction="custom">
      <calculatedColumnFormula>IF('Power Modes'!$G13&gt;0, 'Power Consumption'!$H5,0)</calculatedColumnFormula>
      <totalsRowFormula>SUM(Table29[5V Conv
Current '[mA']])</totalsRowFormula>
    </tableColumn>
    <tableColumn id="4" xr3:uid="{11726A19-25C8-4A0F-ABD4-051706D0CA37}" name="3.3V Conv_x000a_Current [mA]" totalsRowFunction="custom">
      <calculatedColumnFormula>IF('Power Modes'!$G13&gt;0, 'Power Consumption'!$J5,0)</calculatedColumnFormula>
      <totalsRowFormula>SUM(Table29[3.3V Conv
Current '[mA']])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FC40A94-5430-44E8-8D18-A4DFE39C0C9C}" name="Table14" displayName="Table14" ref="E4:E104" totalsRowShown="0" headerRowDxfId="126" dataDxfId="125">
  <autoFilter ref="E4:E104" xr:uid="{4A3AEC14-44AD-4486-8172-15AC8FB20E57}"/>
  <tableColumns count="1">
    <tableColumn id="1" xr3:uid="{8791F772-D37D-4681-B317-4E6D75FA4CC1}" name="Power_x000a_[W]" dataDxfId="124">
      <calculatedColumnFormula>Table11[[#This Row],[Current
'[mA']]]*$D$3/1000</calculatedColumnFormula>
    </tableColumn>
  </tableColumns>
  <tableStyleInfo name="Auto Table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04EBF80-2360-4103-B0B5-AB288E360CED}" name="Table30" displayName="Table30" ref="L133:O234" totalsRowCount="1" headerRowBorderDxfId="11" tableBorderDxfId="10" totalsRowBorderDxfId="9">
  <autoFilter ref="L133:O233" xr:uid="{B1193178-25DC-490E-9167-A8A48B07EBA1}"/>
  <tableColumns count="4">
    <tableColumn id="1" xr3:uid="{DAA17059-4C6A-479A-BA04-A4021050D5C0}" name="Vbatt_x000a_Current [mA]" totalsRowFunction="custom">
      <calculatedColumnFormula>IF('Power Modes'!$K13&gt;0, 'Power Consumption'!$D5,0)</calculatedColumnFormula>
      <totalsRowFormula>SUM(Table30[Vbatt
Current '[mA']])</totalsRowFormula>
    </tableColumn>
    <tableColumn id="2" xr3:uid="{62499236-FA37-4905-BB94-2294A9C279CF}" name="TBD Conv_x000a_Current [mA]" totalsRowFunction="custom">
      <calculatedColumnFormula>IF('Power Modes'!$K13&gt;0, 'Power Consumption'!$F5,0)</calculatedColumnFormula>
      <totalsRowFormula>SUM(Table30[TBD Conv
Current '[mA']])</totalsRowFormula>
    </tableColumn>
    <tableColumn id="3" xr3:uid="{33C5BC83-01BA-4AFF-9F3C-435FB2BC2AB1}" name="5V Conv_x000a_Current [mA]" totalsRowFunction="custom">
      <calculatedColumnFormula>IF('Power Modes'!$K13&gt;0, 'Power Consumption'!$H5,0)</calculatedColumnFormula>
      <totalsRowFormula>SUM(Table30[5V Conv
Current '[mA']])</totalsRowFormula>
    </tableColumn>
    <tableColumn id="4" xr3:uid="{99E40CA2-A018-4FB4-AA9B-B4743B05A64A}" name="3.3V Conv_x000a_Current [mA]" totalsRowFunction="custom">
      <calculatedColumnFormula>IF('Power Modes'!$K13&gt;0, 'Power Consumption'!$J5,0)</calculatedColumnFormula>
      <totalsRowFormula>SUM(Table30[3.3V Conv
Current '[mA']])</totalsRow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721594F-57CF-4E9C-8182-E1ADA42D60BA}" name="Table31" displayName="Table31" ref="Q133:T234" totalsRowCount="1" headerRowBorderDxfId="8" tableBorderDxfId="7" totalsRowBorderDxfId="6">
  <autoFilter ref="Q133:T233" xr:uid="{36BAD11E-CA94-43D8-9E03-4A46EDE8D609}"/>
  <tableColumns count="4">
    <tableColumn id="1" xr3:uid="{B872D830-0B1E-4BF4-9CE7-BF83EC66B746}" name="Vbatt_x000a_Current [mA]" totalsRowFunction="custom">
      <calculatedColumnFormula>IF('Power Modes'!$O13&gt;0, 'Power Consumption'!$D5,0)</calculatedColumnFormula>
      <totalsRowFormula>SUM(Table31[Vbatt
Current '[mA']])</totalsRowFormula>
    </tableColumn>
    <tableColumn id="2" xr3:uid="{2E0D682E-3DC7-4FDF-B1F9-7E8E41B28098}" name="TBD Conv_x000a_Current [mA]" totalsRowFunction="custom">
      <calculatedColumnFormula>IF('Power Modes'!$O13&gt;0, 'Power Consumption'!$F5,0)</calculatedColumnFormula>
      <totalsRowFormula>SUM(Table31[TBD Conv
Current '[mA']])</totalsRowFormula>
    </tableColumn>
    <tableColumn id="3" xr3:uid="{27F685ED-EA79-41B7-A063-7609BC71B205}" name="5V Conv_x000a_Current [mA]" totalsRowFunction="custom">
      <calculatedColumnFormula>IF('Power Modes'!$O13&gt;0, 'Power Consumption'!$H5,0)</calculatedColumnFormula>
      <totalsRowFormula>SUM(Table31[5V Conv
Current '[mA']])</totalsRowFormula>
    </tableColumn>
    <tableColumn id="4" xr3:uid="{73A868E2-DD98-472C-9E58-5CB6FB6399C1}" name="3.3V Conv_x000a_Current [mA]" totalsRowFunction="custom">
      <calculatedColumnFormula>IF('Power Modes'!$O13&gt;0, 'Power Consumption'!$J5,0)</calculatedColumnFormula>
      <totalsRowFormula>SUM(Table31[3.3V Conv
Current '[mA']])</totalsRow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805B7FB-BEC2-47F3-A29D-B2271D9DAED3}" name="Table32" displayName="Table32" ref="V133:Y234" totalsRowCount="1" headerRowBorderDxfId="5" tableBorderDxfId="4" totalsRowBorderDxfId="3">
  <autoFilter ref="V133:Y233" xr:uid="{E37DED83-4DE4-47CB-9DEB-2D7FD0D70D5B}"/>
  <tableColumns count="4">
    <tableColumn id="1" xr3:uid="{737B4D91-A1AC-4AEE-8C8F-C5CA47E0EDAC}" name="Vbatt_x000a_Current [mA]" totalsRowFunction="custom">
      <calculatedColumnFormula>IF('Power Modes'!$S13&gt;0, 'Power Consumption'!$D5,0)</calculatedColumnFormula>
      <totalsRowFormula>SUM(Table32[Vbatt
Current '[mA']])</totalsRowFormula>
    </tableColumn>
    <tableColumn id="2" xr3:uid="{0A964BD8-1BBF-4950-9993-1CEA5281E9DD}" name="TBD Conv_x000a_Current [mA]" totalsRowFunction="custom">
      <calculatedColumnFormula>IF('Power Modes'!$S13&gt;0, 'Power Consumption'!$F5,0)</calculatedColumnFormula>
      <totalsRowFormula>SUM(Table32[TBD Conv
Current '[mA']])</totalsRowFormula>
    </tableColumn>
    <tableColumn id="3" xr3:uid="{26655A05-7C33-4E62-8D2E-D04028B98C2D}" name="5V Conv_x000a_Current [mA]" totalsRowFunction="custom">
      <calculatedColumnFormula>IF('Power Modes'!$S13&gt;0, 'Power Consumption'!$H5,0)</calculatedColumnFormula>
      <totalsRowFormula>SUM(Table32[5V Conv
Current '[mA']])</totalsRowFormula>
    </tableColumn>
    <tableColumn id="4" xr3:uid="{695391DF-2FC1-45F2-871D-A84A37D07E57}" name="3.3V Conv_x000a_Current [mA]" totalsRowFunction="custom">
      <calculatedColumnFormula>IF('Power Modes'!$S13&gt;0, 'Power Consumption'!$J5,0)</calculatedColumnFormula>
      <totalsRowFormula>SUM(Table32[3.3V Conv
Current '[mA']])</totalsRow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37FEE4D-BD6F-4C0A-BAEE-04352986EBCC}" name="Table33" displayName="Table33" ref="AA133:AD234" totalsRowCount="1" headerRowBorderDxfId="2" tableBorderDxfId="1" totalsRowBorderDxfId="0">
  <autoFilter ref="AA133:AD233" xr:uid="{FFA6286A-8746-40B7-9911-62D913F2BB4E}"/>
  <tableColumns count="4">
    <tableColumn id="1" xr3:uid="{16944B43-B781-4598-9ED9-0DE53E788FAD}" name="Vbatt_x000a_Current [mA]" totalsRowFunction="custom">
      <calculatedColumnFormula>IF('Power Modes'!$W13&gt;0, 'Power Consumption'!$D5,0)</calculatedColumnFormula>
      <totalsRowFormula>SUM(Table33[Vbatt
Current '[mA']])</totalsRowFormula>
    </tableColumn>
    <tableColumn id="2" xr3:uid="{62783434-0742-4B69-8DA7-80304606DACB}" name="TBD Conv_x000a_Current [mA]" totalsRowFunction="custom">
      <calculatedColumnFormula>IF('Power Modes'!$W13&gt;0, 'Power Consumption'!$F5,0)</calculatedColumnFormula>
      <totalsRowFormula>SUM(Table33[TBD Conv
Current '[mA']])</totalsRowFormula>
    </tableColumn>
    <tableColumn id="3" xr3:uid="{67A54EFC-BD06-4989-A9A9-E4C5438785A9}" name="5V Conv_x000a_Current [mA]" totalsRowFunction="custom">
      <calculatedColumnFormula>IF('Power Modes'!$W13&gt;0, 'Power Consumption'!$H5,0)</calculatedColumnFormula>
      <totalsRowFormula>SUM(Table33[5V Conv
Current '[mA']])</totalsRowFormula>
    </tableColumn>
    <tableColumn id="4" xr3:uid="{92F205B6-B1B3-4710-90A5-64584FDC1EB4}" name="3.3V Conv_x000a_Current [mA]" totalsRowFunction="custom">
      <calculatedColumnFormula>IF('Power Modes'!$W13&gt;0, 'Power Consumption'!$J5,0)</calculatedColumnFormula>
      <totalsRowFormula>SUM(Table33[3.3V Conv
Current '[mA']])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516C93-0E68-46AC-86D4-0ABEADE0774A}" name="Table1116" displayName="Table1116" ref="F4:F104" totalsRowShown="0" headerRowDxfId="123">
  <autoFilter ref="F4:F104" xr:uid="{D71BF4F5-634E-41CB-8AFB-F7D09DCB04EE}"/>
  <tableColumns count="1">
    <tableColumn id="1" xr3:uid="{E0A0E27C-EF12-4A0B-9BC5-57F88A3709C4}" name="Current_x000a_[mA]"/>
  </tableColumns>
  <tableStyleInfo name="Component Properties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90C5F36-7AA3-4BB5-B66F-5E92BB9DF224}" name="Table1417" displayName="Table1417" ref="G4:G104" totalsRowShown="0" headerRowDxfId="122" dataDxfId="121">
  <autoFilter ref="G4:G104" xr:uid="{EEC01077-99F1-4364-BDF2-A8E6F2F922DF}"/>
  <tableColumns count="1">
    <tableColumn id="1" xr3:uid="{5558B216-76FF-4BF0-9C6F-E173A0C91048}" name="Power_x000a_[W]" dataDxfId="120">
      <calculatedColumnFormula>Table1116[[#This Row],[Current
'[mA']]]*$F$3/1000</calculatedColumnFormula>
    </tableColumn>
  </tableColumns>
  <tableStyleInfo name="Auto Tab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6DE9007-B1C9-44B4-A840-522E72477F17}" name="Table111618" displayName="Table111618" ref="H4:H104" totalsRowShown="0" headerRowDxfId="119">
  <autoFilter ref="H4:H104" xr:uid="{651E127C-F092-4129-881B-2F851561F4D6}"/>
  <tableColumns count="1">
    <tableColumn id="1" xr3:uid="{ECF99ACA-F7F7-4FE6-89F3-6587CB188C92}" name="Current_x000a_[mA]"/>
  </tableColumns>
  <tableStyleInfo name="Component Properties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B55D503-BCCB-4101-9D36-D94B0F4A4317}" name="Table141719" displayName="Table141719" ref="I4:I104" totalsRowShown="0" headerRowDxfId="118" dataDxfId="117">
  <autoFilter ref="I4:I104" xr:uid="{E6219612-A6F7-4387-B04B-60CD65E2E5A6}"/>
  <tableColumns count="1">
    <tableColumn id="1" xr3:uid="{D2453BC3-433C-4F97-8BD2-FD3C00321B49}" name="Power_x000a_[W]" dataDxfId="116">
      <calculatedColumnFormula>Table111618[[#This Row],[Current
'[mA']]]*$H$3/1000</calculatedColumnFormula>
    </tableColumn>
  </tableColumns>
  <tableStyleInfo name="Auto Tab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7240E61-9109-45E7-8687-B5A00DC4BF6C}" name="Table111620" displayName="Table111620" ref="J4:J104" totalsRowShown="0" headerRowDxfId="115">
  <autoFilter ref="J4:J104" xr:uid="{046DDF53-44ED-4369-BB9B-153973F70048}"/>
  <tableColumns count="1">
    <tableColumn id="1" xr3:uid="{6D1A26DA-975A-476A-A4E0-4D0E1A9221CF}" name="Current_x000a_[mA]"/>
  </tableColumns>
  <tableStyleInfo name="Component Properties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1B7FC3D-2C35-4305-8FA5-ADA0E9FFDC7B}" name="Table141721" displayName="Table141721" ref="K4:K104" totalsRowShown="0" headerRowDxfId="114" dataDxfId="113">
  <autoFilter ref="K4:K104" xr:uid="{1FC29FA1-5081-4215-8720-11EBA8C93D3E}"/>
  <tableColumns count="1">
    <tableColumn id="1" xr3:uid="{99948152-5807-4D7D-BDD0-0960FC472FF7}" name="Power_x000a_[W]" dataDxfId="112">
      <calculatedColumnFormula>Table111620[[#This Row],[Current
'[mA']]]*$J$3/1000</calculatedColumnFormula>
    </tableColumn>
  </tableColumns>
  <tableStyleInfo name="Auto Table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roduktinfo.conrad.com/datenblaetter/2100000-2199999/002114678-da-01-en-SAMSUNG_LINIMNCOO2_INR21700_50E_AKKU.pdf" TargetMode="External"/><Relationship Id="rId1" Type="http://schemas.openxmlformats.org/officeDocument/2006/relationships/hyperlink" Target="https://produktinfo.conrad.com/datenblaetter/2100000-2199999/002114678-da-01-en-SAMSUNG_LINIMNCOO2_INR21700_50E_AKKU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7DDF-7453-4344-A516-9B62A46D8DFB}">
  <dimension ref="B1:F27"/>
  <sheetViews>
    <sheetView workbookViewId="0">
      <selection activeCell="E11" sqref="E11"/>
    </sheetView>
  </sheetViews>
  <sheetFormatPr baseColWidth="10" defaultColWidth="11.5703125" defaultRowHeight="15" x14ac:dyDescent="0.25"/>
  <cols>
    <col min="2" max="2" width="11.5703125" style="154"/>
    <col min="4" max="4" width="44.7109375" customWidth="1"/>
    <col min="5" max="5" width="13.28515625" bestFit="1" customWidth="1"/>
    <col min="6" max="6" width="22.7109375" bestFit="1" customWidth="1"/>
  </cols>
  <sheetData>
    <row r="1" spans="2:6" ht="15.75" thickBot="1" x14ac:dyDescent="0.3"/>
    <row r="2" spans="2:6" x14ac:dyDescent="0.25">
      <c r="C2" s="3" t="s">
        <v>0</v>
      </c>
      <c r="D2" s="4"/>
      <c r="E2" s="5" t="s">
        <v>1</v>
      </c>
      <c r="F2" s="6" t="s">
        <v>64</v>
      </c>
    </row>
    <row r="3" spans="2:6" x14ac:dyDescent="0.25">
      <c r="C3" s="7" t="s">
        <v>2</v>
      </c>
      <c r="D3" t="s">
        <v>14</v>
      </c>
      <c r="E3" s="8" t="s">
        <v>3</v>
      </c>
      <c r="F3" s="9">
        <f>LOOKUP(2,1/(NOT(ISBLANK(B8:B17))),B8:B17)</f>
        <v>0.3</v>
      </c>
    </row>
    <row r="4" spans="2:6" ht="15.75" thickBot="1" x14ac:dyDescent="0.3">
      <c r="C4" s="10"/>
      <c r="D4" s="11"/>
      <c r="E4" s="12" t="s">
        <v>4</v>
      </c>
      <c r="F4" s="13">
        <f>LOOKUP(2,1/(NOT(ISBLANK(C8:C17))),C8:C17)</f>
        <v>43781</v>
      </c>
    </row>
    <row r="6" spans="2:6" ht="15.75" thickBot="1" x14ac:dyDescent="0.3"/>
    <row r="7" spans="2:6" x14ac:dyDescent="0.25">
      <c r="B7" s="169" t="s">
        <v>5</v>
      </c>
      <c r="C7" s="14" t="s">
        <v>6</v>
      </c>
      <c r="D7" s="14" t="s">
        <v>7</v>
      </c>
      <c r="E7" s="14" t="s">
        <v>8</v>
      </c>
      <c r="F7" s="15" t="s">
        <v>9</v>
      </c>
    </row>
    <row r="8" spans="2:6" x14ac:dyDescent="0.25">
      <c r="B8" s="16">
        <v>0.1</v>
      </c>
      <c r="C8" s="17">
        <v>43775</v>
      </c>
      <c r="D8" s="18" t="s">
        <v>258</v>
      </c>
      <c r="E8" s="18" t="s">
        <v>258</v>
      </c>
      <c r="F8" s="19" t="s">
        <v>259</v>
      </c>
    </row>
    <row r="9" spans="2:6" x14ac:dyDescent="0.25">
      <c r="B9" s="16">
        <v>0.2</v>
      </c>
      <c r="C9" s="20">
        <v>43780</v>
      </c>
      <c r="D9" s="18" t="s">
        <v>260</v>
      </c>
      <c r="E9" s="18" t="s">
        <v>261</v>
      </c>
      <c r="F9" s="19" t="s">
        <v>259</v>
      </c>
    </row>
    <row r="10" spans="2:6" x14ac:dyDescent="0.25">
      <c r="B10" s="16">
        <v>0.3</v>
      </c>
      <c r="C10" s="20">
        <v>43781</v>
      </c>
      <c r="D10" s="18" t="s">
        <v>262</v>
      </c>
      <c r="E10" s="18" t="s">
        <v>263</v>
      </c>
      <c r="F10" s="19" t="s">
        <v>259</v>
      </c>
    </row>
    <row r="11" spans="2:6" x14ac:dyDescent="0.25">
      <c r="B11" s="16"/>
      <c r="C11" s="20"/>
      <c r="D11" s="18"/>
      <c r="E11" s="18"/>
      <c r="F11" s="19"/>
    </row>
    <row r="12" spans="2:6" x14ac:dyDescent="0.25">
      <c r="B12" s="16"/>
      <c r="C12" s="20"/>
      <c r="D12" s="18"/>
      <c r="E12" s="18"/>
      <c r="F12" s="19"/>
    </row>
    <row r="13" spans="2:6" x14ac:dyDescent="0.25">
      <c r="B13" s="16"/>
      <c r="C13" s="20"/>
      <c r="D13" s="18"/>
      <c r="E13" s="18"/>
      <c r="F13" s="19"/>
    </row>
    <row r="14" spans="2:6" x14ac:dyDescent="0.25">
      <c r="B14" s="16"/>
      <c r="C14" s="20"/>
      <c r="D14" s="18"/>
      <c r="E14" s="18"/>
      <c r="F14" s="19"/>
    </row>
    <row r="15" spans="2:6" x14ac:dyDescent="0.25">
      <c r="B15" s="16"/>
      <c r="C15" s="20"/>
      <c r="D15" s="18"/>
      <c r="E15" s="18"/>
      <c r="F15" s="19"/>
    </row>
    <row r="16" spans="2:6" x14ac:dyDescent="0.25">
      <c r="B16" s="16"/>
      <c r="C16" s="20"/>
      <c r="D16" s="18"/>
      <c r="E16" s="18"/>
      <c r="F16" s="19"/>
    </row>
    <row r="17" spans="2:6" ht="15.75" thickBot="1" x14ac:dyDescent="0.3">
      <c r="B17" s="170"/>
      <c r="C17" s="21"/>
      <c r="D17" s="22"/>
      <c r="E17" s="22"/>
      <c r="F17" s="23"/>
    </row>
    <row r="20" spans="2:6" ht="15.75" thickBot="1" x14ac:dyDescent="0.3"/>
    <row r="21" spans="2:6" x14ac:dyDescent="0.25">
      <c r="B21" s="169" t="s">
        <v>5</v>
      </c>
      <c r="C21" s="14" t="s">
        <v>10</v>
      </c>
      <c r="D21" s="15" t="s">
        <v>11</v>
      </c>
    </row>
    <row r="22" spans="2:6" x14ac:dyDescent="0.25">
      <c r="B22" s="16"/>
      <c r="C22" s="25"/>
      <c r="D22" s="19"/>
    </row>
    <row r="23" spans="2:6" ht="15.75" thickBot="1" x14ac:dyDescent="0.3">
      <c r="B23" s="170"/>
      <c r="C23" s="26"/>
      <c r="D23" s="23"/>
    </row>
    <row r="24" spans="2:6" ht="15.75" thickBot="1" x14ac:dyDescent="0.3"/>
    <row r="25" spans="2:6" x14ac:dyDescent="0.25">
      <c r="B25" s="169" t="s">
        <v>12</v>
      </c>
      <c r="C25" s="14" t="s">
        <v>6</v>
      </c>
      <c r="D25" s="15" t="s">
        <v>13</v>
      </c>
    </row>
    <row r="26" spans="2:6" x14ac:dyDescent="0.25">
      <c r="B26" s="16"/>
      <c r="C26" s="25"/>
      <c r="D26" s="19"/>
    </row>
    <row r="27" spans="2:6" ht="15.75" thickBot="1" x14ac:dyDescent="0.3">
      <c r="B27" s="170"/>
      <c r="C27" s="26"/>
      <c r="D2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8381-2B6E-4649-9F2E-71D237A58030}">
  <dimension ref="B3:H11"/>
  <sheetViews>
    <sheetView workbookViewId="0">
      <selection activeCell="C36" sqref="C36"/>
    </sheetView>
  </sheetViews>
  <sheetFormatPr baseColWidth="10" defaultColWidth="9.140625" defaultRowHeight="15" x14ac:dyDescent="0.25"/>
  <cols>
    <col min="2" max="2" width="15" bestFit="1" customWidth="1"/>
    <col min="6" max="6" width="4.85546875" bestFit="1" customWidth="1"/>
  </cols>
  <sheetData>
    <row r="3" spans="2:8" x14ac:dyDescent="0.25">
      <c r="B3" s="1" t="s">
        <v>15</v>
      </c>
      <c r="C3" s="1"/>
      <c r="D3" s="1"/>
      <c r="F3" s="1" t="s">
        <v>85</v>
      </c>
      <c r="G3" s="1"/>
      <c r="H3" s="1"/>
    </row>
    <row r="4" spans="2:8" x14ac:dyDescent="0.25">
      <c r="B4" s="155" t="s">
        <v>80</v>
      </c>
      <c r="C4" s="28">
        <v>550</v>
      </c>
      <c r="D4" s="30" t="s">
        <v>18</v>
      </c>
      <c r="F4" s="155" t="s">
        <v>74</v>
      </c>
      <c r="G4" s="18">
        <f>BoH!$C$3</f>
        <v>6378</v>
      </c>
      <c r="H4" s="30" t="s">
        <v>18</v>
      </c>
    </row>
    <row r="5" spans="2:8" x14ac:dyDescent="0.25">
      <c r="B5" s="155" t="s">
        <v>81</v>
      </c>
      <c r="C5" s="28">
        <v>97.7</v>
      </c>
      <c r="D5" s="30" t="s">
        <v>76</v>
      </c>
      <c r="F5" s="155" t="s">
        <v>73</v>
      </c>
      <c r="G5" s="28"/>
      <c r="H5" s="30" t="s">
        <v>18</v>
      </c>
    </row>
    <row r="6" spans="2:8" x14ac:dyDescent="0.25">
      <c r="B6" s="155" t="s">
        <v>82</v>
      </c>
      <c r="C6" s="18">
        <f>2*PI()*SQRT(((C4+BoH!C3)*1000)^3/BoH!C4)</f>
        <v>5738.8226324713114</v>
      </c>
      <c r="D6" s="30" t="s">
        <v>77</v>
      </c>
      <c r="F6" s="155" t="s">
        <v>72</v>
      </c>
      <c r="G6" s="28"/>
      <c r="H6" s="30" t="s">
        <v>18</v>
      </c>
    </row>
    <row r="7" spans="2:8" x14ac:dyDescent="0.25">
      <c r="B7" s="155" t="s">
        <v>82</v>
      </c>
      <c r="C7" s="18">
        <f>C6/3600</f>
        <v>1.5941173979086976</v>
      </c>
      <c r="D7" s="30" t="s">
        <v>78</v>
      </c>
      <c r="F7" s="155" t="s">
        <v>71</v>
      </c>
      <c r="G7" s="18">
        <f>$G$4+G5</f>
        <v>6378</v>
      </c>
      <c r="H7" s="30" t="s">
        <v>18</v>
      </c>
    </row>
    <row r="8" spans="2:8" x14ac:dyDescent="0.25">
      <c r="B8" s="155" t="s">
        <v>62</v>
      </c>
      <c r="C8" s="28">
        <v>0.33</v>
      </c>
      <c r="D8" s="30" t="s">
        <v>79</v>
      </c>
      <c r="F8" s="155" t="s">
        <v>70</v>
      </c>
      <c r="G8" s="18">
        <f>$G$4+G6</f>
        <v>6378</v>
      </c>
      <c r="H8" s="30" t="s">
        <v>18</v>
      </c>
    </row>
    <row r="9" spans="2:8" x14ac:dyDescent="0.25">
      <c r="B9" s="155" t="s">
        <v>83</v>
      </c>
      <c r="C9" s="18">
        <f>C8*C6</f>
        <v>1893.8114687155328</v>
      </c>
      <c r="D9" s="30" t="s">
        <v>77</v>
      </c>
      <c r="F9" s="155" t="s">
        <v>69</v>
      </c>
      <c r="G9" s="18">
        <f>(G8-G7)/(G8+G7)</f>
        <v>0</v>
      </c>
      <c r="H9" s="30"/>
    </row>
    <row r="10" spans="2:8" x14ac:dyDescent="0.25">
      <c r="B10" s="155" t="s">
        <v>84</v>
      </c>
      <c r="C10" s="18">
        <f>C6-C9</f>
        <v>3845.0111637557784</v>
      </c>
      <c r="D10" s="30" t="s">
        <v>77</v>
      </c>
      <c r="F10" s="155" t="s">
        <v>86</v>
      </c>
      <c r="G10" s="18">
        <f>AVERAGE(G7:G8)</f>
        <v>6378</v>
      </c>
      <c r="H10" s="30" t="s">
        <v>18</v>
      </c>
    </row>
    <row r="11" spans="2:8" x14ac:dyDescent="0.25">
      <c r="F11" s="155" t="s">
        <v>75</v>
      </c>
      <c r="G11" s="28"/>
      <c r="H11" s="30" t="s">
        <v>76</v>
      </c>
    </row>
  </sheetData>
  <mergeCells count="2">
    <mergeCell ref="F3:H3"/>
    <mergeCell ref="B3:D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2522-02C7-4BCB-B771-72BB209061DC}">
  <dimension ref="A2:E32"/>
  <sheetViews>
    <sheetView workbookViewId="0">
      <selection activeCell="A2" sqref="A2:C9"/>
    </sheetView>
  </sheetViews>
  <sheetFormatPr baseColWidth="10" defaultColWidth="9.140625" defaultRowHeight="15" x14ac:dyDescent="0.25"/>
  <cols>
    <col min="1" max="1" width="15.42578125" bestFit="1" customWidth="1"/>
    <col min="2" max="2" width="23.140625" bestFit="1" customWidth="1"/>
    <col min="3" max="3" width="9.5703125" bestFit="1" customWidth="1"/>
    <col min="4" max="4" width="10.28515625" bestFit="1" customWidth="1"/>
    <col min="5" max="5" width="35.5703125" bestFit="1" customWidth="1"/>
  </cols>
  <sheetData>
    <row r="2" spans="1:5" ht="15.75" thickBot="1" x14ac:dyDescent="0.3">
      <c r="B2" s="33" t="s">
        <v>20</v>
      </c>
      <c r="C2" s="34" t="s">
        <v>26</v>
      </c>
      <c r="D2" s="34" t="s">
        <v>223</v>
      </c>
      <c r="E2" s="34" t="s">
        <v>27</v>
      </c>
    </row>
    <row r="3" spans="1:5" x14ac:dyDescent="0.25">
      <c r="A3" s="2" t="s">
        <v>24</v>
      </c>
      <c r="B3" s="35" t="s">
        <v>21</v>
      </c>
      <c r="C3" s="42">
        <v>1</v>
      </c>
      <c r="D3" s="27">
        <v>2500</v>
      </c>
      <c r="E3" s="36"/>
    </row>
    <row r="4" spans="1:5" x14ac:dyDescent="0.25">
      <c r="A4" s="175"/>
      <c r="B4" s="18" t="s">
        <v>25</v>
      </c>
      <c r="C4" s="43">
        <v>0.92</v>
      </c>
      <c r="D4" s="27">
        <v>2500</v>
      </c>
      <c r="E4" s="19" t="s">
        <v>197</v>
      </c>
    </row>
    <row r="5" spans="1:5" x14ac:dyDescent="0.25">
      <c r="A5" s="175"/>
      <c r="B5" s="18" t="s">
        <v>22</v>
      </c>
      <c r="C5" s="43">
        <v>0.92</v>
      </c>
      <c r="D5" s="27">
        <v>2500</v>
      </c>
      <c r="E5" s="19" t="s">
        <v>197</v>
      </c>
    </row>
    <row r="6" spans="1:5" ht="15.75" thickBot="1" x14ac:dyDescent="0.3">
      <c r="A6" s="176"/>
      <c r="B6" s="22" t="s">
        <v>23</v>
      </c>
      <c r="C6" s="44">
        <v>0.92</v>
      </c>
      <c r="D6" s="27">
        <v>2500</v>
      </c>
      <c r="E6" s="23" t="s">
        <v>197</v>
      </c>
    </row>
    <row r="7" spans="1:5" ht="15.75" thickBot="1" x14ac:dyDescent="0.3">
      <c r="A7" s="37" t="s">
        <v>198</v>
      </c>
      <c r="B7" s="38" t="s">
        <v>30</v>
      </c>
      <c r="C7" s="45">
        <v>0.8</v>
      </c>
      <c r="D7" s="38"/>
      <c r="E7" s="39" t="s">
        <v>197</v>
      </c>
    </row>
    <row r="8" spans="1:5" ht="15.75" thickBot="1" x14ac:dyDescent="0.3">
      <c r="A8" s="40" t="s">
        <v>28</v>
      </c>
      <c r="B8" s="38" t="s">
        <v>29</v>
      </c>
      <c r="C8" s="45">
        <v>0.98</v>
      </c>
      <c r="D8" s="38"/>
      <c r="E8" s="39" t="s">
        <v>197</v>
      </c>
    </row>
    <row r="9" spans="1:5" ht="15.75" thickBot="1" x14ac:dyDescent="0.3">
      <c r="A9" s="40" t="s">
        <v>31</v>
      </c>
      <c r="B9" s="38" t="s">
        <v>32</v>
      </c>
      <c r="C9" s="45">
        <v>1.4999999999999999E-2</v>
      </c>
      <c r="D9" s="38"/>
      <c r="E9" s="39" t="s">
        <v>189</v>
      </c>
    </row>
    <row r="12" spans="1:5" x14ac:dyDescent="0.25">
      <c r="B12" s="31" t="s">
        <v>33</v>
      </c>
      <c r="C12" s="32"/>
      <c r="D12" s="32"/>
      <c r="E12" s="32" t="s">
        <v>27</v>
      </c>
    </row>
    <row r="13" spans="1:5" x14ac:dyDescent="0.25">
      <c r="B13" s="18" t="s">
        <v>35</v>
      </c>
      <c r="C13" s="28">
        <v>3.7</v>
      </c>
      <c r="D13" s="30" t="s">
        <v>34</v>
      </c>
      <c r="E13" s="60" t="s">
        <v>90</v>
      </c>
    </row>
    <row r="14" spans="1:5" x14ac:dyDescent="0.25">
      <c r="B14" s="18" t="s">
        <v>36</v>
      </c>
      <c r="C14" s="28">
        <v>5</v>
      </c>
      <c r="D14" s="30" t="s">
        <v>42</v>
      </c>
      <c r="E14" s="60" t="s">
        <v>90</v>
      </c>
    </row>
    <row r="15" spans="1:5" x14ac:dyDescent="0.25">
      <c r="B15" s="18" t="s">
        <v>37</v>
      </c>
      <c r="C15" s="28">
        <v>4</v>
      </c>
      <c r="D15" s="30"/>
      <c r="E15" s="18"/>
    </row>
    <row r="16" spans="1:5" x14ac:dyDescent="0.25">
      <c r="B16" s="18" t="s">
        <v>38</v>
      </c>
      <c r="C16" s="28">
        <v>3</v>
      </c>
      <c r="D16" s="30"/>
      <c r="E16" s="18"/>
    </row>
    <row r="17" spans="2:5" x14ac:dyDescent="0.25">
      <c r="B17" s="18" t="s">
        <v>39</v>
      </c>
      <c r="C17" s="18">
        <f>$C$15*$C$13</f>
        <v>14.8</v>
      </c>
      <c r="D17" s="30" t="s">
        <v>34</v>
      </c>
      <c r="E17" s="18"/>
    </row>
    <row r="18" spans="2:5" x14ac:dyDescent="0.25">
      <c r="B18" s="18" t="s">
        <v>40</v>
      </c>
      <c r="C18" s="18">
        <f>$C$16*$C$14</f>
        <v>15</v>
      </c>
      <c r="D18" s="30" t="s">
        <v>42</v>
      </c>
      <c r="E18" s="18"/>
    </row>
    <row r="19" spans="2:5" x14ac:dyDescent="0.25">
      <c r="B19" s="18" t="s">
        <v>41</v>
      </c>
      <c r="C19" s="18">
        <f>$C$13*$C$14*$C$15*$C$16</f>
        <v>222</v>
      </c>
      <c r="D19" s="30" t="s">
        <v>44</v>
      </c>
      <c r="E19" s="18"/>
    </row>
    <row r="20" spans="2:5" x14ac:dyDescent="0.25">
      <c r="B20" s="31" t="s">
        <v>53</v>
      </c>
      <c r="C20" s="31"/>
      <c r="D20" s="41"/>
      <c r="E20" s="31"/>
    </row>
    <row r="21" spans="2:5" x14ac:dyDescent="0.25">
      <c r="B21" s="18" t="s">
        <v>45</v>
      </c>
      <c r="C21" s="43">
        <v>0.98</v>
      </c>
      <c r="D21" s="30"/>
      <c r="E21" s="18" t="s">
        <v>199</v>
      </c>
    </row>
    <row r="22" spans="2:5" x14ac:dyDescent="0.25">
      <c r="B22" s="18" t="s">
        <v>46</v>
      </c>
      <c r="C22" s="18">
        <f>C21*C19*3600</f>
        <v>783216</v>
      </c>
      <c r="D22" s="30" t="s">
        <v>49</v>
      </c>
      <c r="E22" s="18"/>
    </row>
    <row r="23" spans="2:5" s="62" customFormat="1" x14ac:dyDescent="0.25">
      <c r="B23" s="18"/>
      <c r="C23" s="18">
        <f>C19*C21</f>
        <v>217.56</v>
      </c>
      <c r="D23" s="30" t="s">
        <v>44</v>
      </c>
      <c r="E23" s="18"/>
    </row>
    <row r="24" spans="2:5" x14ac:dyDescent="0.25">
      <c r="B24" s="18" t="s">
        <v>47</v>
      </c>
      <c r="C24" s="43">
        <v>0.96</v>
      </c>
      <c r="D24" s="30"/>
      <c r="E24" s="18" t="s">
        <v>199</v>
      </c>
    </row>
    <row r="25" spans="2:5" x14ac:dyDescent="0.25">
      <c r="B25" s="18" t="s">
        <v>48</v>
      </c>
      <c r="C25" s="18">
        <f>C24*C19*3600</f>
        <v>767232</v>
      </c>
      <c r="D25" s="30" t="s">
        <v>49</v>
      </c>
      <c r="E25" s="18"/>
    </row>
    <row r="26" spans="2:5" s="62" customFormat="1" x14ac:dyDescent="0.25">
      <c r="B26" s="18"/>
      <c r="C26" s="18">
        <f>C19*C24</f>
        <v>213.12</v>
      </c>
      <c r="D26" s="30" t="s">
        <v>44</v>
      </c>
      <c r="E26" s="18"/>
    </row>
    <row r="27" spans="2:5" x14ac:dyDescent="0.25">
      <c r="B27" s="31" t="s">
        <v>54</v>
      </c>
      <c r="C27" s="31"/>
      <c r="D27" s="41"/>
      <c r="E27" s="31"/>
    </row>
    <row r="28" spans="2:5" x14ac:dyDescent="0.25">
      <c r="B28" s="18" t="s">
        <v>50</v>
      </c>
      <c r="C28" s="43">
        <v>0.2</v>
      </c>
      <c r="D28" s="30"/>
      <c r="E28" s="18" t="s">
        <v>183</v>
      </c>
    </row>
    <row r="29" spans="2:5" x14ac:dyDescent="0.25">
      <c r="B29" s="18" t="s">
        <v>51</v>
      </c>
      <c r="C29" s="29">
        <f>1-C28</f>
        <v>0.8</v>
      </c>
      <c r="D29" s="30"/>
      <c r="E29" s="18"/>
    </row>
    <row r="32" spans="2:5" x14ac:dyDescent="0.25">
      <c r="B32" t="s">
        <v>87</v>
      </c>
    </row>
  </sheetData>
  <mergeCells count="1">
    <mergeCell ref="A3:A6"/>
  </mergeCells>
  <hyperlinks>
    <hyperlink ref="E13" r:id="rId1" xr:uid="{729464A1-497E-4130-BB71-7577F95525FA}"/>
    <hyperlink ref="E14" r:id="rId2" xr:uid="{6387AB52-A223-40F6-9441-8DA444680E64}"/>
  </hyperlinks>
  <pageMargins left="0.7" right="0.7" top="0.75" bottom="0.75" header="0.3" footer="0.3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FA28-C3D9-4BDF-9170-58AE292FF43B}">
  <sheetPr>
    <outlinePr applyStyles="1" summaryBelow="0" summaryRight="0"/>
  </sheetPr>
  <dimension ref="A1:N106"/>
  <sheetViews>
    <sheetView zoomScale="85" zoomScaleNormal="85" workbookViewId="0">
      <pane xSplit="3" topLeftCell="D1" activePane="topRight" state="frozen"/>
      <selection pane="topRight" activeCell="A4" sqref="A4:C104"/>
    </sheetView>
  </sheetViews>
  <sheetFormatPr baseColWidth="10" defaultColWidth="9.140625" defaultRowHeight="15" outlineLevelCol="1" x14ac:dyDescent="0.25"/>
  <cols>
    <col min="1" max="1" width="24.85546875" bestFit="1" customWidth="1"/>
    <col min="2" max="2" width="14.5703125" bestFit="1" customWidth="1" outlineLevel="1"/>
    <col min="3" max="3" width="15.5703125" bestFit="1" customWidth="1" outlineLevel="1"/>
    <col min="4" max="4" width="12.28515625" bestFit="1" customWidth="1"/>
    <col min="5" max="5" width="11.28515625" bestFit="1" customWidth="1"/>
    <col min="6" max="6" width="12.28515625" bestFit="1" customWidth="1"/>
    <col min="7" max="7" width="11.28515625" bestFit="1" customWidth="1"/>
    <col min="8" max="8" width="12.28515625" bestFit="1" customWidth="1"/>
    <col min="9" max="9" width="11.28515625" bestFit="1" customWidth="1"/>
    <col min="10" max="10" width="12.28515625" bestFit="1" customWidth="1"/>
    <col min="11" max="11" width="11.28515625" bestFit="1" customWidth="1"/>
    <col min="12" max="12" width="15.140625" bestFit="1" customWidth="1"/>
    <col min="13" max="13" width="11.85546875" bestFit="1" customWidth="1"/>
    <col min="14" max="14" width="15.140625" bestFit="1" customWidth="1"/>
  </cols>
  <sheetData>
    <row r="1" spans="1:14" ht="15.75" thickBot="1" x14ac:dyDescent="0.3"/>
    <row r="2" spans="1:14" s="65" customFormat="1" ht="29.25" customHeight="1" x14ac:dyDescent="0.25">
      <c r="D2" s="177" t="s">
        <v>184</v>
      </c>
      <c r="E2" s="178"/>
      <c r="F2" s="177" t="s">
        <v>180</v>
      </c>
      <c r="G2" s="178"/>
      <c r="H2" s="177" t="s">
        <v>185</v>
      </c>
      <c r="I2" s="178"/>
      <c r="J2" s="177" t="s">
        <v>186</v>
      </c>
      <c r="K2" s="178"/>
    </row>
    <row r="3" spans="1:14" ht="15.75" thickBot="1" x14ac:dyDescent="0.3">
      <c r="D3" s="181">
        <f>'EPS Parameters'!$C$17</f>
        <v>14.8</v>
      </c>
      <c r="E3" s="182"/>
      <c r="F3" s="179">
        <v>0</v>
      </c>
      <c r="G3" s="180"/>
      <c r="H3" s="179">
        <v>5</v>
      </c>
      <c r="I3" s="180"/>
      <c r="J3" s="179">
        <v>3.3</v>
      </c>
      <c r="K3" s="180"/>
    </row>
    <row r="4" spans="1:14" ht="30" x14ac:dyDescent="0.25">
      <c r="A4" s="125" t="s">
        <v>55</v>
      </c>
      <c r="B4" s="71" t="s">
        <v>56</v>
      </c>
      <c r="C4" s="73" t="s">
        <v>57</v>
      </c>
      <c r="D4" s="69" t="s">
        <v>174</v>
      </c>
      <c r="E4" s="70" t="s">
        <v>175</v>
      </c>
      <c r="F4" s="69" t="s">
        <v>174</v>
      </c>
      <c r="G4" s="70" t="s">
        <v>175</v>
      </c>
      <c r="H4" s="69" t="s">
        <v>174</v>
      </c>
      <c r="I4" s="70" t="s">
        <v>175</v>
      </c>
      <c r="J4" s="69" t="s">
        <v>174</v>
      </c>
      <c r="K4" s="70" t="s">
        <v>175</v>
      </c>
      <c r="L4" s="71" t="s">
        <v>172</v>
      </c>
      <c r="M4" s="72" t="s">
        <v>176</v>
      </c>
      <c r="N4" s="73" t="s">
        <v>173</v>
      </c>
    </row>
    <row r="5" spans="1:14" x14ac:dyDescent="0.25">
      <c r="A5" s="94" t="s">
        <v>288</v>
      </c>
      <c r="B5" s="57" t="s">
        <v>264</v>
      </c>
      <c r="C5" s="53" t="s">
        <v>265</v>
      </c>
      <c r="D5" s="57">
        <v>169</v>
      </c>
      <c r="E5" s="50">
        <f>Table11[[#This Row],[Current
'[mA']]]*$D$3/1000</f>
        <v>2.5012000000000003</v>
      </c>
      <c r="F5" s="57"/>
      <c r="G5" s="50">
        <f>Table1116[[#This Row],[Current
'[mA']]]*$F$3/1000</f>
        <v>0</v>
      </c>
      <c r="H5" s="57"/>
      <c r="I5" s="50">
        <f>Table111618[[#This Row],[Current
'[mA']]]*$H$3/1000</f>
        <v>0</v>
      </c>
      <c r="J5" s="57"/>
      <c r="K5" s="49">
        <f>Table111620[[#This Row],[Current
'[mA']]]*$J$3/1000</f>
        <v>0</v>
      </c>
      <c r="L5" s="75">
        <f>SUM(BoH!B19:E19)</f>
        <v>2.5522448979591839</v>
      </c>
      <c r="M5" s="66">
        <v>0.05</v>
      </c>
      <c r="N5" s="50">
        <f>Table21[[#This Row],[Effective
Power '[W']]]*(1+Table22[[#This Row],[Margin
'[%']]])</f>
        <v>2.6798571428571432</v>
      </c>
    </row>
    <row r="6" spans="1:14" x14ac:dyDescent="0.25">
      <c r="A6" s="94" t="s">
        <v>266</v>
      </c>
      <c r="B6" s="57" t="s">
        <v>264</v>
      </c>
      <c r="C6" s="53" t="s">
        <v>265</v>
      </c>
      <c r="D6" s="57"/>
      <c r="E6" s="50">
        <f>Table11[[#This Row],[Current
'[mA']]]*$D$3/1000</f>
        <v>0</v>
      </c>
      <c r="F6" s="57"/>
      <c r="G6" s="50">
        <f>Table1116[[#This Row],[Current
'[mA']]]*$F$3/1000</f>
        <v>0</v>
      </c>
      <c r="H6" s="57"/>
      <c r="I6" s="50">
        <f>Table111618[[#This Row],[Current
'[mA']]]*$H$3/1000</f>
        <v>0</v>
      </c>
      <c r="J6" s="57">
        <v>90</v>
      </c>
      <c r="K6" s="49">
        <f>Table111620[[#This Row],[Current
'[mA']]]*$J$3/1000</f>
        <v>0.29699999999999999</v>
      </c>
      <c r="L6" s="75">
        <f>SUM(BoH!B20:E20)</f>
        <v>0.32941437444543031</v>
      </c>
      <c r="M6" s="66">
        <v>0.05</v>
      </c>
      <c r="N6" s="50">
        <f>Table21[[#This Row],[Effective
Power '[W']]]*(1+Table22[[#This Row],[Margin
'[%']]])</f>
        <v>0.34588509316770183</v>
      </c>
    </row>
    <row r="7" spans="1:14" x14ac:dyDescent="0.25">
      <c r="A7" s="94" t="s">
        <v>267</v>
      </c>
      <c r="B7" s="57" t="s">
        <v>264</v>
      </c>
      <c r="C7" s="53" t="s">
        <v>265</v>
      </c>
      <c r="D7" s="57"/>
      <c r="E7" s="50">
        <f>Table11[[#This Row],[Current
'[mA']]]*$D$3/1000</f>
        <v>0</v>
      </c>
      <c r="F7" s="57"/>
      <c r="G7" s="50">
        <f>Table1116[[#This Row],[Current
'[mA']]]*$F$3/1000</f>
        <v>0</v>
      </c>
      <c r="H7" s="57"/>
      <c r="I7" s="50">
        <f>Table111618[[#This Row],[Current
'[mA']]]*$H$3/1000</f>
        <v>0</v>
      </c>
      <c r="J7" s="57">
        <v>140</v>
      </c>
      <c r="K7" s="49">
        <f>Table111620[[#This Row],[Current
'[mA']]]*$J$3/1000</f>
        <v>0.46200000000000002</v>
      </c>
      <c r="L7" s="75">
        <f>SUM(BoH!B21:E21)</f>
        <v>0.51242236024844723</v>
      </c>
      <c r="M7" s="66">
        <v>0.05</v>
      </c>
      <c r="N7" s="50">
        <f>Table21[[#This Row],[Effective
Power '[W']]]*(1+Table22[[#This Row],[Margin
'[%']]])</f>
        <v>0.53804347826086962</v>
      </c>
    </row>
    <row r="8" spans="1:14" x14ac:dyDescent="0.25">
      <c r="A8" s="94" t="s">
        <v>268</v>
      </c>
      <c r="B8" s="57" t="s">
        <v>264</v>
      </c>
      <c r="C8" s="53" t="s">
        <v>265</v>
      </c>
      <c r="D8" s="57"/>
      <c r="E8" s="50">
        <f>Table11[[#This Row],[Current
'[mA']]]*$D$3/1000</f>
        <v>0</v>
      </c>
      <c r="F8" s="57"/>
      <c r="G8" s="50">
        <f>Table1116[[#This Row],[Current
'[mA']]]*$F$3/1000</f>
        <v>0</v>
      </c>
      <c r="H8" s="57"/>
      <c r="I8" s="50">
        <f>Table111618[[#This Row],[Current
'[mA']]]*$H$3/1000</f>
        <v>0</v>
      </c>
      <c r="J8" s="57">
        <v>1515</v>
      </c>
      <c r="K8" s="49">
        <f>Table111620[[#This Row],[Current
'[mA']]]*$J$3/1000</f>
        <v>4.9995000000000003</v>
      </c>
      <c r="L8" s="75">
        <f>SUM(BoH!B22:E22)</f>
        <v>5.5451419698314108</v>
      </c>
      <c r="M8" s="66">
        <v>0.05</v>
      </c>
      <c r="N8" s="50">
        <f>Table21[[#This Row],[Effective
Power '[W']]]*(1+Table22[[#This Row],[Margin
'[%']]])</f>
        <v>5.8223990683229818</v>
      </c>
    </row>
    <row r="9" spans="1:14" x14ac:dyDescent="0.25">
      <c r="A9" s="94" t="s">
        <v>269</v>
      </c>
      <c r="B9" s="57" t="s">
        <v>264</v>
      </c>
      <c r="C9" s="53" t="s">
        <v>265</v>
      </c>
      <c r="D9" s="57"/>
      <c r="E9" s="50">
        <f>Table11[[#This Row],[Current
'[mA']]]*$D$3/1000</f>
        <v>0</v>
      </c>
      <c r="F9" s="57"/>
      <c r="G9" s="50">
        <f>Table1116[[#This Row],[Current
'[mA']]]*$F$3/1000</f>
        <v>0</v>
      </c>
      <c r="H9" s="57"/>
      <c r="I9" s="50">
        <f>Table111618[[#This Row],[Current
'[mA']]]*$H$3/1000</f>
        <v>0</v>
      </c>
      <c r="J9" s="57">
        <v>303</v>
      </c>
      <c r="K9" s="49">
        <f>Table111620[[#This Row],[Current
'[mA']]]*$J$3/1000</f>
        <v>0.99990000000000001</v>
      </c>
      <c r="L9" s="75">
        <f>SUM(BoH!B23:E23)</f>
        <v>1.1090283939662822</v>
      </c>
      <c r="M9" s="66">
        <v>0.05</v>
      </c>
      <c r="N9" s="50">
        <f>Table21[[#This Row],[Effective
Power '[W']]]*(1+Table22[[#This Row],[Margin
'[%']]])</f>
        <v>1.1644798136645964</v>
      </c>
    </row>
    <row r="10" spans="1:14" x14ac:dyDescent="0.25">
      <c r="A10" s="94" t="s">
        <v>270</v>
      </c>
      <c r="B10" s="57" t="s">
        <v>264</v>
      </c>
      <c r="C10" s="53" t="s">
        <v>286</v>
      </c>
      <c r="D10" s="57"/>
      <c r="E10" s="50">
        <f>Table11[[#This Row],[Current
'[mA']]]*$D$3/1000</f>
        <v>0</v>
      </c>
      <c r="F10" s="57"/>
      <c r="G10" s="50">
        <f>Table1116[[#This Row],[Current
'[mA']]]*$F$3/1000</f>
        <v>0</v>
      </c>
      <c r="H10" s="57"/>
      <c r="I10" s="50">
        <f>Table111618[[#This Row],[Current
'[mA']]]*$H$3/1000</f>
        <v>0</v>
      </c>
      <c r="J10" s="57">
        <v>62</v>
      </c>
      <c r="K10" s="49">
        <f>Table111620[[#This Row],[Current
'[mA']]]*$J$3/1000</f>
        <v>0.2046</v>
      </c>
      <c r="L10" s="75">
        <f>SUM(BoH!B24:E24)</f>
        <v>0.2269299023957409</v>
      </c>
      <c r="M10" s="66">
        <v>0.05</v>
      </c>
      <c r="N10" s="50">
        <f>Table21[[#This Row],[Effective
Power '[W']]]*(1+Table22[[#This Row],[Margin
'[%']]])</f>
        <v>0.23827639751552795</v>
      </c>
    </row>
    <row r="11" spans="1:14" x14ac:dyDescent="0.25">
      <c r="A11" s="94" t="s">
        <v>271</v>
      </c>
      <c r="B11" s="57" t="s">
        <v>264</v>
      </c>
      <c r="C11" s="53" t="s">
        <v>286</v>
      </c>
      <c r="D11" s="57"/>
      <c r="E11" s="50">
        <f>Table11[[#This Row],[Current
'[mA']]]*$D$3/1000</f>
        <v>0</v>
      </c>
      <c r="F11" s="57"/>
      <c r="G11" s="50">
        <f>Table1116[[#This Row],[Current
'[mA']]]*$F$3/1000</f>
        <v>0</v>
      </c>
      <c r="H11" s="57"/>
      <c r="I11" s="50">
        <f>Table111618[[#This Row],[Current
'[mA']]]*$H$3/1000</f>
        <v>0</v>
      </c>
      <c r="J11" s="57">
        <v>62</v>
      </c>
      <c r="K11" s="49">
        <f>Table111620[[#This Row],[Current
'[mA']]]*$J$3/1000</f>
        <v>0.2046</v>
      </c>
      <c r="L11" s="75">
        <f>SUM(BoH!B25:E25)</f>
        <v>0.2269299023957409</v>
      </c>
      <c r="M11" s="66">
        <v>0.05</v>
      </c>
      <c r="N11" s="50">
        <f>Table21[[#This Row],[Effective
Power '[W']]]*(1+Table22[[#This Row],[Margin
'[%']]])</f>
        <v>0.23827639751552795</v>
      </c>
    </row>
    <row r="12" spans="1:14" x14ac:dyDescent="0.25">
      <c r="A12" s="94" t="s">
        <v>272</v>
      </c>
      <c r="B12" s="57" t="s">
        <v>264</v>
      </c>
      <c r="C12" s="53" t="s">
        <v>286</v>
      </c>
      <c r="D12" s="57"/>
      <c r="E12" s="50">
        <f>Table11[[#This Row],[Current
'[mA']]]*$D$3/1000</f>
        <v>0</v>
      </c>
      <c r="F12" s="57"/>
      <c r="G12" s="50">
        <f>Table1116[[#This Row],[Current
'[mA']]]*$F$3/1000</f>
        <v>0</v>
      </c>
      <c r="H12" s="57">
        <v>228</v>
      </c>
      <c r="I12" s="50">
        <f>Table111618[[#This Row],[Current
'[mA']]]*$H$3/1000</f>
        <v>1.1399999999999999</v>
      </c>
      <c r="J12" s="57"/>
      <c r="K12" s="49">
        <f>Table111620[[#This Row],[Current
'[mA']]]*$J$3/1000</f>
        <v>0</v>
      </c>
      <c r="L12" s="75">
        <f>SUM(BoH!B26:E26)</f>
        <v>1.2644188110026617</v>
      </c>
      <c r="M12" s="66">
        <v>0.05</v>
      </c>
      <c r="N12" s="50">
        <f>Table21[[#This Row],[Effective
Power '[W']]]*(1+Table22[[#This Row],[Margin
'[%']]])</f>
        <v>1.3276397515527949</v>
      </c>
    </row>
    <row r="13" spans="1:14" x14ac:dyDescent="0.25">
      <c r="A13" s="94" t="s">
        <v>273</v>
      </c>
      <c r="B13" s="57" t="s">
        <v>264</v>
      </c>
      <c r="C13" s="53" t="s">
        <v>286</v>
      </c>
      <c r="D13" s="57"/>
      <c r="E13" s="50">
        <f>Table11[[#This Row],[Current
'[mA']]]*$D$3/1000</f>
        <v>0</v>
      </c>
      <c r="F13" s="57"/>
      <c r="G13" s="50">
        <f>Table1116[[#This Row],[Current
'[mA']]]*$F$3/1000</f>
        <v>0</v>
      </c>
      <c r="H13" s="57">
        <v>459</v>
      </c>
      <c r="I13" s="50">
        <f>Table111618[[#This Row],[Current
'[mA']]]*$H$3/1000</f>
        <v>2.2949999999999999</v>
      </c>
      <c r="J13" s="57"/>
      <c r="K13" s="49">
        <f>Table111620[[#This Row],[Current
'[mA']]]*$J$3/1000</f>
        <v>0</v>
      </c>
      <c r="L13" s="75">
        <f>SUM(BoH!B27:E27)</f>
        <v>2.5454747116237799</v>
      </c>
      <c r="M13" s="66">
        <v>0.05</v>
      </c>
      <c r="N13" s="50">
        <f>Table21[[#This Row],[Effective
Power '[W']]]*(1+Table22[[#This Row],[Margin
'[%']]])</f>
        <v>2.672748447204969</v>
      </c>
    </row>
    <row r="14" spans="1:14" x14ac:dyDescent="0.25">
      <c r="A14" s="94" t="s">
        <v>274</v>
      </c>
      <c r="B14" s="57" t="s">
        <v>264</v>
      </c>
      <c r="C14" s="53" t="s">
        <v>286</v>
      </c>
      <c r="D14" s="57"/>
      <c r="E14" s="50">
        <f>Table11[[#This Row],[Current
'[mA']]]*$D$3/1000</f>
        <v>0</v>
      </c>
      <c r="F14" s="57"/>
      <c r="G14" s="50">
        <f>Table1116[[#This Row],[Current
'[mA']]]*$F$3/1000</f>
        <v>0</v>
      </c>
      <c r="H14" s="57"/>
      <c r="I14" s="50">
        <f>Table111618[[#This Row],[Current
'[mA']]]*$H$3/1000</f>
        <v>0</v>
      </c>
      <c r="J14" s="57">
        <v>30</v>
      </c>
      <c r="K14" s="49">
        <f>Table111620[[#This Row],[Current
'[mA']]]*$J$3/1000</f>
        <v>9.9000000000000005E-2</v>
      </c>
      <c r="L14" s="75">
        <f>SUM(BoH!B28:E28)</f>
        <v>0.10980479148181012</v>
      </c>
      <c r="M14" s="66">
        <v>0.05</v>
      </c>
      <c r="N14" s="50">
        <f>Table21[[#This Row],[Effective
Power '[W']]]*(1+Table22[[#This Row],[Margin
'[%']]])</f>
        <v>0.11529503105590062</v>
      </c>
    </row>
    <row r="15" spans="1:14" x14ac:dyDescent="0.25">
      <c r="A15" s="94" t="s">
        <v>275</v>
      </c>
      <c r="B15" s="57" t="s">
        <v>264</v>
      </c>
      <c r="C15" s="53" t="s">
        <v>286</v>
      </c>
      <c r="D15" s="57"/>
      <c r="E15" s="50">
        <f>Table11[[#This Row],[Current
'[mA']]]*$D$3/1000</f>
        <v>0</v>
      </c>
      <c r="F15" s="57"/>
      <c r="G15" s="50">
        <f>Table1116[[#This Row],[Current
'[mA']]]*$F$3/1000</f>
        <v>0</v>
      </c>
      <c r="H15" s="57"/>
      <c r="I15" s="50">
        <f>Table111618[[#This Row],[Current
'[mA']]]*$H$3/1000</f>
        <v>0</v>
      </c>
      <c r="J15" s="57">
        <v>364</v>
      </c>
      <c r="K15" s="49">
        <f>Table111620[[#This Row],[Current
'[mA']]]*$J$3/1000</f>
        <v>1.2012</v>
      </c>
      <c r="L15" s="75">
        <f>SUM(BoH!B29:E29)</f>
        <v>1.3322981366459627</v>
      </c>
      <c r="M15" s="66">
        <v>0.05</v>
      </c>
      <c r="N15" s="50">
        <f>Table21[[#This Row],[Effective
Power '[W']]]*(1+Table22[[#This Row],[Margin
'[%']]])</f>
        <v>1.3989130434782608</v>
      </c>
    </row>
    <row r="16" spans="1:14" x14ac:dyDescent="0.25">
      <c r="A16" s="94" t="s">
        <v>276</v>
      </c>
      <c r="B16" s="57" t="s">
        <v>264</v>
      </c>
      <c r="C16" s="53" t="s">
        <v>287</v>
      </c>
      <c r="D16" s="57"/>
      <c r="E16" s="50">
        <f>Table11[[#This Row],[Current
'[mA']]]*$D$3/1000</f>
        <v>0</v>
      </c>
      <c r="F16" s="57"/>
      <c r="G16" s="50">
        <f>Table1116[[#This Row],[Current
'[mA']]]*$F$3/1000</f>
        <v>0</v>
      </c>
      <c r="H16" s="57">
        <v>1000</v>
      </c>
      <c r="I16" s="50">
        <f>Table111618[[#This Row],[Current
'[mA']]]*$H$3/1000</f>
        <v>5</v>
      </c>
      <c r="J16" s="57"/>
      <c r="K16" s="49">
        <f>Table111620[[#This Row],[Current
'[mA']]]*$J$3/1000</f>
        <v>0</v>
      </c>
      <c r="L16" s="75">
        <f>SUM(BoH!B30:E30)</f>
        <v>5.5456965394853599</v>
      </c>
      <c r="M16" s="66">
        <v>0.05</v>
      </c>
      <c r="N16" s="50">
        <f>Table21[[#This Row],[Effective
Power '[W']]]*(1+Table22[[#This Row],[Margin
'[%']]])</f>
        <v>5.8229813664596284</v>
      </c>
    </row>
    <row r="17" spans="1:14" x14ac:dyDescent="0.25">
      <c r="A17" s="94" t="s">
        <v>277</v>
      </c>
      <c r="B17" s="57" t="s">
        <v>283</v>
      </c>
      <c r="C17" s="53" t="s">
        <v>285</v>
      </c>
      <c r="D17" s="57"/>
      <c r="E17" s="50">
        <f>Table11[[#This Row],[Current
'[mA']]]*$D$3/1000</f>
        <v>0</v>
      </c>
      <c r="F17" s="57"/>
      <c r="G17" s="50">
        <f>Table1116[[#This Row],[Current
'[mA']]]*$F$3/1000</f>
        <v>0</v>
      </c>
      <c r="H17" s="57"/>
      <c r="I17" s="50">
        <f>Table111618[[#This Row],[Current
'[mA']]]*$H$3/1000</f>
        <v>0</v>
      </c>
      <c r="J17" s="57">
        <v>140</v>
      </c>
      <c r="K17" s="49">
        <f>Table111620[[#This Row],[Current
'[mA']]]*$J$3/1000</f>
        <v>0.46200000000000002</v>
      </c>
      <c r="L17" s="75">
        <f>SUM(BoH!B31:E31)</f>
        <v>0.51242236024844723</v>
      </c>
      <c r="M17" s="66">
        <v>0.1</v>
      </c>
      <c r="N17" s="50">
        <f>Table21[[#This Row],[Effective
Power '[W']]]*(1+Table22[[#This Row],[Margin
'[%']]])</f>
        <v>0.56366459627329202</v>
      </c>
    </row>
    <row r="18" spans="1:14" x14ac:dyDescent="0.25">
      <c r="A18" s="94" t="s">
        <v>278</v>
      </c>
      <c r="B18" s="57" t="s">
        <v>283</v>
      </c>
      <c r="C18" s="53" t="s">
        <v>278</v>
      </c>
      <c r="D18" s="57"/>
      <c r="E18" s="50">
        <f>Table11[[#This Row],[Current
'[mA']]]*$D$3/1000</f>
        <v>0</v>
      </c>
      <c r="F18" s="57"/>
      <c r="G18" s="50">
        <f>Table1116[[#This Row],[Current
'[mA']]]*$F$3/1000</f>
        <v>0</v>
      </c>
      <c r="H18" s="57">
        <v>600</v>
      </c>
      <c r="I18" s="50">
        <f>Table111618[[#This Row],[Current
'[mA']]]*$H$3/1000</f>
        <v>3</v>
      </c>
      <c r="J18" s="57"/>
      <c r="K18" s="49">
        <f>Table111620[[#This Row],[Current
'[mA']]]*$J$3/1000</f>
        <v>0</v>
      </c>
      <c r="L18" s="75">
        <f>SUM(BoH!B32:E32)</f>
        <v>3.3274179236912156</v>
      </c>
      <c r="M18" s="66">
        <v>0.2</v>
      </c>
      <c r="N18" s="50">
        <f>Table21[[#This Row],[Effective
Power '[W']]]*(1+Table22[[#This Row],[Margin
'[%']]])</f>
        <v>3.9929015084294583</v>
      </c>
    </row>
    <row r="19" spans="1:14" x14ac:dyDescent="0.25">
      <c r="A19" s="94" t="s">
        <v>279</v>
      </c>
      <c r="B19" s="57" t="s">
        <v>283</v>
      </c>
      <c r="C19" s="53" t="s">
        <v>284</v>
      </c>
      <c r="D19" s="57"/>
      <c r="E19" s="50">
        <f>Table11[[#This Row],[Current
'[mA']]]*$D$3/1000</f>
        <v>0</v>
      </c>
      <c r="F19" s="57"/>
      <c r="G19" s="50">
        <f>Table1116[[#This Row],[Current
'[mA']]]*$F$3/1000</f>
        <v>0</v>
      </c>
      <c r="H19" s="57">
        <v>40</v>
      </c>
      <c r="I19" s="50">
        <f>Table111618[[#This Row],[Current
'[mA']]]*$H$3/1000</f>
        <v>0.2</v>
      </c>
      <c r="J19" s="57"/>
      <c r="K19" s="49">
        <f>Table111620[[#This Row],[Current
'[mA']]]*$J$3/1000</f>
        <v>0</v>
      </c>
      <c r="L19" s="75">
        <f>SUM(BoH!B33:E33)</f>
        <v>0.22182786157941436</v>
      </c>
      <c r="M19" s="66">
        <v>0.2</v>
      </c>
      <c r="N19" s="50">
        <f>Table21[[#This Row],[Effective
Power '[W']]]*(1+Table22[[#This Row],[Margin
'[%']]])</f>
        <v>0.2661934338952972</v>
      </c>
    </row>
    <row r="20" spans="1:14" x14ac:dyDescent="0.25">
      <c r="A20" s="94" t="s">
        <v>280</v>
      </c>
      <c r="B20" s="57" t="s">
        <v>283</v>
      </c>
      <c r="C20" s="53" t="s">
        <v>284</v>
      </c>
      <c r="D20" s="57"/>
      <c r="E20" s="50">
        <f>Table11[[#This Row],[Current
'[mA']]]*$D$3/1000</f>
        <v>0</v>
      </c>
      <c r="F20" s="57"/>
      <c r="G20" s="50">
        <f>Table1116[[#This Row],[Current
'[mA']]]*$F$3/1000</f>
        <v>0</v>
      </c>
      <c r="H20" s="57">
        <v>200</v>
      </c>
      <c r="I20" s="50">
        <f>Table111618[[#This Row],[Current
'[mA']]]*$H$3/1000</f>
        <v>1</v>
      </c>
      <c r="J20" s="57"/>
      <c r="K20" s="49">
        <f>Table111620[[#This Row],[Current
'[mA']]]*$J$3/1000</f>
        <v>0</v>
      </c>
      <c r="L20" s="75">
        <f>SUM(BoH!B34:E34)</f>
        <v>1.1091393078970719</v>
      </c>
      <c r="M20" s="66">
        <v>0.2</v>
      </c>
      <c r="N20" s="50">
        <f>Table21[[#This Row],[Effective
Power '[W']]]*(1+Table22[[#This Row],[Margin
'[%']]])</f>
        <v>1.3309671694764862</v>
      </c>
    </row>
    <row r="21" spans="1:14" x14ac:dyDescent="0.25">
      <c r="A21" s="94" t="s">
        <v>281</v>
      </c>
      <c r="B21" s="57" t="s">
        <v>283</v>
      </c>
      <c r="C21" s="53" t="s">
        <v>281</v>
      </c>
      <c r="D21" s="57"/>
      <c r="E21" s="50">
        <f>Table11[[#This Row],[Current
'[mA']]]*$D$3/1000</f>
        <v>0</v>
      </c>
      <c r="F21" s="57"/>
      <c r="G21" s="50">
        <f>Table1116[[#This Row],[Current
'[mA']]]*$F$3/1000</f>
        <v>0</v>
      </c>
      <c r="H21" s="57">
        <v>800</v>
      </c>
      <c r="I21" s="50">
        <f>Table111618[[#This Row],[Current
'[mA']]]*$H$3/1000</f>
        <v>4</v>
      </c>
      <c r="J21" s="57"/>
      <c r="K21" s="49">
        <f>Table111620[[#This Row],[Current
'[mA']]]*$J$3/1000</f>
        <v>0</v>
      </c>
      <c r="L21" s="75">
        <f>SUM(BoH!B35:E35)</f>
        <v>4.4365572315882877</v>
      </c>
      <c r="M21" s="66">
        <v>0.2</v>
      </c>
      <c r="N21" s="50">
        <f>Table21[[#This Row],[Effective
Power '[W']]]*(1+Table22[[#This Row],[Margin
'[%']]])</f>
        <v>5.3238686779059448</v>
      </c>
    </row>
    <row r="22" spans="1:14" x14ac:dyDescent="0.25">
      <c r="A22" s="94" t="s">
        <v>282</v>
      </c>
      <c r="B22" s="57" t="s">
        <v>283</v>
      </c>
      <c r="C22" s="53" t="s">
        <v>282</v>
      </c>
      <c r="D22" s="57"/>
      <c r="E22" s="50">
        <f>Table11[[#This Row],[Current
'[mA']]]*$D$3/1000</f>
        <v>0</v>
      </c>
      <c r="F22" s="57"/>
      <c r="G22" s="50">
        <f>Table1116[[#This Row],[Current
'[mA']]]*$F$3/1000</f>
        <v>0</v>
      </c>
      <c r="H22" s="57">
        <v>40</v>
      </c>
      <c r="I22" s="50">
        <f>Table111618[[#This Row],[Current
'[mA']]]*$H$3/1000</f>
        <v>0.2</v>
      </c>
      <c r="J22" s="57"/>
      <c r="K22" s="49">
        <f>Table111620[[#This Row],[Current
'[mA']]]*$J$3/1000</f>
        <v>0</v>
      </c>
      <c r="L22" s="75">
        <f>SUM(BoH!B36:E36)</f>
        <v>0.22182786157941436</v>
      </c>
      <c r="M22" s="66">
        <v>0.2</v>
      </c>
      <c r="N22" s="50">
        <f>Table21[[#This Row],[Effective
Power '[W']]]*(1+Table22[[#This Row],[Margin
'[%']]])</f>
        <v>0.2661934338952972</v>
      </c>
    </row>
    <row r="23" spans="1:14" x14ac:dyDescent="0.25">
      <c r="A23" s="94" t="s">
        <v>289</v>
      </c>
      <c r="B23" s="57" t="s">
        <v>283</v>
      </c>
      <c r="C23" s="53" t="s">
        <v>289</v>
      </c>
      <c r="D23" s="57"/>
      <c r="E23" s="50">
        <f>Table11[[#This Row],[Current
'[mA']]]*$D$3/1000</f>
        <v>0</v>
      </c>
      <c r="F23" s="57"/>
      <c r="G23" s="50">
        <f>Table1116[[#This Row],[Current
'[mA']]]*$F$3/1000</f>
        <v>0</v>
      </c>
      <c r="H23" s="57"/>
      <c r="I23" s="50">
        <f>Table111618[[#This Row],[Current
'[mA']]]*$H$3/1000</f>
        <v>0</v>
      </c>
      <c r="J23" s="57">
        <v>80</v>
      </c>
      <c r="K23" s="49">
        <f>Table111620[[#This Row],[Current
'[mA']]]*$J$3/1000</f>
        <v>0.26400000000000001</v>
      </c>
      <c r="L23" s="75">
        <f>SUM(BoH!B37:E37)</f>
        <v>0.29281277728482696</v>
      </c>
      <c r="M23" s="66">
        <v>0.05</v>
      </c>
      <c r="N23" s="50">
        <f>Table21[[#This Row],[Effective
Power '[W']]]*(1+Table22[[#This Row],[Margin
'[%']]])</f>
        <v>0.30745341614906835</v>
      </c>
    </row>
    <row r="24" spans="1:14" hidden="1" x14ac:dyDescent="0.25">
      <c r="A24" s="94" t="s">
        <v>91</v>
      </c>
      <c r="B24" s="57"/>
      <c r="C24" s="53" t="s">
        <v>91</v>
      </c>
      <c r="D24" s="57"/>
      <c r="E24" s="50">
        <f>Table11[[#This Row],[Current
'[mA']]]*$D$3/1000</f>
        <v>0</v>
      </c>
      <c r="F24" s="57"/>
      <c r="G24" s="50">
        <f>Table1116[[#This Row],[Current
'[mA']]]*$F$3/1000</f>
        <v>0</v>
      </c>
      <c r="H24" s="57"/>
      <c r="I24" s="50">
        <f>Table111618[[#This Row],[Current
'[mA']]]*$H$3/1000</f>
        <v>0</v>
      </c>
      <c r="J24" s="57"/>
      <c r="K24" s="49">
        <f>Table111620[[#This Row],[Current
'[mA']]]*$J$3/1000</f>
        <v>0</v>
      </c>
      <c r="L24" s="75">
        <f>SUM(BoH!B38:E38)</f>
        <v>0</v>
      </c>
      <c r="M24" s="66"/>
      <c r="N24" s="50">
        <f>Table21[[#This Row],[Effective
Power '[W']]]*(1+Table22[[#This Row],[Margin
'[%']]])</f>
        <v>0</v>
      </c>
    </row>
    <row r="25" spans="1:14" hidden="1" x14ac:dyDescent="0.25">
      <c r="A25" s="94" t="s">
        <v>92</v>
      </c>
      <c r="B25" s="57"/>
      <c r="C25" s="53" t="s">
        <v>92</v>
      </c>
      <c r="D25" s="57"/>
      <c r="E25" s="50">
        <f>Table11[[#This Row],[Current
'[mA']]]*$D$3/1000</f>
        <v>0</v>
      </c>
      <c r="F25" s="57"/>
      <c r="G25" s="50">
        <f>Table1116[[#This Row],[Current
'[mA']]]*$F$3/1000</f>
        <v>0</v>
      </c>
      <c r="H25" s="57"/>
      <c r="I25" s="50">
        <f>Table111618[[#This Row],[Current
'[mA']]]*$H$3/1000</f>
        <v>0</v>
      </c>
      <c r="J25" s="57"/>
      <c r="K25" s="49">
        <f>Table111620[[#This Row],[Current
'[mA']]]*$J$3/1000</f>
        <v>0</v>
      </c>
      <c r="L25" s="75">
        <f>SUM(BoH!B39:E39)</f>
        <v>0</v>
      </c>
      <c r="M25" s="66"/>
      <c r="N25" s="50">
        <f>Table21[[#This Row],[Effective
Power '[W']]]*(1+Table22[[#This Row],[Margin
'[%']]])</f>
        <v>0</v>
      </c>
    </row>
    <row r="26" spans="1:14" hidden="1" x14ac:dyDescent="0.25">
      <c r="A26" s="94" t="s">
        <v>93</v>
      </c>
      <c r="B26" s="57"/>
      <c r="C26" s="53" t="s">
        <v>93</v>
      </c>
      <c r="D26" s="57"/>
      <c r="E26" s="50">
        <f>Table11[[#This Row],[Current
'[mA']]]*$D$3/1000</f>
        <v>0</v>
      </c>
      <c r="F26" s="57"/>
      <c r="G26" s="50">
        <f>Table1116[[#This Row],[Current
'[mA']]]*$F$3/1000</f>
        <v>0</v>
      </c>
      <c r="H26" s="57"/>
      <c r="I26" s="50">
        <f>Table111618[[#This Row],[Current
'[mA']]]*$H$3/1000</f>
        <v>0</v>
      </c>
      <c r="J26" s="57"/>
      <c r="K26" s="49">
        <f>Table111620[[#This Row],[Current
'[mA']]]*$J$3/1000</f>
        <v>0</v>
      </c>
      <c r="L26" s="75">
        <f>SUM(BoH!B40:E40)</f>
        <v>0</v>
      </c>
      <c r="M26" s="66"/>
      <c r="N26" s="50">
        <f>Table21[[#This Row],[Effective
Power '[W']]]*(1+Table22[[#This Row],[Margin
'[%']]])</f>
        <v>0</v>
      </c>
    </row>
    <row r="27" spans="1:14" hidden="1" x14ac:dyDescent="0.25">
      <c r="A27" s="94" t="s">
        <v>94</v>
      </c>
      <c r="B27" s="57"/>
      <c r="C27" s="53" t="s">
        <v>94</v>
      </c>
      <c r="D27" s="57"/>
      <c r="E27" s="50">
        <f>Table11[[#This Row],[Current
'[mA']]]*$D$3/1000</f>
        <v>0</v>
      </c>
      <c r="F27" s="57"/>
      <c r="G27" s="50">
        <f>Table1116[[#This Row],[Current
'[mA']]]*$F$3/1000</f>
        <v>0</v>
      </c>
      <c r="H27" s="57"/>
      <c r="I27" s="50">
        <f>Table111618[[#This Row],[Current
'[mA']]]*$H$3/1000</f>
        <v>0</v>
      </c>
      <c r="J27" s="57"/>
      <c r="K27" s="49">
        <f>Table111620[[#This Row],[Current
'[mA']]]*$J$3/1000</f>
        <v>0</v>
      </c>
      <c r="L27" s="75">
        <f>SUM(BoH!B41:E41)</f>
        <v>0</v>
      </c>
      <c r="M27" s="66"/>
      <c r="N27" s="50">
        <f>Table21[[#This Row],[Effective
Power '[W']]]*(1+Table22[[#This Row],[Margin
'[%']]])</f>
        <v>0</v>
      </c>
    </row>
    <row r="28" spans="1:14" hidden="1" x14ac:dyDescent="0.25">
      <c r="A28" s="94" t="s">
        <v>95</v>
      </c>
      <c r="B28" s="57"/>
      <c r="C28" s="53" t="s">
        <v>95</v>
      </c>
      <c r="D28" s="57"/>
      <c r="E28" s="50">
        <f>Table11[[#This Row],[Current
'[mA']]]*$D$3/1000</f>
        <v>0</v>
      </c>
      <c r="F28" s="57"/>
      <c r="G28" s="50">
        <f>Table1116[[#This Row],[Current
'[mA']]]*$F$3/1000</f>
        <v>0</v>
      </c>
      <c r="H28" s="57"/>
      <c r="I28" s="50">
        <f>Table111618[[#This Row],[Current
'[mA']]]*$H$3/1000</f>
        <v>0</v>
      </c>
      <c r="J28" s="57"/>
      <c r="K28" s="49">
        <f>Table111620[[#This Row],[Current
'[mA']]]*$J$3/1000</f>
        <v>0</v>
      </c>
      <c r="L28" s="75">
        <f>SUM(BoH!B42:E42)</f>
        <v>0</v>
      </c>
      <c r="M28" s="66"/>
      <c r="N28" s="50">
        <f>Table21[[#This Row],[Effective
Power '[W']]]*(1+Table22[[#This Row],[Margin
'[%']]])</f>
        <v>0</v>
      </c>
    </row>
    <row r="29" spans="1:14" hidden="1" x14ac:dyDescent="0.25">
      <c r="A29" s="94" t="s">
        <v>96</v>
      </c>
      <c r="B29" s="57"/>
      <c r="C29" s="53" t="s">
        <v>96</v>
      </c>
      <c r="D29" s="57"/>
      <c r="E29" s="50">
        <f>Table11[[#This Row],[Current
'[mA']]]*$D$3/1000</f>
        <v>0</v>
      </c>
      <c r="F29" s="57"/>
      <c r="G29" s="50">
        <f>Table1116[[#This Row],[Current
'[mA']]]*$F$3/1000</f>
        <v>0</v>
      </c>
      <c r="H29" s="57"/>
      <c r="I29" s="50">
        <f>Table111618[[#This Row],[Current
'[mA']]]*$H$3/1000</f>
        <v>0</v>
      </c>
      <c r="J29" s="57"/>
      <c r="K29" s="49">
        <f>Table111620[[#This Row],[Current
'[mA']]]*$J$3/1000</f>
        <v>0</v>
      </c>
      <c r="L29" s="75">
        <f>SUM(BoH!B43:E43)</f>
        <v>0</v>
      </c>
      <c r="M29" s="66"/>
      <c r="N29" s="50">
        <f>Table21[[#This Row],[Effective
Power '[W']]]*(1+Table22[[#This Row],[Margin
'[%']]])</f>
        <v>0</v>
      </c>
    </row>
    <row r="30" spans="1:14" hidden="1" x14ac:dyDescent="0.25">
      <c r="A30" s="94" t="s">
        <v>97</v>
      </c>
      <c r="B30" s="57"/>
      <c r="C30" s="53" t="s">
        <v>97</v>
      </c>
      <c r="D30" s="57"/>
      <c r="E30" s="50">
        <f>Table11[[#This Row],[Current
'[mA']]]*$D$3/1000</f>
        <v>0</v>
      </c>
      <c r="F30" s="57"/>
      <c r="G30" s="50">
        <f>Table1116[[#This Row],[Current
'[mA']]]*$F$3/1000</f>
        <v>0</v>
      </c>
      <c r="H30" s="57"/>
      <c r="I30" s="50">
        <f>Table111618[[#This Row],[Current
'[mA']]]*$H$3/1000</f>
        <v>0</v>
      </c>
      <c r="J30" s="57"/>
      <c r="K30" s="49">
        <f>Table111620[[#This Row],[Current
'[mA']]]*$J$3/1000</f>
        <v>0</v>
      </c>
      <c r="L30" s="75">
        <f>SUM(BoH!B44:E44)</f>
        <v>0</v>
      </c>
      <c r="M30" s="66"/>
      <c r="N30" s="50">
        <f>Table21[[#This Row],[Effective
Power '[W']]]*(1+Table22[[#This Row],[Margin
'[%']]])</f>
        <v>0</v>
      </c>
    </row>
    <row r="31" spans="1:14" hidden="1" x14ac:dyDescent="0.25">
      <c r="A31" s="94" t="s">
        <v>98</v>
      </c>
      <c r="B31" s="57"/>
      <c r="C31" s="53" t="s">
        <v>98</v>
      </c>
      <c r="D31" s="57"/>
      <c r="E31" s="50">
        <f>Table11[[#This Row],[Current
'[mA']]]*$D$3/1000</f>
        <v>0</v>
      </c>
      <c r="F31" s="57"/>
      <c r="G31" s="50">
        <f>Table1116[[#This Row],[Current
'[mA']]]*$F$3/1000</f>
        <v>0</v>
      </c>
      <c r="H31" s="57"/>
      <c r="I31" s="50">
        <f>Table111618[[#This Row],[Current
'[mA']]]*$H$3/1000</f>
        <v>0</v>
      </c>
      <c r="J31" s="57"/>
      <c r="K31" s="49">
        <f>Table111620[[#This Row],[Current
'[mA']]]*$J$3/1000</f>
        <v>0</v>
      </c>
      <c r="L31" s="75">
        <f>SUM(BoH!B45:E45)</f>
        <v>0</v>
      </c>
      <c r="M31" s="66"/>
      <c r="N31" s="50">
        <f>Table21[[#This Row],[Effective
Power '[W']]]*(1+Table22[[#This Row],[Margin
'[%']]])</f>
        <v>0</v>
      </c>
    </row>
    <row r="32" spans="1:14" hidden="1" x14ac:dyDescent="0.25">
      <c r="A32" s="94" t="s">
        <v>99</v>
      </c>
      <c r="B32" s="57"/>
      <c r="C32" s="53" t="s">
        <v>99</v>
      </c>
      <c r="D32" s="57"/>
      <c r="E32" s="50">
        <f>Table11[[#This Row],[Current
'[mA']]]*$D$3/1000</f>
        <v>0</v>
      </c>
      <c r="F32" s="57"/>
      <c r="G32" s="50">
        <f>Table1116[[#This Row],[Current
'[mA']]]*$F$3/1000</f>
        <v>0</v>
      </c>
      <c r="H32" s="57"/>
      <c r="I32" s="50">
        <f>Table111618[[#This Row],[Current
'[mA']]]*$H$3/1000</f>
        <v>0</v>
      </c>
      <c r="J32" s="57"/>
      <c r="K32" s="49">
        <f>Table111620[[#This Row],[Current
'[mA']]]*$J$3/1000</f>
        <v>0</v>
      </c>
      <c r="L32" s="75">
        <f>SUM(BoH!B46:E46)</f>
        <v>0</v>
      </c>
      <c r="M32" s="66"/>
      <c r="N32" s="50">
        <f>Table21[[#This Row],[Effective
Power '[W']]]*(1+Table22[[#This Row],[Margin
'[%']]])</f>
        <v>0</v>
      </c>
    </row>
    <row r="33" spans="1:14" hidden="1" x14ac:dyDescent="0.25">
      <c r="A33" s="94" t="s">
        <v>100</v>
      </c>
      <c r="B33" s="57"/>
      <c r="C33" s="53" t="s">
        <v>100</v>
      </c>
      <c r="D33" s="57"/>
      <c r="E33" s="50">
        <f>Table11[[#This Row],[Current
'[mA']]]*$D$3/1000</f>
        <v>0</v>
      </c>
      <c r="F33" s="57"/>
      <c r="G33" s="50">
        <f>Table1116[[#This Row],[Current
'[mA']]]*$F$3/1000</f>
        <v>0</v>
      </c>
      <c r="H33" s="57"/>
      <c r="I33" s="50">
        <f>Table111618[[#This Row],[Current
'[mA']]]*$H$3/1000</f>
        <v>0</v>
      </c>
      <c r="J33" s="57"/>
      <c r="K33" s="49">
        <f>Table111620[[#This Row],[Current
'[mA']]]*$J$3/1000</f>
        <v>0</v>
      </c>
      <c r="L33" s="75">
        <f>SUM(BoH!B47:E47)</f>
        <v>0</v>
      </c>
      <c r="M33" s="66"/>
      <c r="N33" s="50">
        <f>Table21[[#This Row],[Effective
Power '[W']]]*(1+Table22[[#This Row],[Margin
'[%']]])</f>
        <v>0</v>
      </c>
    </row>
    <row r="34" spans="1:14" hidden="1" x14ac:dyDescent="0.25">
      <c r="A34" s="94" t="s">
        <v>101</v>
      </c>
      <c r="B34" s="57"/>
      <c r="C34" s="53" t="s">
        <v>101</v>
      </c>
      <c r="D34" s="57"/>
      <c r="E34" s="50">
        <f>Table11[[#This Row],[Current
'[mA']]]*$D$3/1000</f>
        <v>0</v>
      </c>
      <c r="F34" s="57"/>
      <c r="G34" s="50">
        <f>Table1116[[#This Row],[Current
'[mA']]]*$F$3/1000</f>
        <v>0</v>
      </c>
      <c r="H34" s="57"/>
      <c r="I34" s="50">
        <f>Table111618[[#This Row],[Current
'[mA']]]*$H$3/1000</f>
        <v>0</v>
      </c>
      <c r="J34" s="57"/>
      <c r="K34" s="49">
        <f>Table111620[[#This Row],[Current
'[mA']]]*$J$3/1000</f>
        <v>0</v>
      </c>
      <c r="L34" s="75">
        <f>SUM(BoH!B48:E48)</f>
        <v>0</v>
      </c>
      <c r="M34" s="66"/>
      <c r="N34" s="50">
        <f>Table21[[#This Row],[Effective
Power '[W']]]*(1+Table22[[#This Row],[Margin
'[%']]])</f>
        <v>0</v>
      </c>
    </row>
    <row r="35" spans="1:14" hidden="1" x14ac:dyDescent="0.25">
      <c r="A35" s="94" t="s">
        <v>102</v>
      </c>
      <c r="B35" s="57"/>
      <c r="C35" s="53" t="s">
        <v>102</v>
      </c>
      <c r="D35" s="57"/>
      <c r="E35" s="50">
        <f>Table11[[#This Row],[Current
'[mA']]]*$D$3/1000</f>
        <v>0</v>
      </c>
      <c r="F35" s="57"/>
      <c r="G35" s="50">
        <f>Table1116[[#This Row],[Current
'[mA']]]*$F$3/1000</f>
        <v>0</v>
      </c>
      <c r="H35" s="57"/>
      <c r="I35" s="50">
        <f>Table111618[[#This Row],[Current
'[mA']]]*$H$3/1000</f>
        <v>0</v>
      </c>
      <c r="J35" s="57"/>
      <c r="K35" s="49">
        <f>Table111620[[#This Row],[Current
'[mA']]]*$J$3/1000</f>
        <v>0</v>
      </c>
      <c r="L35" s="75">
        <f>SUM(BoH!B49:E49)</f>
        <v>0</v>
      </c>
      <c r="M35" s="66"/>
      <c r="N35" s="50">
        <f>Table21[[#This Row],[Effective
Power '[W']]]*(1+Table22[[#This Row],[Margin
'[%']]])</f>
        <v>0</v>
      </c>
    </row>
    <row r="36" spans="1:14" hidden="1" x14ac:dyDescent="0.25">
      <c r="A36" s="94" t="s">
        <v>103</v>
      </c>
      <c r="B36" s="57"/>
      <c r="C36" s="53" t="s">
        <v>103</v>
      </c>
      <c r="D36" s="57"/>
      <c r="E36" s="50">
        <f>Table11[[#This Row],[Current
'[mA']]]*$D$3/1000</f>
        <v>0</v>
      </c>
      <c r="F36" s="57"/>
      <c r="G36" s="50">
        <f>Table1116[[#This Row],[Current
'[mA']]]*$F$3/1000</f>
        <v>0</v>
      </c>
      <c r="H36" s="57"/>
      <c r="I36" s="50">
        <f>Table111618[[#This Row],[Current
'[mA']]]*$H$3/1000</f>
        <v>0</v>
      </c>
      <c r="J36" s="57"/>
      <c r="K36" s="49">
        <f>Table111620[[#This Row],[Current
'[mA']]]*$J$3/1000</f>
        <v>0</v>
      </c>
      <c r="L36" s="75">
        <f>SUM(BoH!B50:E50)</f>
        <v>0</v>
      </c>
      <c r="M36" s="66"/>
      <c r="N36" s="50">
        <f>Table21[[#This Row],[Effective
Power '[W']]]*(1+Table22[[#This Row],[Margin
'[%']]])</f>
        <v>0</v>
      </c>
    </row>
    <row r="37" spans="1:14" hidden="1" x14ac:dyDescent="0.25">
      <c r="A37" s="94" t="s">
        <v>104</v>
      </c>
      <c r="B37" s="57"/>
      <c r="C37" s="53" t="s">
        <v>104</v>
      </c>
      <c r="D37" s="57"/>
      <c r="E37" s="50">
        <f>Table11[[#This Row],[Current
'[mA']]]*$D$3/1000</f>
        <v>0</v>
      </c>
      <c r="F37" s="57"/>
      <c r="G37" s="50">
        <f>Table1116[[#This Row],[Current
'[mA']]]*$F$3/1000</f>
        <v>0</v>
      </c>
      <c r="H37" s="57"/>
      <c r="I37" s="50">
        <f>Table111618[[#This Row],[Current
'[mA']]]*$H$3/1000</f>
        <v>0</v>
      </c>
      <c r="J37" s="57"/>
      <c r="K37" s="49">
        <f>Table111620[[#This Row],[Current
'[mA']]]*$J$3/1000</f>
        <v>0</v>
      </c>
      <c r="L37" s="75">
        <f>SUM(BoH!B51:E51)</f>
        <v>0</v>
      </c>
      <c r="M37" s="66"/>
      <c r="N37" s="50">
        <f>Table21[[#This Row],[Effective
Power '[W']]]*(1+Table22[[#This Row],[Margin
'[%']]])</f>
        <v>0</v>
      </c>
    </row>
    <row r="38" spans="1:14" hidden="1" x14ac:dyDescent="0.25">
      <c r="A38" s="94" t="s">
        <v>105</v>
      </c>
      <c r="B38" s="57"/>
      <c r="C38" s="53" t="s">
        <v>105</v>
      </c>
      <c r="D38" s="57"/>
      <c r="E38" s="50">
        <f>Table11[[#This Row],[Current
'[mA']]]*$D$3/1000</f>
        <v>0</v>
      </c>
      <c r="F38" s="57"/>
      <c r="G38" s="50">
        <f>Table1116[[#This Row],[Current
'[mA']]]*$F$3/1000</f>
        <v>0</v>
      </c>
      <c r="H38" s="57"/>
      <c r="I38" s="50">
        <f>Table111618[[#This Row],[Current
'[mA']]]*$H$3/1000</f>
        <v>0</v>
      </c>
      <c r="J38" s="57"/>
      <c r="K38" s="49">
        <f>Table111620[[#This Row],[Current
'[mA']]]*$J$3/1000</f>
        <v>0</v>
      </c>
      <c r="L38" s="75">
        <f>SUM(BoH!B52:E52)</f>
        <v>0</v>
      </c>
      <c r="M38" s="66"/>
      <c r="N38" s="50">
        <f>Table21[[#This Row],[Effective
Power '[W']]]*(1+Table22[[#This Row],[Margin
'[%']]])</f>
        <v>0</v>
      </c>
    </row>
    <row r="39" spans="1:14" hidden="1" x14ac:dyDescent="0.25">
      <c r="A39" s="94" t="s">
        <v>106</v>
      </c>
      <c r="B39" s="57"/>
      <c r="C39" s="53" t="s">
        <v>106</v>
      </c>
      <c r="D39" s="57"/>
      <c r="E39" s="50">
        <f>Table11[[#This Row],[Current
'[mA']]]*$D$3/1000</f>
        <v>0</v>
      </c>
      <c r="F39" s="57"/>
      <c r="G39" s="50">
        <f>Table1116[[#This Row],[Current
'[mA']]]*$F$3/1000</f>
        <v>0</v>
      </c>
      <c r="H39" s="57"/>
      <c r="I39" s="50">
        <f>Table111618[[#This Row],[Current
'[mA']]]*$H$3/1000</f>
        <v>0</v>
      </c>
      <c r="J39" s="57"/>
      <c r="K39" s="49">
        <f>Table111620[[#This Row],[Current
'[mA']]]*$J$3/1000</f>
        <v>0</v>
      </c>
      <c r="L39" s="75">
        <f>SUM(BoH!B53:E53)</f>
        <v>0</v>
      </c>
      <c r="M39" s="66"/>
      <c r="N39" s="50">
        <f>Table21[[#This Row],[Effective
Power '[W']]]*(1+Table22[[#This Row],[Margin
'[%']]])</f>
        <v>0</v>
      </c>
    </row>
    <row r="40" spans="1:14" hidden="1" x14ac:dyDescent="0.25">
      <c r="A40" s="94" t="s">
        <v>107</v>
      </c>
      <c r="B40" s="57"/>
      <c r="C40" s="53" t="s">
        <v>107</v>
      </c>
      <c r="D40" s="57"/>
      <c r="E40" s="50">
        <f>Table11[[#This Row],[Current
'[mA']]]*$D$3/1000</f>
        <v>0</v>
      </c>
      <c r="F40" s="57"/>
      <c r="G40" s="50">
        <f>Table1116[[#This Row],[Current
'[mA']]]*$F$3/1000</f>
        <v>0</v>
      </c>
      <c r="H40" s="57"/>
      <c r="I40" s="50">
        <f>Table111618[[#This Row],[Current
'[mA']]]*$H$3/1000</f>
        <v>0</v>
      </c>
      <c r="J40" s="57"/>
      <c r="K40" s="49">
        <f>Table111620[[#This Row],[Current
'[mA']]]*$J$3/1000</f>
        <v>0</v>
      </c>
      <c r="L40" s="75">
        <f>SUM(BoH!B54:E54)</f>
        <v>0</v>
      </c>
      <c r="M40" s="66"/>
      <c r="N40" s="50">
        <f>Table21[[#This Row],[Effective
Power '[W']]]*(1+Table22[[#This Row],[Margin
'[%']]])</f>
        <v>0</v>
      </c>
    </row>
    <row r="41" spans="1:14" hidden="1" x14ac:dyDescent="0.25">
      <c r="A41" s="94" t="s">
        <v>108</v>
      </c>
      <c r="B41" s="57"/>
      <c r="C41" s="53" t="s">
        <v>108</v>
      </c>
      <c r="D41" s="57"/>
      <c r="E41" s="50">
        <f>Table11[[#This Row],[Current
'[mA']]]*$D$3/1000</f>
        <v>0</v>
      </c>
      <c r="F41" s="57"/>
      <c r="G41" s="50">
        <f>Table1116[[#This Row],[Current
'[mA']]]*$F$3/1000</f>
        <v>0</v>
      </c>
      <c r="H41" s="57"/>
      <c r="I41" s="50">
        <f>Table111618[[#This Row],[Current
'[mA']]]*$H$3/1000</f>
        <v>0</v>
      </c>
      <c r="J41" s="57"/>
      <c r="K41" s="49">
        <f>Table111620[[#This Row],[Current
'[mA']]]*$J$3/1000</f>
        <v>0</v>
      </c>
      <c r="L41" s="75">
        <f>SUM(BoH!B55:E55)</f>
        <v>0</v>
      </c>
      <c r="M41" s="66"/>
      <c r="N41" s="50">
        <f>Table21[[#This Row],[Effective
Power '[W']]]*(1+Table22[[#This Row],[Margin
'[%']]])</f>
        <v>0</v>
      </c>
    </row>
    <row r="42" spans="1:14" hidden="1" x14ac:dyDescent="0.25">
      <c r="A42" s="94" t="s">
        <v>109</v>
      </c>
      <c r="B42" s="57"/>
      <c r="C42" s="53" t="s">
        <v>109</v>
      </c>
      <c r="D42" s="57"/>
      <c r="E42" s="50">
        <f>Table11[[#This Row],[Current
'[mA']]]*$D$3/1000</f>
        <v>0</v>
      </c>
      <c r="F42" s="57"/>
      <c r="G42" s="50">
        <f>Table1116[[#This Row],[Current
'[mA']]]*$F$3/1000</f>
        <v>0</v>
      </c>
      <c r="H42" s="57"/>
      <c r="I42" s="50">
        <f>Table111618[[#This Row],[Current
'[mA']]]*$H$3/1000</f>
        <v>0</v>
      </c>
      <c r="J42" s="57"/>
      <c r="K42" s="49">
        <f>Table111620[[#This Row],[Current
'[mA']]]*$J$3/1000</f>
        <v>0</v>
      </c>
      <c r="L42" s="75">
        <f>SUM(BoH!B56:E56)</f>
        <v>0</v>
      </c>
      <c r="M42" s="66"/>
      <c r="N42" s="50">
        <f>Table21[[#This Row],[Effective
Power '[W']]]*(1+Table22[[#This Row],[Margin
'[%']]])</f>
        <v>0</v>
      </c>
    </row>
    <row r="43" spans="1:14" hidden="1" x14ac:dyDescent="0.25">
      <c r="A43" s="94" t="s">
        <v>110</v>
      </c>
      <c r="B43" s="57"/>
      <c r="C43" s="53" t="s">
        <v>110</v>
      </c>
      <c r="D43" s="57"/>
      <c r="E43" s="50">
        <f>Table11[[#This Row],[Current
'[mA']]]*$D$3/1000</f>
        <v>0</v>
      </c>
      <c r="F43" s="57"/>
      <c r="G43" s="50">
        <f>Table1116[[#This Row],[Current
'[mA']]]*$F$3/1000</f>
        <v>0</v>
      </c>
      <c r="H43" s="57"/>
      <c r="I43" s="50">
        <f>Table111618[[#This Row],[Current
'[mA']]]*$H$3/1000</f>
        <v>0</v>
      </c>
      <c r="J43" s="57"/>
      <c r="K43" s="49">
        <f>Table111620[[#This Row],[Current
'[mA']]]*$J$3/1000</f>
        <v>0</v>
      </c>
      <c r="L43" s="75">
        <f>SUM(BoH!B57:E57)</f>
        <v>0</v>
      </c>
      <c r="M43" s="66"/>
      <c r="N43" s="50">
        <f>Table21[[#This Row],[Effective
Power '[W']]]*(1+Table22[[#This Row],[Margin
'[%']]])</f>
        <v>0</v>
      </c>
    </row>
    <row r="44" spans="1:14" hidden="1" x14ac:dyDescent="0.25">
      <c r="A44" s="94" t="s">
        <v>111</v>
      </c>
      <c r="B44" s="57"/>
      <c r="C44" s="53" t="s">
        <v>111</v>
      </c>
      <c r="D44" s="57"/>
      <c r="E44" s="50">
        <f>Table11[[#This Row],[Current
'[mA']]]*$D$3/1000</f>
        <v>0</v>
      </c>
      <c r="F44" s="57"/>
      <c r="G44" s="50">
        <f>Table1116[[#This Row],[Current
'[mA']]]*$F$3/1000</f>
        <v>0</v>
      </c>
      <c r="H44" s="57"/>
      <c r="I44" s="50">
        <f>Table111618[[#This Row],[Current
'[mA']]]*$H$3/1000</f>
        <v>0</v>
      </c>
      <c r="J44" s="57"/>
      <c r="K44" s="49">
        <f>Table111620[[#This Row],[Current
'[mA']]]*$J$3/1000</f>
        <v>0</v>
      </c>
      <c r="L44" s="75">
        <f>SUM(BoH!B58:E58)</f>
        <v>0</v>
      </c>
      <c r="M44" s="66"/>
      <c r="N44" s="50">
        <f>Table21[[#This Row],[Effective
Power '[W']]]*(1+Table22[[#This Row],[Margin
'[%']]])</f>
        <v>0</v>
      </c>
    </row>
    <row r="45" spans="1:14" hidden="1" x14ac:dyDescent="0.25">
      <c r="A45" s="94" t="s">
        <v>112</v>
      </c>
      <c r="B45" s="57"/>
      <c r="C45" s="53" t="s">
        <v>112</v>
      </c>
      <c r="D45" s="57"/>
      <c r="E45" s="50">
        <f>Table11[[#This Row],[Current
'[mA']]]*$D$3/1000</f>
        <v>0</v>
      </c>
      <c r="F45" s="57"/>
      <c r="G45" s="50">
        <f>Table1116[[#This Row],[Current
'[mA']]]*$F$3/1000</f>
        <v>0</v>
      </c>
      <c r="H45" s="57"/>
      <c r="I45" s="50">
        <f>Table111618[[#This Row],[Current
'[mA']]]*$H$3/1000</f>
        <v>0</v>
      </c>
      <c r="J45" s="57"/>
      <c r="K45" s="49">
        <f>Table111620[[#This Row],[Current
'[mA']]]*$J$3/1000</f>
        <v>0</v>
      </c>
      <c r="L45" s="75">
        <f>SUM(BoH!B59:E59)</f>
        <v>0</v>
      </c>
      <c r="M45" s="66"/>
      <c r="N45" s="50">
        <f>Table21[[#This Row],[Effective
Power '[W']]]*(1+Table22[[#This Row],[Margin
'[%']]])</f>
        <v>0</v>
      </c>
    </row>
    <row r="46" spans="1:14" hidden="1" x14ac:dyDescent="0.25">
      <c r="A46" s="94" t="s">
        <v>113</v>
      </c>
      <c r="B46" s="57"/>
      <c r="C46" s="53" t="s">
        <v>113</v>
      </c>
      <c r="D46" s="57"/>
      <c r="E46" s="50">
        <f>Table11[[#This Row],[Current
'[mA']]]*$D$3/1000</f>
        <v>0</v>
      </c>
      <c r="F46" s="57"/>
      <c r="G46" s="50">
        <f>Table1116[[#This Row],[Current
'[mA']]]*$F$3/1000</f>
        <v>0</v>
      </c>
      <c r="H46" s="57"/>
      <c r="I46" s="50">
        <f>Table111618[[#This Row],[Current
'[mA']]]*$H$3/1000</f>
        <v>0</v>
      </c>
      <c r="J46" s="57"/>
      <c r="K46" s="49">
        <f>Table111620[[#This Row],[Current
'[mA']]]*$J$3/1000</f>
        <v>0</v>
      </c>
      <c r="L46" s="75">
        <f>SUM(BoH!B60:E60)</f>
        <v>0</v>
      </c>
      <c r="M46" s="66"/>
      <c r="N46" s="50">
        <f>Table21[[#This Row],[Effective
Power '[W']]]*(1+Table22[[#This Row],[Margin
'[%']]])</f>
        <v>0</v>
      </c>
    </row>
    <row r="47" spans="1:14" hidden="1" x14ac:dyDescent="0.25">
      <c r="A47" s="94" t="s">
        <v>114</v>
      </c>
      <c r="B47" s="57"/>
      <c r="C47" s="53" t="s">
        <v>114</v>
      </c>
      <c r="D47" s="57"/>
      <c r="E47" s="50">
        <f>Table11[[#This Row],[Current
'[mA']]]*$D$3/1000</f>
        <v>0</v>
      </c>
      <c r="F47" s="57"/>
      <c r="G47" s="50">
        <f>Table1116[[#This Row],[Current
'[mA']]]*$F$3/1000</f>
        <v>0</v>
      </c>
      <c r="H47" s="57"/>
      <c r="I47" s="50">
        <f>Table111618[[#This Row],[Current
'[mA']]]*$H$3/1000</f>
        <v>0</v>
      </c>
      <c r="J47" s="57"/>
      <c r="K47" s="49">
        <f>Table111620[[#This Row],[Current
'[mA']]]*$J$3/1000</f>
        <v>0</v>
      </c>
      <c r="L47" s="75">
        <f>SUM(BoH!B61:E61)</f>
        <v>0</v>
      </c>
      <c r="M47" s="66"/>
      <c r="N47" s="50">
        <f>Table21[[#This Row],[Effective
Power '[W']]]*(1+Table22[[#This Row],[Margin
'[%']]])</f>
        <v>0</v>
      </c>
    </row>
    <row r="48" spans="1:14" hidden="1" x14ac:dyDescent="0.25">
      <c r="A48" s="94" t="s">
        <v>115</v>
      </c>
      <c r="B48" s="57"/>
      <c r="C48" s="53" t="s">
        <v>115</v>
      </c>
      <c r="D48" s="57"/>
      <c r="E48" s="50">
        <f>Table11[[#This Row],[Current
'[mA']]]*$D$3/1000</f>
        <v>0</v>
      </c>
      <c r="F48" s="57"/>
      <c r="G48" s="50">
        <f>Table1116[[#This Row],[Current
'[mA']]]*$F$3/1000</f>
        <v>0</v>
      </c>
      <c r="H48" s="57"/>
      <c r="I48" s="50">
        <f>Table111618[[#This Row],[Current
'[mA']]]*$H$3/1000</f>
        <v>0</v>
      </c>
      <c r="J48" s="57"/>
      <c r="K48" s="49">
        <f>Table111620[[#This Row],[Current
'[mA']]]*$J$3/1000</f>
        <v>0</v>
      </c>
      <c r="L48" s="75">
        <f>SUM(BoH!B62:E62)</f>
        <v>0</v>
      </c>
      <c r="M48" s="66"/>
      <c r="N48" s="50">
        <f>Table21[[#This Row],[Effective
Power '[W']]]*(1+Table22[[#This Row],[Margin
'[%']]])</f>
        <v>0</v>
      </c>
    </row>
    <row r="49" spans="1:14" hidden="1" x14ac:dyDescent="0.25">
      <c r="A49" s="94" t="s">
        <v>116</v>
      </c>
      <c r="B49" s="57"/>
      <c r="C49" s="53" t="s">
        <v>116</v>
      </c>
      <c r="D49" s="57"/>
      <c r="E49" s="50">
        <f>Table11[[#This Row],[Current
'[mA']]]*$D$3/1000</f>
        <v>0</v>
      </c>
      <c r="F49" s="57"/>
      <c r="G49" s="50">
        <f>Table1116[[#This Row],[Current
'[mA']]]*$F$3/1000</f>
        <v>0</v>
      </c>
      <c r="H49" s="57"/>
      <c r="I49" s="50">
        <f>Table111618[[#This Row],[Current
'[mA']]]*$H$3/1000</f>
        <v>0</v>
      </c>
      <c r="J49" s="57"/>
      <c r="K49" s="49">
        <f>Table111620[[#This Row],[Current
'[mA']]]*$J$3/1000</f>
        <v>0</v>
      </c>
      <c r="L49" s="75">
        <f>SUM(BoH!B63:E63)</f>
        <v>0</v>
      </c>
      <c r="M49" s="66"/>
      <c r="N49" s="50">
        <f>Table21[[#This Row],[Effective
Power '[W']]]*(1+Table22[[#This Row],[Margin
'[%']]])</f>
        <v>0</v>
      </c>
    </row>
    <row r="50" spans="1:14" hidden="1" x14ac:dyDescent="0.25">
      <c r="A50" s="94" t="s">
        <v>117</v>
      </c>
      <c r="B50" s="57"/>
      <c r="C50" s="53" t="s">
        <v>117</v>
      </c>
      <c r="D50" s="57"/>
      <c r="E50" s="50">
        <f>Table11[[#This Row],[Current
'[mA']]]*$D$3/1000</f>
        <v>0</v>
      </c>
      <c r="F50" s="57"/>
      <c r="G50" s="50">
        <f>Table1116[[#This Row],[Current
'[mA']]]*$F$3/1000</f>
        <v>0</v>
      </c>
      <c r="H50" s="57"/>
      <c r="I50" s="50">
        <f>Table111618[[#This Row],[Current
'[mA']]]*$H$3/1000</f>
        <v>0</v>
      </c>
      <c r="J50" s="57"/>
      <c r="K50" s="49">
        <f>Table111620[[#This Row],[Current
'[mA']]]*$J$3/1000</f>
        <v>0</v>
      </c>
      <c r="L50" s="75">
        <f>SUM(BoH!B64:E64)</f>
        <v>0</v>
      </c>
      <c r="M50" s="66"/>
      <c r="N50" s="50">
        <f>Table21[[#This Row],[Effective
Power '[W']]]*(1+Table22[[#This Row],[Margin
'[%']]])</f>
        <v>0</v>
      </c>
    </row>
    <row r="51" spans="1:14" hidden="1" x14ac:dyDescent="0.25">
      <c r="A51" s="94" t="s">
        <v>118</v>
      </c>
      <c r="B51" s="57"/>
      <c r="C51" s="53" t="s">
        <v>118</v>
      </c>
      <c r="D51" s="57"/>
      <c r="E51" s="50">
        <f>Table11[[#This Row],[Current
'[mA']]]*$D$3/1000</f>
        <v>0</v>
      </c>
      <c r="F51" s="57"/>
      <c r="G51" s="50">
        <f>Table1116[[#This Row],[Current
'[mA']]]*$F$3/1000</f>
        <v>0</v>
      </c>
      <c r="H51" s="57"/>
      <c r="I51" s="50">
        <f>Table111618[[#This Row],[Current
'[mA']]]*$H$3/1000</f>
        <v>0</v>
      </c>
      <c r="J51" s="57"/>
      <c r="K51" s="49">
        <f>Table111620[[#This Row],[Current
'[mA']]]*$J$3/1000</f>
        <v>0</v>
      </c>
      <c r="L51" s="75">
        <f>SUM(BoH!B65:E65)</f>
        <v>0</v>
      </c>
      <c r="M51" s="66"/>
      <c r="N51" s="50">
        <f>Table21[[#This Row],[Effective
Power '[W']]]*(1+Table22[[#This Row],[Margin
'[%']]])</f>
        <v>0</v>
      </c>
    </row>
    <row r="52" spans="1:14" hidden="1" x14ac:dyDescent="0.25">
      <c r="A52" s="94" t="s">
        <v>119</v>
      </c>
      <c r="B52" s="57"/>
      <c r="C52" s="53" t="s">
        <v>119</v>
      </c>
      <c r="D52" s="57"/>
      <c r="E52" s="50">
        <f>Table11[[#This Row],[Current
'[mA']]]*$D$3/1000</f>
        <v>0</v>
      </c>
      <c r="F52" s="57"/>
      <c r="G52" s="50">
        <f>Table1116[[#This Row],[Current
'[mA']]]*$F$3/1000</f>
        <v>0</v>
      </c>
      <c r="H52" s="57"/>
      <c r="I52" s="50">
        <f>Table111618[[#This Row],[Current
'[mA']]]*$H$3/1000</f>
        <v>0</v>
      </c>
      <c r="J52" s="57"/>
      <c r="K52" s="49">
        <f>Table111620[[#This Row],[Current
'[mA']]]*$J$3/1000</f>
        <v>0</v>
      </c>
      <c r="L52" s="75">
        <f>SUM(BoH!B66:E66)</f>
        <v>0</v>
      </c>
      <c r="M52" s="66"/>
      <c r="N52" s="50">
        <f>Table21[[#This Row],[Effective
Power '[W']]]*(1+Table22[[#This Row],[Margin
'[%']]])</f>
        <v>0</v>
      </c>
    </row>
    <row r="53" spans="1:14" hidden="1" x14ac:dyDescent="0.25">
      <c r="A53" s="94" t="s">
        <v>120</v>
      </c>
      <c r="B53" s="57"/>
      <c r="C53" s="53" t="s">
        <v>120</v>
      </c>
      <c r="D53" s="57"/>
      <c r="E53" s="50">
        <f>Table11[[#This Row],[Current
'[mA']]]*$D$3/1000</f>
        <v>0</v>
      </c>
      <c r="F53" s="57"/>
      <c r="G53" s="50">
        <f>Table1116[[#This Row],[Current
'[mA']]]*$F$3/1000</f>
        <v>0</v>
      </c>
      <c r="H53" s="57"/>
      <c r="I53" s="50">
        <f>Table111618[[#This Row],[Current
'[mA']]]*$H$3/1000</f>
        <v>0</v>
      </c>
      <c r="J53" s="57"/>
      <c r="K53" s="49">
        <f>Table111620[[#This Row],[Current
'[mA']]]*$J$3/1000</f>
        <v>0</v>
      </c>
      <c r="L53" s="75">
        <f>SUM(BoH!B67:E67)</f>
        <v>0</v>
      </c>
      <c r="M53" s="66"/>
      <c r="N53" s="50">
        <f>Table21[[#This Row],[Effective
Power '[W']]]*(1+Table22[[#This Row],[Margin
'[%']]])</f>
        <v>0</v>
      </c>
    </row>
    <row r="54" spans="1:14" hidden="1" x14ac:dyDescent="0.25">
      <c r="A54" s="94" t="s">
        <v>121</v>
      </c>
      <c r="B54" s="57"/>
      <c r="C54" s="53" t="s">
        <v>121</v>
      </c>
      <c r="D54" s="57"/>
      <c r="E54" s="50">
        <f>Table11[[#This Row],[Current
'[mA']]]*$D$3/1000</f>
        <v>0</v>
      </c>
      <c r="F54" s="57"/>
      <c r="G54" s="50">
        <f>Table1116[[#This Row],[Current
'[mA']]]*$F$3/1000</f>
        <v>0</v>
      </c>
      <c r="H54" s="57"/>
      <c r="I54" s="50">
        <f>Table111618[[#This Row],[Current
'[mA']]]*$H$3/1000</f>
        <v>0</v>
      </c>
      <c r="J54" s="57"/>
      <c r="K54" s="49">
        <f>Table111620[[#This Row],[Current
'[mA']]]*$J$3/1000</f>
        <v>0</v>
      </c>
      <c r="L54" s="75">
        <f>SUM(BoH!B68:E68)</f>
        <v>0</v>
      </c>
      <c r="M54" s="66"/>
      <c r="N54" s="50">
        <f>Table21[[#This Row],[Effective
Power '[W']]]*(1+Table22[[#This Row],[Margin
'[%']]])</f>
        <v>0</v>
      </c>
    </row>
    <row r="55" spans="1:14" hidden="1" x14ac:dyDescent="0.25">
      <c r="A55" s="94" t="s">
        <v>122</v>
      </c>
      <c r="B55" s="57"/>
      <c r="C55" s="53" t="s">
        <v>122</v>
      </c>
      <c r="D55" s="57"/>
      <c r="E55" s="50">
        <f>Table11[[#This Row],[Current
'[mA']]]*$D$3/1000</f>
        <v>0</v>
      </c>
      <c r="F55" s="57"/>
      <c r="G55" s="50">
        <f>Table1116[[#This Row],[Current
'[mA']]]*$F$3/1000</f>
        <v>0</v>
      </c>
      <c r="H55" s="57"/>
      <c r="I55" s="50">
        <f>Table111618[[#This Row],[Current
'[mA']]]*$H$3/1000</f>
        <v>0</v>
      </c>
      <c r="J55" s="57"/>
      <c r="K55" s="49">
        <f>Table111620[[#This Row],[Current
'[mA']]]*$J$3/1000</f>
        <v>0</v>
      </c>
      <c r="L55" s="75">
        <f>SUM(BoH!B69:E69)</f>
        <v>0</v>
      </c>
      <c r="M55" s="66"/>
      <c r="N55" s="50">
        <f>Table21[[#This Row],[Effective
Power '[W']]]*(1+Table22[[#This Row],[Margin
'[%']]])</f>
        <v>0</v>
      </c>
    </row>
    <row r="56" spans="1:14" hidden="1" x14ac:dyDescent="0.25">
      <c r="A56" s="94" t="s">
        <v>123</v>
      </c>
      <c r="B56" s="57"/>
      <c r="C56" s="53" t="s">
        <v>123</v>
      </c>
      <c r="D56" s="57"/>
      <c r="E56" s="50">
        <f>Table11[[#This Row],[Current
'[mA']]]*$D$3/1000</f>
        <v>0</v>
      </c>
      <c r="F56" s="57"/>
      <c r="G56" s="50">
        <f>Table1116[[#This Row],[Current
'[mA']]]*$F$3/1000</f>
        <v>0</v>
      </c>
      <c r="H56" s="57"/>
      <c r="I56" s="50">
        <f>Table111618[[#This Row],[Current
'[mA']]]*$H$3/1000</f>
        <v>0</v>
      </c>
      <c r="J56" s="57"/>
      <c r="K56" s="49">
        <f>Table111620[[#This Row],[Current
'[mA']]]*$J$3/1000</f>
        <v>0</v>
      </c>
      <c r="L56" s="75">
        <f>SUM(BoH!B70:E70)</f>
        <v>0</v>
      </c>
      <c r="M56" s="66"/>
      <c r="N56" s="50">
        <f>Table21[[#This Row],[Effective
Power '[W']]]*(1+Table22[[#This Row],[Margin
'[%']]])</f>
        <v>0</v>
      </c>
    </row>
    <row r="57" spans="1:14" hidden="1" x14ac:dyDescent="0.25">
      <c r="A57" s="94" t="s">
        <v>124</v>
      </c>
      <c r="B57" s="57"/>
      <c r="C57" s="53" t="s">
        <v>124</v>
      </c>
      <c r="D57" s="57"/>
      <c r="E57" s="50">
        <f>Table11[[#This Row],[Current
'[mA']]]*$D$3/1000</f>
        <v>0</v>
      </c>
      <c r="F57" s="57"/>
      <c r="G57" s="50">
        <f>Table1116[[#This Row],[Current
'[mA']]]*$F$3/1000</f>
        <v>0</v>
      </c>
      <c r="H57" s="57"/>
      <c r="I57" s="50">
        <f>Table111618[[#This Row],[Current
'[mA']]]*$H$3/1000</f>
        <v>0</v>
      </c>
      <c r="J57" s="57"/>
      <c r="K57" s="49">
        <f>Table111620[[#This Row],[Current
'[mA']]]*$J$3/1000</f>
        <v>0</v>
      </c>
      <c r="L57" s="75">
        <f>SUM(BoH!B71:E71)</f>
        <v>0</v>
      </c>
      <c r="M57" s="66"/>
      <c r="N57" s="50">
        <f>Table21[[#This Row],[Effective
Power '[W']]]*(1+Table22[[#This Row],[Margin
'[%']]])</f>
        <v>0</v>
      </c>
    </row>
    <row r="58" spans="1:14" hidden="1" x14ac:dyDescent="0.25">
      <c r="A58" s="94" t="s">
        <v>125</v>
      </c>
      <c r="B58" s="57"/>
      <c r="C58" s="53" t="s">
        <v>125</v>
      </c>
      <c r="D58" s="57"/>
      <c r="E58" s="50">
        <f>Table11[[#This Row],[Current
'[mA']]]*$D$3/1000</f>
        <v>0</v>
      </c>
      <c r="F58" s="57"/>
      <c r="G58" s="50">
        <f>Table1116[[#This Row],[Current
'[mA']]]*$F$3/1000</f>
        <v>0</v>
      </c>
      <c r="H58" s="57"/>
      <c r="I58" s="50">
        <f>Table111618[[#This Row],[Current
'[mA']]]*$H$3/1000</f>
        <v>0</v>
      </c>
      <c r="J58" s="57"/>
      <c r="K58" s="49">
        <f>Table111620[[#This Row],[Current
'[mA']]]*$J$3/1000</f>
        <v>0</v>
      </c>
      <c r="L58" s="75">
        <f>SUM(BoH!B72:E72)</f>
        <v>0</v>
      </c>
      <c r="M58" s="66"/>
      <c r="N58" s="50">
        <f>Table21[[#This Row],[Effective
Power '[W']]]*(1+Table22[[#This Row],[Margin
'[%']]])</f>
        <v>0</v>
      </c>
    </row>
    <row r="59" spans="1:14" hidden="1" x14ac:dyDescent="0.25">
      <c r="A59" s="94" t="s">
        <v>126</v>
      </c>
      <c r="B59" s="57"/>
      <c r="C59" s="53" t="s">
        <v>126</v>
      </c>
      <c r="D59" s="57"/>
      <c r="E59" s="50">
        <f>Table11[[#This Row],[Current
'[mA']]]*$D$3/1000</f>
        <v>0</v>
      </c>
      <c r="F59" s="57"/>
      <c r="G59" s="50">
        <f>Table1116[[#This Row],[Current
'[mA']]]*$F$3/1000</f>
        <v>0</v>
      </c>
      <c r="H59" s="57"/>
      <c r="I59" s="50">
        <f>Table111618[[#This Row],[Current
'[mA']]]*$H$3/1000</f>
        <v>0</v>
      </c>
      <c r="J59" s="57"/>
      <c r="K59" s="49">
        <f>Table111620[[#This Row],[Current
'[mA']]]*$J$3/1000</f>
        <v>0</v>
      </c>
      <c r="L59" s="75">
        <f>SUM(BoH!B73:E73)</f>
        <v>0</v>
      </c>
      <c r="M59" s="66"/>
      <c r="N59" s="50">
        <f>Table21[[#This Row],[Effective
Power '[W']]]*(1+Table22[[#This Row],[Margin
'[%']]])</f>
        <v>0</v>
      </c>
    </row>
    <row r="60" spans="1:14" hidden="1" x14ac:dyDescent="0.25">
      <c r="A60" s="94" t="s">
        <v>127</v>
      </c>
      <c r="B60" s="57"/>
      <c r="C60" s="53" t="s">
        <v>127</v>
      </c>
      <c r="D60" s="57"/>
      <c r="E60" s="50">
        <f>Table11[[#This Row],[Current
'[mA']]]*$D$3/1000</f>
        <v>0</v>
      </c>
      <c r="F60" s="57"/>
      <c r="G60" s="50">
        <f>Table1116[[#This Row],[Current
'[mA']]]*$F$3/1000</f>
        <v>0</v>
      </c>
      <c r="H60" s="57"/>
      <c r="I60" s="50">
        <f>Table111618[[#This Row],[Current
'[mA']]]*$H$3/1000</f>
        <v>0</v>
      </c>
      <c r="J60" s="57"/>
      <c r="K60" s="49">
        <f>Table111620[[#This Row],[Current
'[mA']]]*$J$3/1000</f>
        <v>0</v>
      </c>
      <c r="L60" s="75">
        <f>SUM(BoH!B74:E74)</f>
        <v>0</v>
      </c>
      <c r="M60" s="66"/>
      <c r="N60" s="50">
        <f>Table21[[#This Row],[Effective
Power '[W']]]*(1+Table22[[#This Row],[Margin
'[%']]])</f>
        <v>0</v>
      </c>
    </row>
    <row r="61" spans="1:14" hidden="1" x14ac:dyDescent="0.25">
      <c r="A61" s="94" t="s">
        <v>128</v>
      </c>
      <c r="B61" s="57"/>
      <c r="C61" s="53" t="s">
        <v>128</v>
      </c>
      <c r="D61" s="57"/>
      <c r="E61" s="50">
        <f>Table11[[#This Row],[Current
'[mA']]]*$D$3/1000</f>
        <v>0</v>
      </c>
      <c r="F61" s="57"/>
      <c r="G61" s="50">
        <f>Table1116[[#This Row],[Current
'[mA']]]*$F$3/1000</f>
        <v>0</v>
      </c>
      <c r="H61" s="57"/>
      <c r="I61" s="50">
        <f>Table111618[[#This Row],[Current
'[mA']]]*$H$3/1000</f>
        <v>0</v>
      </c>
      <c r="J61" s="57"/>
      <c r="K61" s="49">
        <f>Table111620[[#This Row],[Current
'[mA']]]*$J$3/1000</f>
        <v>0</v>
      </c>
      <c r="L61" s="75">
        <f>SUM(BoH!B75:E75)</f>
        <v>0</v>
      </c>
      <c r="M61" s="66"/>
      <c r="N61" s="50">
        <f>Table21[[#This Row],[Effective
Power '[W']]]*(1+Table22[[#This Row],[Margin
'[%']]])</f>
        <v>0</v>
      </c>
    </row>
    <row r="62" spans="1:14" hidden="1" x14ac:dyDescent="0.25">
      <c r="A62" s="94" t="s">
        <v>129</v>
      </c>
      <c r="B62" s="57"/>
      <c r="C62" s="53" t="s">
        <v>129</v>
      </c>
      <c r="D62" s="57"/>
      <c r="E62" s="50">
        <f>Table11[[#This Row],[Current
'[mA']]]*$D$3/1000</f>
        <v>0</v>
      </c>
      <c r="F62" s="57"/>
      <c r="G62" s="50">
        <f>Table1116[[#This Row],[Current
'[mA']]]*$F$3/1000</f>
        <v>0</v>
      </c>
      <c r="H62" s="57"/>
      <c r="I62" s="50">
        <f>Table111618[[#This Row],[Current
'[mA']]]*$H$3/1000</f>
        <v>0</v>
      </c>
      <c r="J62" s="57"/>
      <c r="K62" s="49">
        <f>Table111620[[#This Row],[Current
'[mA']]]*$J$3/1000</f>
        <v>0</v>
      </c>
      <c r="L62" s="75">
        <f>SUM(BoH!B76:E76)</f>
        <v>0</v>
      </c>
      <c r="M62" s="66"/>
      <c r="N62" s="50">
        <f>Table21[[#This Row],[Effective
Power '[W']]]*(1+Table22[[#This Row],[Margin
'[%']]])</f>
        <v>0</v>
      </c>
    </row>
    <row r="63" spans="1:14" hidden="1" x14ac:dyDescent="0.25">
      <c r="A63" s="94" t="s">
        <v>130</v>
      </c>
      <c r="B63" s="57"/>
      <c r="C63" s="53" t="s">
        <v>130</v>
      </c>
      <c r="D63" s="57"/>
      <c r="E63" s="50">
        <f>Table11[[#This Row],[Current
'[mA']]]*$D$3/1000</f>
        <v>0</v>
      </c>
      <c r="F63" s="57"/>
      <c r="G63" s="50">
        <f>Table1116[[#This Row],[Current
'[mA']]]*$F$3/1000</f>
        <v>0</v>
      </c>
      <c r="H63" s="57"/>
      <c r="I63" s="50">
        <f>Table111618[[#This Row],[Current
'[mA']]]*$H$3/1000</f>
        <v>0</v>
      </c>
      <c r="J63" s="57"/>
      <c r="K63" s="49">
        <f>Table111620[[#This Row],[Current
'[mA']]]*$J$3/1000</f>
        <v>0</v>
      </c>
      <c r="L63" s="75">
        <f>SUM(BoH!B77:E77)</f>
        <v>0</v>
      </c>
      <c r="M63" s="66"/>
      <c r="N63" s="50">
        <f>Table21[[#This Row],[Effective
Power '[W']]]*(1+Table22[[#This Row],[Margin
'[%']]])</f>
        <v>0</v>
      </c>
    </row>
    <row r="64" spans="1:14" hidden="1" x14ac:dyDescent="0.25">
      <c r="A64" s="94" t="s">
        <v>131</v>
      </c>
      <c r="B64" s="57"/>
      <c r="C64" s="53" t="s">
        <v>131</v>
      </c>
      <c r="D64" s="57"/>
      <c r="E64" s="50">
        <f>Table11[[#This Row],[Current
'[mA']]]*$D$3/1000</f>
        <v>0</v>
      </c>
      <c r="F64" s="57"/>
      <c r="G64" s="50">
        <f>Table1116[[#This Row],[Current
'[mA']]]*$F$3/1000</f>
        <v>0</v>
      </c>
      <c r="H64" s="57"/>
      <c r="I64" s="50">
        <f>Table111618[[#This Row],[Current
'[mA']]]*$H$3/1000</f>
        <v>0</v>
      </c>
      <c r="J64" s="57"/>
      <c r="K64" s="49">
        <f>Table111620[[#This Row],[Current
'[mA']]]*$J$3/1000</f>
        <v>0</v>
      </c>
      <c r="L64" s="75">
        <f>SUM(BoH!B78:E78)</f>
        <v>0</v>
      </c>
      <c r="M64" s="66"/>
      <c r="N64" s="50">
        <f>Table21[[#This Row],[Effective
Power '[W']]]*(1+Table22[[#This Row],[Margin
'[%']]])</f>
        <v>0</v>
      </c>
    </row>
    <row r="65" spans="1:14" hidden="1" x14ac:dyDescent="0.25">
      <c r="A65" s="94" t="s">
        <v>132</v>
      </c>
      <c r="B65" s="57"/>
      <c r="C65" s="53" t="s">
        <v>132</v>
      </c>
      <c r="D65" s="57"/>
      <c r="E65" s="50">
        <f>Table11[[#This Row],[Current
'[mA']]]*$D$3/1000</f>
        <v>0</v>
      </c>
      <c r="F65" s="57"/>
      <c r="G65" s="50">
        <f>Table1116[[#This Row],[Current
'[mA']]]*$F$3/1000</f>
        <v>0</v>
      </c>
      <c r="H65" s="57"/>
      <c r="I65" s="50">
        <f>Table111618[[#This Row],[Current
'[mA']]]*$H$3/1000</f>
        <v>0</v>
      </c>
      <c r="J65" s="57"/>
      <c r="K65" s="49">
        <f>Table111620[[#This Row],[Current
'[mA']]]*$J$3/1000</f>
        <v>0</v>
      </c>
      <c r="L65" s="75">
        <f>SUM(BoH!B79:E79)</f>
        <v>0</v>
      </c>
      <c r="M65" s="66"/>
      <c r="N65" s="50">
        <f>Table21[[#This Row],[Effective
Power '[W']]]*(1+Table22[[#This Row],[Margin
'[%']]])</f>
        <v>0</v>
      </c>
    </row>
    <row r="66" spans="1:14" hidden="1" x14ac:dyDescent="0.25">
      <c r="A66" s="94" t="s">
        <v>133</v>
      </c>
      <c r="B66" s="57"/>
      <c r="C66" s="53" t="s">
        <v>133</v>
      </c>
      <c r="D66" s="57"/>
      <c r="E66" s="50">
        <f>Table11[[#This Row],[Current
'[mA']]]*$D$3/1000</f>
        <v>0</v>
      </c>
      <c r="F66" s="57"/>
      <c r="G66" s="50">
        <f>Table1116[[#This Row],[Current
'[mA']]]*$F$3/1000</f>
        <v>0</v>
      </c>
      <c r="H66" s="57"/>
      <c r="I66" s="50">
        <f>Table111618[[#This Row],[Current
'[mA']]]*$H$3/1000</f>
        <v>0</v>
      </c>
      <c r="J66" s="57"/>
      <c r="K66" s="49">
        <f>Table111620[[#This Row],[Current
'[mA']]]*$J$3/1000</f>
        <v>0</v>
      </c>
      <c r="L66" s="75">
        <f>SUM(BoH!B80:E80)</f>
        <v>0</v>
      </c>
      <c r="M66" s="66"/>
      <c r="N66" s="50">
        <f>Table21[[#This Row],[Effective
Power '[W']]]*(1+Table22[[#This Row],[Margin
'[%']]])</f>
        <v>0</v>
      </c>
    </row>
    <row r="67" spans="1:14" hidden="1" x14ac:dyDescent="0.25">
      <c r="A67" s="94" t="s">
        <v>134</v>
      </c>
      <c r="B67" s="57"/>
      <c r="C67" s="53" t="s">
        <v>134</v>
      </c>
      <c r="D67" s="57"/>
      <c r="E67" s="50">
        <f>Table11[[#This Row],[Current
'[mA']]]*$D$3/1000</f>
        <v>0</v>
      </c>
      <c r="F67" s="57"/>
      <c r="G67" s="50">
        <f>Table1116[[#This Row],[Current
'[mA']]]*$F$3/1000</f>
        <v>0</v>
      </c>
      <c r="H67" s="57"/>
      <c r="I67" s="50">
        <f>Table111618[[#This Row],[Current
'[mA']]]*$H$3/1000</f>
        <v>0</v>
      </c>
      <c r="J67" s="57"/>
      <c r="K67" s="49">
        <f>Table111620[[#This Row],[Current
'[mA']]]*$J$3/1000</f>
        <v>0</v>
      </c>
      <c r="L67" s="75">
        <f>SUM(BoH!B81:E81)</f>
        <v>0</v>
      </c>
      <c r="M67" s="66"/>
      <c r="N67" s="50">
        <f>Table21[[#This Row],[Effective
Power '[W']]]*(1+Table22[[#This Row],[Margin
'[%']]])</f>
        <v>0</v>
      </c>
    </row>
    <row r="68" spans="1:14" hidden="1" x14ac:dyDescent="0.25">
      <c r="A68" s="94" t="s">
        <v>135</v>
      </c>
      <c r="B68" s="57"/>
      <c r="C68" s="53" t="s">
        <v>135</v>
      </c>
      <c r="D68" s="57"/>
      <c r="E68" s="50">
        <f>Table11[[#This Row],[Current
'[mA']]]*$D$3/1000</f>
        <v>0</v>
      </c>
      <c r="F68" s="57"/>
      <c r="G68" s="50">
        <f>Table1116[[#This Row],[Current
'[mA']]]*$F$3/1000</f>
        <v>0</v>
      </c>
      <c r="H68" s="57"/>
      <c r="I68" s="50">
        <f>Table111618[[#This Row],[Current
'[mA']]]*$H$3/1000</f>
        <v>0</v>
      </c>
      <c r="J68" s="57"/>
      <c r="K68" s="49">
        <f>Table111620[[#This Row],[Current
'[mA']]]*$J$3/1000</f>
        <v>0</v>
      </c>
      <c r="L68" s="75">
        <f>SUM(BoH!B82:E82)</f>
        <v>0</v>
      </c>
      <c r="M68" s="66"/>
      <c r="N68" s="50">
        <f>Table21[[#This Row],[Effective
Power '[W']]]*(1+Table22[[#This Row],[Margin
'[%']]])</f>
        <v>0</v>
      </c>
    </row>
    <row r="69" spans="1:14" hidden="1" x14ac:dyDescent="0.25">
      <c r="A69" s="94" t="s">
        <v>136</v>
      </c>
      <c r="B69" s="57"/>
      <c r="C69" s="53" t="s">
        <v>136</v>
      </c>
      <c r="D69" s="57"/>
      <c r="E69" s="50">
        <f>Table11[[#This Row],[Current
'[mA']]]*$D$3/1000</f>
        <v>0</v>
      </c>
      <c r="F69" s="57"/>
      <c r="G69" s="50">
        <f>Table1116[[#This Row],[Current
'[mA']]]*$F$3/1000</f>
        <v>0</v>
      </c>
      <c r="H69" s="57"/>
      <c r="I69" s="50">
        <f>Table111618[[#This Row],[Current
'[mA']]]*$H$3/1000</f>
        <v>0</v>
      </c>
      <c r="J69" s="57"/>
      <c r="K69" s="49">
        <f>Table111620[[#This Row],[Current
'[mA']]]*$J$3/1000</f>
        <v>0</v>
      </c>
      <c r="L69" s="75">
        <f>SUM(BoH!B83:E83)</f>
        <v>0</v>
      </c>
      <c r="M69" s="66"/>
      <c r="N69" s="50">
        <f>Table21[[#This Row],[Effective
Power '[W']]]*(1+Table22[[#This Row],[Margin
'[%']]])</f>
        <v>0</v>
      </c>
    </row>
    <row r="70" spans="1:14" hidden="1" x14ac:dyDescent="0.25">
      <c r="A70" s="94" t="s">
        <v>137</v>
      </c>
      <c r="B70" s="57"/>
      <c r="C70" s="53" t="s">
        <v>137</v>
      </c>
      <c r="D70" s="57"/>
      <c r="E70" s="50">
        <f>Table11[[#This Row],[Current
'[mA']]]*$D$3/1000</f>
        <v>0</v>
      </c>
      <c r="F70" s="57"/>
      <c r="G70" s="50">
        <f>Table1116[[#This Row],[Current
'[mA']]]*$F$3/1000</f>
        <v>0</v>
      </c>
      <c r="H70" s="57"/>
      <c r="I70" s="50">
        <f>Table111618[[#This Row],[Current
'[mA']]]*$H$3/1000</f>
        <v>0</v>
      </c>
      <c r="J70" s="57"/>
      <c r="K70" s="49">
        <f>Table111620[[#This Row],[Current
'[mA']]]*$J$3/1000</f>
        <v>0</v>
      </c>
      <c r="L70" s="75">
        <f>SUM(BoH!B84:E84)</f>
        <v>0</v>
      </c>
      <c r="M70" s="66"/>
      <c r="N70" s="50">
        <f>Table21[[#This Row],[Effective
Power '[W']]]*(1+Table22[[#This Row],[Margin
'[%']]])</f>
        <v>0</v>
      </c>
    </row>
    <row r="71" spans="1:14" hidden="1" x14ac:dyDescent="0.25">
      <c r="A71" s="94" t="s">
        <v>138</v>
      </c>
      <c r="B71" s="57"/>
      <c r="C71" s="53" t="s">
        <v>138</v>
      </c>
      <c r="D71" s="57"/>
      <c r="E71" s="50">
        <f>Table11[[#This Row],[Current
'[mA']]]*$D$3/1000</f>
        <v>0</v>
      </c>
      <c r="F71" s="57"/>
      <c r="G71" s="50">
        <f>Table1116[[#This Row],[Current
'[mA']]]*$F$3/1000</f>
        <v>0</v>
      </c>
      <c r="H71" s="57"/>
      <c r="I71" s="50">
        <f>Table111618[[#This Row],[Current
'[mA']]]*$H$3/1000</f>
        <v>0</v>
      </c>
      <c r="J71" s="57"/>
      <c r="K71" s="49">
        <f>Table111620[[#This Row],[Current
'[mA']]]*$J$3/1000</f>
        <v>0</v>
      </c>
      <c r="L71" s="75">
        <f>SUM(BoH!B85:E85)</f>
        <v>0</v>
      </c>
      <c r="M71" s="66"/>
      <c r="N71" s="50">
        <f>Table21[[#This Row],[Effective
Power '[W']]]*(1+Table22[[#This Row],[Margin
'[%']]])</f>
        <v>0</v>
      </c>
    </row>
    <row r="72" spans="1:14" hidden="1" x14ac:dyDescent="0.25">
      <c r="A72" s="94" t="s">
        <v>139</v>
      </c>
      <c r="B72" s="57"/>
      <c r="C72" s="53" t="s">
        <v>139</v>
      </c>
      <c r="D72" s="57"/>
      <c r="E72" s="50">
        <f>Table11[[#This Row],[Current
'[mA']]]*$D$3/1000</f>
        <v>0</v>
      </c>
      <c r="F72" s="57"/>
      <c r="G72" s="50">
        <f>Table1116[[#This Row],[Current
'[mA']]]*$F$3/1000</f>
        <v>0</v>
      </c>
      <c r="H72" s="57"/>
      <c r="I72" s="50">
        <f>Table111618[[#This Row],[Current
'[mA']]]*$H$3/1000</f>
        <v>0</v>
      </c>
      <c r="J72" s="57"/>
      <c r="K72" s="49">
        <f>Table111620[[#This Row],[Current
'[mA']]]*$J$3/1000</f>
        <v>0</v>
      </c>
      <c r="L72" s="75">
        <f>SUM(BoH!B86:E86)</f>
        <v>0</v>
      </c>
      <c r="M72" s="66"/>
      <c r="N72" s="50">
        <f>Table21[[#This Row],[Effective
Power '[W']]]*(1+Table22[[#This Row],[Margin
'[%']]])</f>
        <v>0</v>
      </c>
    </row>
    <row r="73" spans="1:14" hidden="1" x14ac:dyDescent="0.25">
      <c r="A73" s="94" t="s">
        <v>140</v>
      </c>
      <c r="B73" s="57"/>
      <c r="C73" s="53" t="s">
        <v>140</v>
      </c>
      <c r="D73" s="57"/>
      <c r="E73" s="50">
        <f>Table11[[#This Row],[Current
'[mA']]]*$D$3/1000</f>
        <v>0</v>
      </c>
      <c r="F73" s="57"/>
      <c r="G73" s="50">
        <f>Table1116[[#This Row],[Current
'[mA']]]*$F$3/1000</f>
        <v>0</v>
      </c>
      <c r="H73" s="57"/>
      <c r="I73" s="50">
        <f>Table111618[[#This Row],[Current
'[mA']]]*$H$3/1000</f>
        <v>0</v>
      </c>
      <c r="J73" s="57"/>
      <c r="K73" s="49">
        <f>Table111620[[#This Row],[Current
'[mA']]]*$J$3/1000</f>
        <v>0</v>
      </c>
      <c r="L73" s="75">
        <f>SUM(BoH!B87:E87)</f>
        <v>0</v>
      </c>
      <c r="M73" s="66"/>
      <c r="N73" s="50">
        <f>Table21[[#This Row],[Effective
Power '[W']]]*(1+Table22[[#This Row],[Margin
'[%']]])</f>
        <v>0</v>
      </c>
    </row>
    <row r="74" spans="1:14" hidden="1" x14ac:dyDescent="0.25">
      <c r="A74" s="94" t="s">
        <v>141</v>
      </c>
      <c r="B74" s="57"/>
      <c r="C74" s="53" t="s">
        <v>141</v>
      </c>
      <c r="D74" s="57"/>
      <c r="E74" s="50">
        <f>Table11[[#This Row],[Current
'[mA']]]*$D$3/1000</f>
        <v>0</v>
      </c>
      <c r="F74" s="57"/>
      <c r="G74" s="50">
        <f>Table1116[[#This Row],[Current
'[mA']]]*$F$3/1000</f>
        <v>0</v>
      </c>
      <c r="H74" s="57"/>
      <c r="I74" s="50">
        <f>Table111618[[#This Row],[Current
'[mA']]]*$H$3/1000</f>
        <v>0</v>
      </c>
      <c r="J74" s="57"/>
      <c r="K74" s="49">
        <f>Table111620[[#This Row],[Current
'[mA']]]*$J$3/1000</f>
        <v>0</v>
      </c>
      <c r="L74" s="75">
        <f>SUM(BoH!B88:E88)</f>
        <v>0</v>
      </c>
      <c r="M74" s="66"/>
      <c r="N74" s="50">
        <f>Table21[[#This Row],[Effective
Power '[W']]]*(1+Table22[[#This Row],[Margin
'[%']]])</f>
        <v>0</v>
      </c>
    </row>
    <row r="75" spans="1:14" hidden="1" x14ac:dyDescent="0.25">
      <c r="A75" s="94" t="s">
        <v>142</v>
      </c>
      <c r="B75" s="57"/>
      <c r="C75" s="53" t="s">
        <v>142</v>
      </c>
      <c r="D75" s="57"/>
      <c r="E75" s="50">
        <f>Table11[[#This Row],[Current
'[mA']]]*$D$3/1000</f>
        <v>0</v>
      </c>
      <c r="F75" s="57"/>
      <c r="G75" s="50">
        <f>Table1116[[#This Row],[Current
'[mA']]]*$F$3/1000</f>
        <v>0</v>
      </c>
      <c r="H75" s="57"/>
      <c r="I75" s="50">
        <f>Table111618[[#This Row],[Current
'[mA']]]*$H$3/1000</f>
        <v>0</v>
      </c>
      <c r="J75" s="57"/>
      <c r="K75" s="49">
        <f>Table111620[[#This Row],[Current
'[mA']]]*$J$3/1000</f>
        <v>0</v>
      </c>
      <c r="L75" s="75">
        <f>SUM(BoH!B89:E89)</f>
        <v>0</v>
      </c>
      <c r="M75" s="66"/>
      <c r="N75" s="50">
        <f>Table21[[#This Row],[Effective
Power '[W']]]*(1+Table22[[#This Row],[Margin
'[%']]])</f>
        <v>0</v>
      </c>
    </row>
    <row r="76" spans="1:14" hidden="1" x14ac:dyDescent="0.25">
      <c r="A76" s="94" t="s">
        <v>143</v>
      </c>
      <c r="B76" s="57"/>
      <c r="C76" s="53" t="s">
        <v>143</v>
      </c>
      <c r="D76" s="57"/>
      <c r="E76" s="50">
        <f>Table11[[#This Row],[Current
'[mA']]]*$D$3/1000</f>
        <v>0</v>
      </c>
      <c r="F76" s="57"/>
      <c r="G76" s="50">
        <f>Table1116[[#This Row],[Current
'[mA']]]*$F$3/1000</f>
        <v>0</v>
      </c>
      <c r="H76" s="57"/>
      <c r="I76" s="50">
        <f>Table111618[[#This Row],[Current
'[mA']]]*$H$3/1000</f>
        <v>0</v>
      </c>
      <c r="J76" s="57"/>
      <c r="K76" s="49">
        <f>Table111620[[#This Row],[Current
'[mA']]]*$J$3/1000</f>
        <v>0</v>
      </c>
      <c r="L76" s="75">
        <f>SUM(BoH!B90:E90)</f>
        <v>0</v>
      </c>
      <c r="M76" s="66"/>
      <c r="N76" s="50">
        <f>Table21[[#This Row],[Effective
Power '[W']]]*(1+Table22[[#This Row],[Margin
'[%']]])</f>
        <v>0</v>
      </c>
    </row>
    <row r="77" spans="1:14" hidden="1" x14ac:dyDescent="0.25">
      <c r="A77" s="94" t="s">
        <v>144</v>
      </c>
      <c r="B77" s="57"/>
      <c r="C77" s="53" t="s">
        <v>144</v>
      </c>
      <c r="D77" s="57"/>
      <c r="E77" s="50">
        <f>Table11[[#This Row],[Current
'[mA']]]*$D$3/1000</f>
        <v>0</v>
      </c>
      <c r="F77" s="57"/>
      <c r="G77" s="50">
        <f>Table1116[[#This Row],[Current
'[mA']]]*$F$3/1000</f>
        <v>0</v>
      </c>
      <c r="H77" s="57"/>
      <c r="I77" s="50">
        <f>Table111618[[#This Row],[Current
'[mA']]]*$H$3/1000</f>
        <v>0</v>
      </c>
      <c r="J77" s="57"/>
      <c r="K77" s="49">
        <f>Table111620[[#This Row],[Current
'[mA']]]*$J$3/1000</f>
        <v>0</v>
      </c>
      <c r="L77" s="75">
        <f>SUM(BoH!B91:E91)</f>
        <v>0</v>
      </c>
      <c r="M77" s="66"/>
      <c r="N77" s="50">
        <f>Table21[[#This Row],[Effective
Power '[W']]]*(1+Table22[[#This Row],[Margin
'[%']]])</f>
        <v>0</v>
      </c>
    </row>
    <row r="78" spans="1:14" hidden="1" x14ac:dyDescent="0.25">
      <c r="A78" s="94" t="s">
        <v>145</v>
      </c>
      <c r="B78" s="57"/>
      <c r="C78" s="53" t="s">
        <v>145</v>
      </c>
      <c r="D78" s="57"/>
      <c r="E78" s="50">
        <f>Table11[[#This Row],[Current
'[mA']]]*$D$3/1000</f>
        <v>0</v>
      </c>
      <c r="F78" s="57"/>
      <c r="G78" s="50">
        <f>Table1116[[#This Row],[Current
'[mA']]]*$F$3/1000</f>
        <v>0</v>
      </c>
      <c r="H78" s="57"/>
      <c r="I78" s="50">
        <f>Table111618[[#This Row],[Current
'[mA']]]*$H$3/1000</f>
        <v>0</v>
      </c>
      <c r="J78" s="57"/>
      <c r="K78" s="49">
        <f>Table111620[[#This Row],[Current
'[mA']]]*$J$3/1000</f>
        <v>0</v>
      </c>
      <c r="L78" s="75">
        <f>SUM(BoH!B92:E92)</f>
        <v>0</v>
      </c>
      <c r="M78" s="66"/>
      <c r="N78" s="50">
        <f>Table21[[#This Row],[Effective
Power '[W']]]*(1+Table22[[#This Row],[Margin
'[%']]])</f>
        <v>0</v>
      </c>
    </row>
    <row r="79" spans="1:14" hidden="1" x14ac:dyDescent="0.25">
      <c r="A79" s="94" t="s">
        <v>146</v>
      </c>
      <c r="B79" s="57"/>
      <c r="C79" s="53" t="s">
        <v>146</v>
      </c>
      <c r="D79" s="57"/>
      <c r="E79" s="50">
        <f>Table11[[#This Row],[Current
'[mA']]]*$D$3/1000</f>
        <v>0</v>
      </c>
      <c r="F79" s="57"/>
      <c r="G79" s="50">
        <f>Table1116[[#This Row],[Current
'[mA']]]*$F$3/1000</f>
        <v>0</v>
      </c>
      <c r="H79" s="57"/>
      <c r="I79" s="50">
        <f>Table111618[[#This Row],[Current
'[mA']]]*$H$3/1000</f>
        <v>0</v>
      </c>
      <c r="J79" s="57"/>
      <c r="K79" s="49">
        <f>Table111620[[#This Row],[Current
'[mA']]]*$J$3/1000</f>
        <v>0</v>
      </c>
      <c r="L79" s="75">
        <f>SUM(BoH!B93:E93)</f>
        <v>0</v>
      </c>
      <c r="M79" s="66"/>
      <c r="N79" s="50">
        <f>Table21[[#This Row],[Effective
Power '[W']]]*(1+Table22[[#This Row],[Margin
'[%']]])</f>
        <v>0</v>
      </c>
    </row>
    <row r="80" spans="1:14" hidden="1" x14ac:dyDescent="0.25">
      <c r="A80" s="94" t="s">
        <v>147</v>
      </c>
      <c r="B80" s="57"/>
      <c r="C80" s="53" t="s">
        <v>147</v>
      </c>
      <c r="D80" s="57"/>
      <c r="E80" s="50">
        <f>Table11[[#This Row],[Current
'[mA']]]*$D$3/1000</f>
        <v>0</v>
      </c>
      <c r="F80" s="57"/>
      <c r="G80" s="50">
        <f>Table1116[[#This Row],[Current
'[mA']]]*$F$3/1000</f>
        <v>0</v>
      </c>
      <c r="H80" s="57"/>
      <c r="I80" s="50">
        <f>Table111618[[#This Row],[Current
'[mA']]]*$H$3/1000</f>
        <v>0</v>
      </c>
      <c r="J80" s="57"/>
      <c r="K80" s="49">
        <f>Table111620[[#This Row],[Current
'[mA']]]*$J$3/1000</f>
        <v>0</v>
      </c>
      <c r="L80" s="75">
        <f>SUM(BoH!B94:E94)</f>
        <v>0</v>
      </c>
      <c r="M80" s="66"/>
      <c r="N80" s="50">
        <f>Table21[[#This Row],[Effective
Power '[W']]]*(1+Table22[[#This Row],[Margin
'[%']]])</f>
        <v>0</v>
      </c>
    </row>
    <row r="81" spans="1:14" hidden="1" x14ac:dyDescent="0.25">
      <c r="A81" s="94" t="s">
        <v>148</v>
      </c>
      <c r="B81" s="57"/>
      <c r="C81" s="53" t="s">
        <v>148</v>
      </c>
      <c r="D81" s="57"/>
      <c r="E81" s="50">
        <f>Table11[[#This Row],[Current
'[mA']]]*$D$3/1000</f>
        <v>0</v>
      </c>
      <c r="F81" s="57"/>
      <c r="G81" s="50">
        <f>Table1116[[#This Row],[Current
'[mA']]]*$F$3/1000</f>
        <v>0</v>
      </c>
      <c r="H81" s="57"/>
      <c r="I81" s="50">
        <f>Table111618[[#This Row],[Current
'[mA']]]*$H$3/1000</f>
        <v>0</v>
      </c>
      <c r="J81" s="57"/>
      <c r="K81" s="49">
        <f>Table111620[[#This Row],[Current
'[mA']]]*$J$3/1000</f>
        <v>0</v>
      </c>
      <c r="L81" s="75">
        <f>SUM(BoH!B95:E95)</f>
        <v>0</v>
      </c>
      <c r="M81" s="66"/>
      <c r="N81" s="50">
        <f>Table21[[#This Row],[Effective
Power '[W']]]*(1+Table22[[#This Row],[Margin
'[%']]])</f>
        <v>0</v>
      </c>
    </row>
    <row r="82" spans="1:14" hidden="1" x14ac:dyDescent="0.25">
      <c r="A82" s="94" t="s">
        <v>149</v>
      </c>
      <c r="B82" s="57"/>
      <c r="C82" s="53" t="s">
        <v>149</v>
      </c>
      <c r="D82" s="57"/>
      <c r="E82" s="50">
        <f>Table11[[#This Row],[Current
'[mA']]]*$D$3/1000</f>
        <v>0</v>
      </c>
      <c r="F82" s="57"/>
      <c r="G82" s="50">
        <f>Table1116[[#This Row],[Current
'[mA']]]*$F$3/1000</f>
        <v>0</v>
      </c>
      <c r="H82" s="57"/>
      <c r="I82" s="50">
        <f>Table111618[[#This Row],[Current
'[mA']]]*$H$3/1000</f>
        <v>0</v>
      </c>
      <c r="J82" s="57"/>
      <c r="K82" s="49">
        <f>Table111620[[#This Row],[Current
'[mA']]]*$J$3/1000</f>
        <v>0</v>
      </c>
      <c r="L82" s="75">
        <f>SUM(BoH!B96:E96)</f>
        <v>0</v>
      </c>
      <c r="M82" s="66"/>
      <c r="N82" s="50">
        <f>Table21[[#This Row],[Effective
Power '[W']]]*(1+Table22[[#This Row],[Margin
'[%']]])</f>
        <v>0</v>
      </c>
    </row>
    <row r="83" spans="1:14" hidden="1" x14ac:dyDescent="0.25">
      <c r="A83" s="94" t="s">
        <v>150</v>
      </c>
      <c r="B83" s="57"/>
      <c r="C83" s="53" t="s">
        <v>150</v>
      </c>
      <c r="D83" s="57"/>
      <c r="E83" s="50">
        <f>Table11[[#This Row],[Current
'[mA']]]*$D$3/1000</f>
        <v>0</v>
      </c>
      <c r="F83" s="57"/>
      <c r="G83" s="50">
        <f>Table1116[[#This Row],[Current
'[mA']]]*$F$3/1000</f>
        <v>0</v>
      </c>
      <c r="H83" s="57"/>
      <c r="I83" s="50">
        <f>Table111618[[#This Row],[Current
'[mA']]]*$H$3/1000</f>
        <v>0</v>
      </c>
      <c r="J83" s="57"/>
      <c r="K83" s="49">
        <f>Table111620[[#This Row],[Current
'[mA']]]*$J$3/1000</f>
        <v>0</v>
      </c>
      <c r="L83" s="75">
        <f>SUM(BoH!B97:E97)</f>
        <v>0</v>
      </c>
      <c r="M83" s="66"/>
      <c r="N83" s="50">
        <f>Table21[[#This Row],[Effective
Power '[W']]]*(1+Table22[[#This Row],[Margin
'[%']]])</f>
        <v>0</v>
      </c>
    </row>
    <row r="84" spans="1:14" hidden="1" x14ac:dyDescent="0.25">
      <c r="A84" s="94" t="s">
        <v>151</v>
      </c>
      <c r="B84" s="57"/>
      <c r="C84" s="53" t="s">
        <v>151</v>
      </c>
      <c r="D84" s="57"/>
      <c r="E84" s="50">
        <f>Table11[[#This Row],[Current
'[mA']]]*$D$3/1000</f>
        <v>0</v>
      </c>
      <c r="F84" s="57"/>
      <c r="G84" s="50">
        <f>Table1116[[#This Row],[Current
'[mA']]]*$F$3/1000</f>
        <v>0</v>
      </c>
      <c r="H84" s="57"/>
      <c r="I84" s="50">
        <f>Table111618[[#This Row],[Current
'[mA']]]*$H$3/1000</f>
        <v>0</v>
      </c>
      <c r="J84" s="57"/>
      <c r="K84" s="49">
        <f>Table111620[[#This Row],[Current
'[mA']]]*$J$3/1000</f>
        <v>0</v>
      </c>
      <c r="L84" s="75">
        <f>SUM(BoH!B98:E98)</f>
        <v>0</v>
      </c>
      <c r="M84" s="66"/>
      <c r="N84" s="50">
        <f>Table21[[#This Row],[Effective
Power '[W']]]*(1+Table22[[#This Row],[Margin
'[%']]])</f>
        <v>0</v>
      </c>
    </row>
    <row r="85" spans="1:14" hidden="1" x14ac:dyDescent="0.25">
      <c r="A85" s="94" t="s">
        <v>152</v>
      </c>
      <c r="B85" s="57"/>
      <c r="C85" s="53" t="s">
        <v>152</v>
      </c>
      <c r="D85" s="57"/>
      <c r="E85" s="50">
        <f>Table11[[#This Row],[Current
'[mA']]]*$D$3/1000</f>
        <v>0</v>
      </c>
      <c r="F85" s="57"/>
      <c r="G85" s="50">
        <f>Table1116[[#This Row],[Current
'[mA']]]*$F$3/1000</f>
        <v>0</v>
      </c>
      <c r="H85" s="57"/>
      <c r="I85" s="50">
        <f>Table111618[[#This Row],[Current
'[mA']]]*$H$3/1000</f>
        <v>0</v>
      </c>
      <c r="J85" s="57"/>
      <c r="K85" s="49">
        <f>Table111620[[#This Row],[Current
'[mA']]]*$J$3/1000</f>
        <v>0</v>
      </c>
      <c r="L85" s="75">
        <f>SUM(BoH!B99:E99)</f>
        <v>0</v>
      </c>
      <c r="M85" s="66"/>
      <c r="N85" s="50">
        <f>Table21[[#This Row],[Effective
Power '[W']]]*(1+Table22[[#This Row],[Margin
'[%']]])</f>
        <v>0</v>
      </c>
    </row>
    <row r="86" spans="1:14" hidden="1" x14ac:dyDescent="0.25">
      <c r="A86" s="94" t="s">
        <v>153</v>
      </c>
      <c r="B86" s="57"/>
      <c r="C86" s="53" t="s">
        <v>153</v>
      </c>
      <c r="D86" s="57"/>
      <c r="E86" s="50">
        <f>Table11[[#This Row],[Current
'[mA']]]*$D$3/1000</f>
        <v>0</v>
      </c>
      <c r="F86" s="57"/>
      <c r="G86" s="50">
        <f>Table1116[[#This Row],[Current
'[mA']]]*$F$3/1000</f>
        <v>0</v>
      </c>
      <c r="H86" s="57"/>
      <c r="I86" s="50">
        <f>Table111618[[#This Row],[Current
'[mA']]]*$H$3/1000</f>
        <v>0</v>
      </c>
      <c r="J86" s="57"/>
      <c r="K86" s="49">
        <f>Table111620[[#This Row],[Current
'[mA']]]*$J$3/1000</f>
        <v>0</v>
      </c>
      <c r="L86" s="75">
        <f>SUM(BoH!B100:E100)</f>
        <v>0</v>
      </c>
      <c r="M86" s="66"/>
      <c r="N86" s="50">
        <f>Table21[[#This Row],[Effective
Power '[W']]]*(1+Table22[[#This Row],[Margin
'[%']]])</f>
        <v>0</v>
      </c>
    </row>
    <row r="87" spans="1:14" hidden="1" x14ac:dyDescent="0.25">
      <c r="A87" s="94" t="s">
        <v>154</v>
      </c>
      <c r="B87" s="57"/>
      <c r="C87" s="53" t="s">
        <v>154</v>
      </c>
      <c r="D87" s="57"/>
      <c r="E87" s="50">
        <f>Table11[[#This Row],[Current
'[mA']]]*$D$3/1000</f>
        <v>0</v>
      </c>
      <c r="F87" s="57"/>
      <c r="G87" s="50">
        <f>Table1116[[#This Row],[Current
'[mA']]]*$F$3/1000</f>
        <v>0</v>
      </c>
      <c r="H87" s="57"/>
      <c r="I87" s="50">
        <f>Table111618[[#This Row],[Current
'[mA']]]*$H$3/1000</f>
        <v>0</v>
      </c>
      <c r="J87" s="57"/>
      <c r="K87" s="49">
        <f>Table111620[[#This Row],[Current
'[mA']]]*$J$3/1000</f>
        <v>0</v>
      </c>
      <c r="L87" s="75">
        <f>SUM(BoH!B101:E101)</f>
        <v>0</v>
      </c>
      <c r="M87" s="66"/>
      <c r="N87" s="50">
        <f>Table21[[#This Row],[Effective
Power '[W']]]*(1+Table22[[#This Row],[Margin
'[%']]])</f>
        <v>0</v>
      </c>
    </row>
    <row r="88" spans="1:14" hidden="1" x14ac:dyDescent="0.25">
      <c r="A88" s="94" t="s">
        <v>155</v>
      </c>
      <c r="B88" s="57"/>
      <c r="C88" s="53" t="s">
        <v>155</v>
      </c>
      <c r="D88" s="57"/>
      <c r="E88" s="50">
        <f>Table11[[#This Row],[Current
'[mA']]]*$D$3/1000</f>
        <v>0</v>
      </c>
      <c r="F88" s="57"/>
      <c r="G88" s="50">
        <f>Table1116[[#This Row],[Current
'[mA']]]*$F$3/1000</f>
        <v>0</v>
      </c>
      <c r="H88" s="57"/>
      <c r="I88" s="50">
        <f>Table111618[[#This Row],[Current
'[mA']]]*$H$3/1000</f>
        <v>0</v>
      </c>
      <c r="J88" s="57"/>
      <c r="K88" s="49">
        <f>Table111620[[#This Row],[Current
'[mA']]]*$J$3/1000</f>
        <v>0</v>
      </c>
      <c r="L88" s="75">
        <f>SUM(BoH!B102:E102)</f>
        <v>0</v>
      </c>
      <c r="M88" s="66"/>
      <c r="N88" s="50">
        <f>Table21[[#This Row],[Effective
Power '[W']]]*(1+Table22[[#This Row],[Margin
'[%']]])</f>
        <v>0</v>
      </c>
    </row>
    <row r="89" spans="1:14" hidden="1" x14ac:dyDescent="0.25">
      <c r="A89" s="94" t="s">
        <v>156</v>
      </c>
      <c r="B89" s="57"/>
      <c r="C89" s="53" t="s">
        <v>156</v>
      </c>
      <c r="D89" s="57"/>
      <c r="E89" s="50">
        <f>Table11[[#This Row],[Current
'[mA']]]*$D$3/1000</f>
        <v>0</v>
      </c>
      <c r="F89" s="57"/>
      <c r="G89" s="50">
        <f>Table1116[[#This Row],[Current
'[mA']]]*$F$3/1000</f>
        <v>0</v>
      </c>
      <c r="H89" s="57"/>
      <c r="I89" s="50">
        <f>Table111618[[#This Row],[Current
'[mA']]]*$H$3/1000</f>
        <v>0</v>
      </c>
      <c r="J89" s="57"/>
      <c r="K89" s="49">
        <f>Table111620[[#This Row],[Current
'[mA']]]*$J$3/1000</f>
        <v>0</v>
      </c>
      <c r="L89" s="75">
        <f>SUM(BoH!B103:E103)</f>
        <v>0</v>
      </c>
      <c r="M89" s="66"/>
      <c r="N89" s="50">
        <f>Table21[[#This Row],[Effective
Power '[W']]]*(1+Table22[[#This Row],[Margin
'[%']]])</f>
        <v>0</v>
      </c>
    </row>
    <row r="90" spans="1:14" hidden="1" x14ac:dyDescent="0.25">
      <c r="A90" s="94" t="s">
        <v>157</v>
      </c>
      <c r="B90" s="57"/>
      <c r="C90" s="53" t="s">
        <v>157</v>
      </c>
      <c r="D90" s="57"/>
      <c r="E90" s="50">
        <f>Table11[[#This Row],[Current
'[mA']]]*$D$3/1000</f>
        <v>0</v>
      </c>
      <c r="F90" s="57"/>
      <c r="G90" s="50">
        <f>Table1116[[#This Row],[Current
'[mA']]]*$F$3/1000</f>
        <v>0</v>
      </c>
      <c r="H90" s="57"/>
      <c r="I90" s="50">
        <f>Table111618[[#This Row],[Current
'[mA']]]*$H$3/1000</f>
        <v>0</v>
      </c>
      <c r="J90" s="57"/>
      <c r="K90" s="49">
        <f>Table111620[[#This Row],[Current
'[mA']]]*$J$3/1000</f>
        <v>0</v>
      </c>
      <c r="L90" s="75">
        <f>SUM(BoH!B104:E104)</f>
        <v>0</v>
      </c>
      <c r="M90" s="66"/>
      <c r="N90" s="50">
        <f>Table21[[#This Row],[Effective
Power '[W']]]*(1+Table22[[#This Row],[Margin
'[%']]])</f>
        <v>0</v>
      </c>
    </row>
    <row r="91" spans="1:14" hidden="1" x14ac:dyDescent="0.25">
      <c r="A91" s="94" t="s">
        <v>158</v>
      </c>
      <c r="B91" s="57"/>
      <c r="C91" s="53" t="s">
        <v>158</v>
      </c>
      <c r="D91" s="57"/>
      <c r="E91" s="50">
        <f>Table11[[#This Row],[Current
'[mA']]]*$D$3/1000</f>
        <v>0</v>
      </c>
      <c r="F91" s="57"/>
      <c r="G91" s="50">
        <f>Table1116[[#This Row],[Current
'[mA']]]*$F$3/1000</f>
        <v>0</v>
      </c>
      <c r="H91" s="57"/>
      <c r="I91" s="50">
        <f>Table111618[[#This Row],[Current
'[mA']]]*$H$3/1000</f>
        <v>0</v>
      </c>
      <c r="J91" s="57"/>
      <c r="K91" s="49">
        <f>Table111620[[#This Row],[Current
'[mA']]]*$J$3/1000</f>
        <v>0</v>
      </c>
      <c r="L91" s="75">
        <f>SUM(BoH!B105:E105)</f>
        <v>0</v>
      </c>
      <c r="M91" s="66"/>
      <c r="N91" s="50">
        <f>Table21[[#This Row],[Effective
Power '[W']]]*(1+Table22[[#This Row],[Margin
'[%']]])</f>
        <v>0</v>
      </c>
    </row>
    <row r="92" spans="1:14" hidden="1" x14ac:dyDescent="0.25">
      <c r="A92" s="94" t="s">
        <v>159</v>
      </c>
      <c r="B92" s="57"/>
      <c r="C92" s="53" t="s">
        <v>159</v>
      </c>
      <c r="D92" s="57"/>
      <c r="E92" s="50">
        <f>Table11[[#This Row],[Current
'[mA']]]*$D$3/1000</f>
        <v>0</v>
      </c>
      <c r="F92" s="57"/>
      <c r="G92" s="50">
        <f>Table1116[[#This Row],[Current
'[mA']]]*$F$3/1000</f>
        <v>0</v>
      </c>
      <c r="H92" s="57"/>
      <c r="I92" s="50">
        <f>Table111618[[#This Row],[Current
'[mA']]]*$H$3/1000</f>
        <v>0</v>
      </c>
      <c r="J92" s="57"/>
      <c r="K92" s="49">
        <f>Table111620[[#This Row],[Current
'[mA']]]*$J$3/1000</f>
        <v>0</v>
      </c>
      <c r="L92" s="75">
        <f>SUM(BoH!B106:E106)</f>
        <v>0</v>
      </c>
      <c r="M92" s="66"/>
      <c r="N92" s="50">
        <f>Table21[[#This Row],[Effective
Power '[W']]]*(1+Table22[[#This Row],[Margin
'[%']]])</f>
        <v>0</v>
      </c>
    </row>
    <row r="93" spans="1:14" hidden="1" x14ac:dyDescent="0.25">
      <c r="A93" s="94" t="s">
        <v>160</v>
      </c>
      <c r="B93" s="57"/>
      <c r="C93" s="53" t="s">
        <v>160</v>
      </c>
      <c r="D93" s="57"/>
      <c r="E93" s="50">
        <f>Table11[[#This Row],[Current
'[mA']]]*$D$3/1000</f>
        <v>0</v>
      </c>
      <c r="F93" s="57"/>
      <c r="G93" s="50">
        <f>Table1116[[#This Row],[Current
'[mA']]]*$F$3/1000</f>
        <v>0</v>
      </c>
      <c r="H93" s="57"/>
      <c r="I93" s="50">
        <f>Table111618[[#This Row],[Current
'[mA']]]*$H$3/1000</f>
        <v>0</v>
      </c>
      <c r="J93" s="57"/>
      <c r="K93" s="49">
        <f>Table111620[[#This Row],[Current
'[mA']]]*$J$3/1000</f>
        <v>0</v>
      </c>
      <c r="L93" s="75">
        <f>SUM(BoH!B107:E107)</f>
        <v>0</v>
      </c>
      <c r="M93" s="66"/>
      <c r="N93" s="50">
        <f>Table21[[#This Row],[Effective
Power '[W']]]*(1+Table22[[#This Row],[Margin
'[%']]])</f>
        <v>0</v>
      </c>
    </row>
    <row r="94" spans="1:14" hidden="1" x14ac:dyDescent="0.25">
      <c r="A94" s="94" t="s">
        <v>161</v>
      </c>
      <c r="B94" s="57"/>
      <c r="C94" s="53" t="s">
        <v>161</v>
      </c>
      <c r="D94" s="57"/>
      <c r="E94" s="50">
        <f>Table11[[#This Row],[Current
'[mA']]]*$D$3/1000</f>
        <v>0</v>
      </c>
      <c r="F94" s="57"/>
      <c r="G94" s="50">
        <f>Table1116[[#This Row],[Current
'[mA']]]*$F$3/1000</f>
        <v>0</v>
      </c>
      <c r="H94" s="57"/>
      <c r="I94" s="50">
        <f>Table111618[[#This Row],[Current
'[mA']]]*$H$3/1000</f>
        <v>0</v>
      </c>
      <c r="J94" s="57"/>
      <c r="K94" s="49">
        <f>Table111620[[#This Row],[Current
'[mA']]]*$J$3/1000</f>
        <v>0</v>
      </c>
      <c r="L94" s="75">
        <f>SUM(BoH!B108:E108)</f>
        <v>0</v>
      </c>
      <c r="M94" s="66"/>
      <c r="N94" s="50">
        <f>Table21[[#This Row],[Effective
Power '[W']]]*(1+Table22[[#This Row],[Margin
'[%']]])</f>
        <v>0</v>
      </c>
    </row>
    <row r="95" spans="1:14" hidden="1" x14ac:dyDescent="0.25">
      <c r="A95" s="94" t="s">
        <v>162</v>
      </c>
      <c r="B95" s="57"/>
      <c r="C95" s="53" t="s">
        <v>162</v>
      </c>
      <c r="D95" s="57"/>
      <c r="E95" s="50">
        <f>Table11[[#This Row],[Current
'[mA']]]*$D$3/1000</f>
        <v>0</v>
      </c>
      <c r="F95" s="57"/>
      <c r="G95" s="50">
        <f>Table1116[[#This Row],[Current
'[mA']]]*$F$3/1000</f>
        <v>0</v>
      </c>
      <c r="H95" s="57"/>
      <c r="I95" s="50">
        <f>Table111618[[#This Row],[Current
'[mA']]]*$H$3/1000</f>
        <v>0</v>
      </c>
      <c r="J95" s="57"/>
      <c r="K95" s="49">
        <f>Table111620[[#This Row],[Current
'[mA']]]*$J$3/1000</f>
        <v>0</v>
      </c>
      <c r="L95" s="75">
        <f>SUM(BoH!B109:E109)</f>
        <v>0</v>
      </c>
      <c r="M95" s="66"/>
      <c r="N95" s="50">
        <f>Table21[[#This Row],[Effective
Power '[W']]]*(1+Table22[[#This Row],[Margin
'[%']]])</f>
        <v>0</v>
      </c>
    </row>
    <row r="96" spans="1:14" hidden="1" x14ac:dyDescent="0.25">
      <c r="A96" s="94" t="s">
        <v>163</v>
      </c>
      <c r="B96" s="57"/>
      <c r="C96" s="53" t="s">
        <v>163</v>
      </c>
      <c r="D96" s="57"/>
      <c r="E96" s="50">
        <f>Table11[[#This Row],[Current
'[mA']]]*$D$3/1000</f>
        <v>0</v>
      </c>
      <c r="F96" s="57"/>
      <c r="G96" s="50">
        <f>Table1116[[#This Row],[Current
'[mA']]]*$F$3/1000</f>
        <v>0</v>
      </c>
      <c r="H96" s="57"/>
      <c r="I96" s="50">
        <f>Table111618[[#This Row],[Current
'[mA']]]*$H$3/1000</f>
        <v>0</v>
      </c>
      <c r="J96" s="57"/>
      <c r="K96" s="49">
        <f>Table111620[[#This Row],[Current
'[mA']]]*$J$3/1000</f>
        <v>0</v>
      </c>
      <c r="L96" s="75">
        <f>SUM(BoH!B110:E110)</f>
        <v>0</v>
      </c>
      <c r="M96" s="66"/>
      <c r="N96" s="50">
        <f>Table21[[#This Row],[Effective
Power '[W']]]*(1+Table22[[#This Row],[Margin
'[%']]])</f>
        <v>0</v>
      </c>
    </row>
    <row r="97" spans="1:14" hidden="1" x14ac:dyDescent="0.25">
      <c r="A97" s="94" t="s">
        <v>164</v>
      </c>
      <c r="B97" s="57"/>
      <c r="C97" s="53" t="s">
        <v>164</v>
      </c>
      <c r="D97" s="57"/>
      <c r="E97" s="50">
        <f>Table11[[#This Row],[Current
'[mA']]]*$D$3/1000</f>
        <v>0</v>
      </c>
      <c r="F97" s="57"/>
      <c r="G97" s="50">
        <f>Table1116[[#This Row],[Current
'[mA']]]*$F$3/1000</f>
        <v>0</v>
      </c>
      <c r="H97" s="57"/>
      <c r="I97" s="50">
        <f>Table111618[[#This Row],[Current
'[mA']]]*$H$3/1000</f>
        <v>0</v>
      </c>
      <c r="J97" s="57"/>
      <c r="K97" s="49">
        <f>Table111620[[#This Row],[Current
'[mA']]]*$J$3/1000</f>
        <v>0</v>
      </c>
      <c r="L97" s="75">
        <f>SUM(BoH!B111:E111)</f>
        <v>0</v>
      </c>
      <c r="M97" s="66"/>
      <c r="N97" s="50">
        <f>Table21[[#This Row],[Effective
Power '[W']]]*(1+Table22[[#This Row],[Margin
'[%']]])</f>
        <v>0</v>
      </c>
    </row>
    <row r="98" spans="1:14" hidden="1" x14ac:dyDescent="0.25">
      <c r="A98" s="94" t="s">
        <v>165</v>
      </c>
      <c r="B98" s="57"/>
      <c r="C98" s="53" t="s">
        <v>165</v>
      </c>
      <c r="D98" s="57"/>
      <c r="E98" s="50">
        <f>Table11[[#This Row],[Current
'[mA']]]*$D$3/1000</f>
        <v>0</v>
      </c>
      <c r="F98" s="57"/>
      <c r="G98" s="50">
        <f>Table1116[[#This Row],[Current
'[mA']]]*$F$3/1000</f>
        <v>0</v>
      </c>
      <c r="H98" s="57"/>
      <c r="I98" s="50">
        <f>Table111618[[#This Row],[Current
'[mA']]]*$H$3/1000</f>
        <v>0</v>
      </c>
      <c r="J98" s="57"/>
      <c r="K98" s="49">
        <f>Table111620[[#This Row],[Current
'[mA']]]*$J$3/1000</f>
        <v>0</v>
      </c>
      <c r="L98" s="75">
        <f>SUM(BoH!B112:E112)</f>
        <v>0</v>
      </c>
      <c r="M98" s="66"/>
      <c r="N98" s="50">
        <f>Table21[[#This Row],[Effective
Power '[W']]]*(1+Table22[[#This Row],[Margin
'[%']]])</f>
        <v>0</v>
      </c>
    </row>
    <row r="99" spans="1:14" hidden="1" x14ac:dyDescent="0.25">
      <c r="A99" s="94" t="s">
        <v>166</v>
      </c>
      <c r="B99" s="57"/>
      <c r="C99" s="53" t="s">
        <v>166</v>
      </c>
      <c r="D99" s="57"/>
      <c r="E99" s="50">
        <f>Table11[[#This Row],[Current
'[mA']]]*$D$3/1000</f>
        <v>0</v>
      </c>
      <c r="F99" s="57"/>
      <c r="G99" s="50">
        <f>Table1116[[#This Row],[Current
'[mA']]]*$F$3/1000</f>
        <v>0</v>
      </c>
      <c r="H99" s="57"/>
      <c r="I99" s="50">
        <f>Table111618[[#This Row],[Current
'[mA']]]*$H$3/1000</f>
        <v>0</v>
      </c>
      <c r="J99" s="57"/>
      <c r="K99" s="49">
        <f>Table111620[[#This Row],[Current
'[mA']]]*$J$3/1000</f>
        <v>0</v>
      </c>
      <c r="L99" s="75">
        <f>SUM(BoH!B113:E113)</f>
        <v>0</v>
      </c>
      <c r="M99" s="66"/>
      <c r="N99" s="50">
        <f>Table21[[#This Row],[Effective
Power '[W']]]*(1+Table22[[#This Row],[Margin
'[%']]])</f>
        <v>0</v>
      </c>
    </row>
    <row r="100" spans="1:14" hidden="1" x14ac:dyDescent="0.25">
      <c r="A100" s="94" t="s">
        <v>167</v>
      </c>
      <c r="B100" s="57"/>
      <c r="C100" s="53" t="s">
        <v>167</v>
      </c>
      <c r="D100" s="57"/>
      <c r="E100" s="50">
        <f>Table11[[#This Row],[Current
'[mA']]]*$D$3/1000</f>
        <v>0</v>
      </c>
      <c r="F100" s="57"/>
      <c r="G100" s="50">
        <f>Table1116[[#This Row],[Current
'[mA']]]*$F$3/1000</f>
        <v>0</v>
      </c>
      <c r="H100" s="57"/>
      <c r="I100" s="50">
        <f>Table111618[[#This Row],[Current
'[mA']]]*$H$3/1000</f>
        <v>0</v>
      </c>
      <c r="J100" s="57"/>
      <c r="K100" s="49">
        <f>Table111620[[#This Row],[Current
'[mA']]]*$J$3/1000</f>
        <v>0</v>
      </c>
      <c r="L100" s="75">
        <f>SUM(BoH!B114:E114)</f>
        <v>0</v>
      </c>
      <c r="M100" s="66"/>
      <c r="N100" s="50">
        <f>Table21[[#This Row],[Effective
Power '[W']]]*(1+Table22[[#This Row],[Margin
'[%']]])</f>
        <v>0</v>
      </c>
    </row>
    <row r="101" spans="1:14" hidden="1" x14ac:dyDescent="0.25">
      <c r="A101" s="94" t="s">
        <v>168</v>
      </c>
      <c r="B101" s="57"/>
      <c r="C101" s="53" t="s">
        <v>168</v>
      </c>
      <c r="D101" s="57"/>
      <c r="E101" s="50">
        <f>Table11[[#This Row],[Current
'[mA']]]*$D$3/1000</f>
        <v>0</v>
      </c>
      <c r="F101" s="57"/>
      <c r="G101" s="50">
        <f>Table1116[[#This Row],[Current
'[mA']]]*$F$3/1000</f>
        <v>0</v>
      </c>
      <c r="H101" s="57"/>
      <c r="I101" s="50">
        <f>Table111618[[#This Row],[Current
'[mA']]]*$H$3/1000</f>
        <v>0</v>
      </c>
      <c r="J101" s="57"/>
      <c r="K101" s="49">
        <f>Table111620[[#This Row],[Current
'[mA']]]*$J$3/1000</f>
        <v>0</v>
      </c>
      <c r="L101" s="75">
        <f>SUM(BoH!B115:E115)</f>
        <v>0</v>
      </c>
      <c r="M101" s="66"/>
      <c r="N101" s="50">
        <f>Table21[[#This Row],[Effective
Power '[W']]]*(1+Table22[[#This Row],[Margin
'[%']]])</f>
        <v>0</v>
      </c>
    </row>
    <row r="102" spans="1:14" hidden="1" x14ac:dyDescent="0.25">
      <c r="A102" s="94" t="s">
        <v>169</v>
      </c>
      <c r="B102" s="57"/>
      <c r="C102" s="53" t="s">
        <v>169</v>
      </c>
      <c r="D102" s="57"/>
      <c r="E102" s="50">
        <f>Table11[[#This Row],[Current
'[mA']]]*$D$3/1000</f>
        <v>0</v>
      </c>
      <c r="F102" s="57"/>
      <c r="G102" s="50">
        <f>Table1116[[#This Row],[Current
'[mA']]]*$F$3/1000</f>
        <v>0</v>
      </c>
      <c r="H102" s="57"/>
      <c r="I102" s="50">
        <f>Table111618[[#This Row],[Current
'[mA']]]*$H$3/1000</f>
        <v>0</v>
      </c>
      <c r="J102" s="57"/>
      <c r="K102" s="49">
        <f>Table111620[[#This Row],[Current
'[mA']]]*$J$3/1000</f>
        <v>0</v>
      </c>
      <c r="L102" s="75">
        <f>SUM(BoH!B116:E116)</f>
        <v>0</v>
      </c>
      <c r="M102" s="66"/>
      <c r="N102" s="50">
        <f>Table21[[#This Row],[Effective
Power '[W']]]*(1+Table22[[#This Row],[Margin
'[%']]])</f>
        <v>0</v>
      </c>
    </row>
    <row r="103" spans="1:14" hidden="1" x14ac:dyDescent="0.25">
      <c r="A103" s="94" t="s">
        <v>170</v>
      </c>
      <c r="B103" s="57"/>
      <c r="C103" s="53" t="s">
        <v>170</v>
      </c>
      <c r="D103" s="57"/>
      <c r="E103" s="50">
        <f>Table11[[#This Row],[Current
'[mA']]]*$D$3/1000</f>
        <v>0</v>
      </c>
      <c r="F103" s="57"/>
      <c r="G103" s="50">
        <f>Table1116[[#This Row],[Current
'[mA']]]*$F$3/1000</f>
        <v>0</v>
      </c>
      <c r="H103" s="57"/>
      <c r="I103" s="50">
        <f>Table111618[[#This Row],[Current
'[mA']]]*$H$3/1000</f>
        <v>0</v>
      </c>
      <c r="J103" s="57"/>
      <c r="K103" s="49">
        <f>Table111620[[#This Row],[Current
'[mA']]]*$J$3/1000</f>
        <v>0</v>
      </c>
      <c r="L103" s="75">
        <f>SUM(BoH!B117:E117)</f>
        <v>0</v>
      </c>
      <c r="M103" s="66"/>
      <c r="N103" s="50">
        <f>Table21[[#This Row],[Effective
Power '[W']]]*(1+Table22[[#This Row],[Margin
'[%']]])</f>
        <v>0</v>
      </c>
    </row>
    <row r="104" spans="1:14" ht="15.75" hidden="1" thickBot="1" x14ac:dyDescent="0.3">
      <c r="A104" s="95" t="s">
        <v>171</v>
      </c>
      <c r="B104" s="10"/>
      <c r="C104" s="54" t="s">
        <v>171</v>
      </c>
      <c r="D104" s="10"/>
      <c r="E104" s="52">
        <f>Table11[[#This Row],[Current
'[mA']]]*$D$3/1000</f>
        <v>0</v>
      </c>
      <c r="F104" s="10"/>
      <c r="G104" s="52">
        <f>Table1116[[#This Row],[Current
'[mA']]]*$F$3/1000</f>
        <v>0</v>
      </c>
      <c r="H104" s="10"/>
      <c r="I104" s="52">
        <f>Table111618[[#This Row],[Current
'[mA']]]*$H$3/1000</f>
        <v>0</v>
      </c>
      <c r="J104" s="10"/>
      <c r="K104" s="51">
        <f>Table111620[[#This Row],[Current
'[mA']]]*$J$3/1000</f>
        <v>0</v>
      </c>
      <c r="L104" s="75">
        <f>SUM(BoH!B118:E118)</f>
        <v>0</v>
      </c>
      <c r="M104" s="67"/>
      <c r="N104" s="52">
        <f>Table21[[#This Row],[Effective
Power '[W']]]*(1+Table22[[#This Row],[Margin
'[%']]])</f>
        <v>0</v>
      </c>
    </row>
    <row r="106" spans="1:14" x14ac:dyDescent="0.25">
      <c r="A106" s="46" t="s">
        <v>182</v>
      </c>
      <c r="C106" s="77"/>
      <c r="D106" s="32">
        <f>SUM(Table11[Current
'[mA']])</f>
        <v>169</v>
      </c>
      <c r="E106" s="77"/>
      <c r="F106" s="32">
        <f>SUM(Table1116[Current
'[mA']])</f>
        <v>0</v>
      </c>
      <c r="G106" s="77"/>
      <c r="H106" s="32">
        <f>SUM(Table111618[Current
'[mA']])</f>
        <v>3367</v>
      </c>
      <c r="I106" s="77"/>
      <c r="J106" s="32">
        <f>SUM(Table111620[Current
'[mA']])</f>
        <v>2786</v>
      </c>
    </row>
  </sheetData>
  <mergeCells count="8">
    <mergeCell ref="J2:K2"/>
    <mergeCell ref="J3:K3"/>
    <mergeCell ref="D3:E3"/>
    <mergeCell ref="D2:E2"/>
    <mergeCell ref="F2:G2"/>
    <mergeCell ref="F3:G3"/>
    <mergeCell ref="H2:I2"/>
    <mergeCell ref="H3:I3"/>
  </mergeCells>
  <phoneticPr fontId="8" type="noConversion"/>
  <pageMargins left="0.7" right="0.7" top="0.75" bottom="0.75" header="0.3" footer="0.3"/>
  <legacy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FF7F-A76F-405E-BC9A-384D1A0C91A0}">
  <sheetPr>
    <outlinePr applyStyles="1" summaryBelow="0" summaryRight="0"/>
  </sheetPr>
  <dimension ref="A3:Y137"/>
  <sheetViews>
    <sheetView tabSelected="1" topLeftCell="A7" zoomScaleNormal="100" workbookViewId="0">
      <pane xSplit="2" topLeftCell="C1" activePane="topRight" state="frozen"/>
      <selection activeCell="A5" sqref="A5"/>
      <selection pane="topRight" activeCell="A25" sqref="A25"/>
    </sheetView>
  </sheetViews>
  <sheetFormatPr baseColWidth="10" defaultColWidth="9.140625" defaultRowHeight="15" outlineLevelCol="1" x14ac:dyDescent="0.25"/>
  <cols>
    <col min="1" max="1" width="24.140625" style="62" bestFit="1" customWidth="1"/>
    <col min="2" max="2" width="17.85546875" style="62" bestFit="1" customWidth="1"/>
    <col min="3" max="3" width="14.28515625" style="62" customWidth="1" outlineLevel="1"/>
    <col min="4" max="4" width="13.42578125" style="62" customWidth="1" outlineLevel="1"/>
    <col min="5" max="5" width="15.42578125" style="62" customWidth="1" outlineLevel="1"/>
    <col min="6" max="6" width="3.5703125" style="102" customWidth="1"/>
    <col min="7" max="7" width="14.28515625" style="62" customWidth="1" outlineLevel="1"/>
    <col min="8" max="8" width="13.42578125" style="62" customWidth="1" outlineLevel="1"/>
    <col min="9" max="9" width="15.42578125" style="62" customWidth="1" outlineLevel="1"/>
    <col min="10" max="10" width="3.5703125" style="102" customWidth="1"/>
    <col min="11" max="11" width="14.28515625" style="62" customWidth="1" outlineLevel="1"/>
    <col min="12" max="12" width="13.42578125" style="62" customWidth="1" outlineLevel="1"/>
    <col min="13" max="13" width="15.42578125" style="62" customWidth="1" outlineLevel="1"/>
    <col min="14" max="14" width="3.5703125" style="102" customWidth="1"/>
    <col min="15" max="15" width="13.7109375" style="62" customWidth="1" outlineLevel="1"/>
    <col min="16" max="16" width="13.42578125" style="62" customWidth="1" outlineLevel="1"/>
    <col min="17" max="17" width="15.42578125" style="62" customWidth="1" outlineLevel="1"/>
    <col min="18" max="18" width="3.5703125" style="102" customWidth="1"/>
    <col min="19" max="19" width="14.28515625" style="62" customWidth="1" outlineLevel="1"/>
    <col min="20" max="20" width="13.42578125" style="62" customWidth="1" outlineLevel="1"/>
    <col min="21" max="21" width="15.42578125" style="62" customWidth="1" outlineLevel="1"/>
    <col min="22" max="22" width="3.5703125" style="102" customWidth="1" collapsed="1"/>
    <col min="23" max="23" width="14.28515625" style="62" hidden="1" customWidth="1" outlineLevel="1"/>
    <col min="24" max="24" width="13.42578125" style="62" hidden="1" customWidth="1" outlineLevel="1"/>
    <col min="25" max="25" width="15.42578125" style="62" hidden="1" customWidth="1" outlineLevel="1"/>
    <col min="26" max="16384" width="9.140625" style="62"/>
  </cols>
  <sheetData>
    <row r="3" spans="1:25" s="64" customFormat="1" x14ac:dyDescent="0.25">
      <c r="F3" s="102"/>
      <c r="J3" s="102"/>
      <c r="N3" s="102"/>
      <c r="R3" s="102"/>
      <c r="V3" s="102"/>
    </row>
    <row r="4" spans="1:25" s="64" customFormat="1" x14ac:dyDescent="0.25">
      <c r="F4" s="102"/>
      <c r="J4" s="102"/>
      <c r="N4" s="102"/>
      <c r="R4" s="102"/>
      <c r="V4" s="102"/>
    </row>
    <row r="5" spans="1:25" s="64" customFormat="1" x14ac:dyDescent="0.25">
      <c r="F5" s="102"/>
      <c r="J5" s="102"/>
      <c r="N5" s="102"/>
      <c r="R5" s="102"/>
      <c r="V5" s="102"/>
    </row>
    <row r="6" spans="1:25" s="64" customFormat="1" x14ac:dyDescent="0.25">
      <c r="F6" s="102"/>
      <c r="J6" s="102"/>
      <c r="N6" s="102"/>
      <c r="R6" s="102"/>
      <c r="V6" s="102"/>
    </row>
    <row r="7" spans="1:25" s="64" customFormat="1" x14ac:dyDescent="0.25">
      <c r="F7" s="102"/>
      <c r="J7" s="102"/>
      <c r="N7" s="102"/>
      <c r="R7" s="102"/>
      <c r="V7" s="102"/>
    </row>
    <row r="8" spans="1:25" s="64" customFormat="1" x14ac:dyDescent="0.25">
      <c r="F8" s="102"/>
      <c r="J8" s="102"/>
      <c r="N8" s="102"/>
      <c r="R8" s="102"/>
      <c r="V8" s="102"/>
    </row>
    <row r="9" spans="1:25" s="64" customFormat="1" x14ac:dyDescent="0.25">
      <c r="F9" s="102"/>
      <c r="J9" s="102"/>
      <c r="N9" s="102"/>
      <c r="R9" s="102"/>
      <c r="V9" s="102"/>
    </row>
    <row r="10" spans="1:25" s="64" customFormat="1" ht="15.75" thickBot="1" x14ac:dyDescent="0.3">
      <c r="F10" s="102"/>
      <c r="J10" s="102"/>
      <c r="N10" s="102"/>
      <c r="R10" s="102"/>
      <c r="V10" s="102"/>
    </row>
    <row r="11" spans="1:25" ht="15.75" thickBot="1" x14ac:dyDescent="0.3">
      <c r="C11" s="97" t="s">
        <v>191</v>
      </c>
      <c r="D11" s="201" t="s">
        <v>325</v>
      </c>
      <c r="E11" s="202"/>
      <c r="F11" s="64"/>
      <c r="G11" s="99" t="s">
        <v>192</v>
      </c>
      <c r="H11" s="201" t="s">
        <v>326</v>
      </c>
      <c r="I11" s="202"/>
      <c r="J11" s="64"/>
      <c r="K11" s="99" t="s">
        <v>193</v>
      </c>
      <c r="L11" s="201" t="s">
        <v>290</v>
      </c>
      <c r="M11" s="202"/>
      <c r="N11" s="64"/>
      <c r="O11" s="99" t="s">
        <v>195</v>
      </c>
      <c r="P11" s="201" t="s">
        <v>291</v>
      </c>
      <c r="Q11" s="202"/>
      <c r="R11" s="64"/>
      <c r="S11" s="99" t="s">
        <v>196</v>
      </c>
      <c r="T11" s="201" t="s">
        <v>292</v>
      </c>
      <c r="U11" s="202"/>
      <c r="V11" s="64"/>
      <c r="W11" s="97" t="s">
        <v>194</v>
      </c>
      <c r="X11" s="201" t="s">
        <v>252</v>
      </c>
      <c r="Y11" s="202"/>
    </row>
    <row r="12" spans="1:25" ht="30.75" thickBot="1" x14ac:dyDescent="0.3">
      <c r="A12" s="78" t="s">
        <v>55</v>
      </c>
      <c r="B12" s="79" t="s">
        <v>173</v>
      </c>
      <c r="C12" s="82" t="s">
        <v>187</v>
      </c>
      <c r="D12" s="80" t="s">
        <v>58</v>
      </c>
      <c r="E12" s="83" t="s">
        <v>188</v>
      </c>
      <c r="F12" s="64"/>
      <c r="G12" s="79" t="s">
        <v>187</v>
      </c>
      <c r="H12" s="80" t="s">
        <v>58</v>
      </c>
      <c r="I12" s="83" t="s">
        <v>188</v>
      </c>
      <c r="J12" s="64"/>
      <c r="K12" s="79" t="s">
        <v>187</v>
      </c>
      <c r="L12" s="80" t="s">
        <v>58</v>
      </c>
      <c r="M12" s="83" t="s">
        <v>188</v>
      </c>
      <c r="N12" s="64"/>
      <c r="O12" s="79" t="s">
        <v>187</v>
      </c>
      <c r="P12" s="80" t="s">
        <v>58</v>
      </c>
      <c r="Q12" s="83" t="s">
        <v>188</v>
      </c>
      <c r="R12" s="64"/>
      <c r="S12" s="79" t="s">
        <v>187</v>
      </c>
      <c r="T12" s="80" t="s">
        <v>58</v>
      </c>
      <c r="U12" s="83" t="s">
        <v>188</v>
      </c>
      <c r="V12" s="64"/>
      <c r="W12" s="82" t="s">
        <v>187</v>
      </c>
      <c r="X12" s="80" t="s">
        <v>58</v>
      </c>
      <c r="Y12" s="83" t="s">
        <v>188</v>
      </c>
    </row>
    <row r="13" spans="1:25" x14ac:dyDescent="0.25">
      <c r="A13" s="55" t="str">
        <f>'Power Consumption'!A5</f>
        <v>GOS ARM</v>
      </c>
      <c r="B13" s="49">
        <f>'Power Consumption'!N5</f>
        <v>2.6798571428571432</v>
      </c>
      <c r="C13" s="58">
        <v>0</v>
      </c>
      <c r="D13" s="49">
        <f>Table27[[#This Row],[Duty
Cycle '[%']]]*'Orbit Parameters'!$C$6</f>
        <v>0</v>
      </c>
      <c r="E13" s="50">
        <f>Table27[[#This Row],[Duty
Cycle '[%']]]*Table26[[#This Row],[Margined
Power '[W']]]</f>
        <v>0</v>
      </c>
      <c r="F13" s="64"/>
      <c r="G13" s="58">
        <v>0</v>
      </c>
      <c r="H13" s="49">
        <f>Table272[[#This Row],[Duty
Cycle '[%']]]*'Orbit Parameters'!$C$6</f>
        <v>0</v>
      </c>
      <c r="I13" s="50">
        <f>Table26[[#This Row],[Margined
Power '[W']]]*Table272[[#This Row],[Duty
Cycle '[%']]]</f>
        <v>0</v>
      </c>
      <c r="J13" s="64"/>
      <c r="K13" s="58">
        <v>0</v>
      </c>
      <c r="L13" s="49">
        <f>Table2724[[#This Row],[Duty
Cycle '[%']]]*'Orbit Parameters'!$C$6</f>
        <v>0</v>
      </c>
      <c r="M13" s="50">
        <f>Table26[[#This Row],[Margined
Power '[W']]]*Table2724[[#This Row],[Duty
Cycle '[%']]]</f>
        <v>0</v>
      </c>
      <c r="N13" s="64"/>
      <c r="O13" s="100">
        <v>0</v>
      </c>
      <c r="P13" s="49">
        <f>Table276[[#This Row],[Duty
Cycle '[%']]]*'Orbit Parameters'!$C$6</f>
        <v>0</v>
      </c>
      <c r="Q13" s="50">
        <f>Table276[[#This Row],[Duty
Cycle '[%']]]*Table26[[#This Row],[Margined
Power '[W']]]</f>
        <v>0</v>
      </c>
      <c r="R13" s="64"/>
      <c r="S13" s="100">
        <v>0.02</v>
      </c>
      <c r="T13" s="49">
        <f>Table2728[[#This Row],[Duty
Cycle '[%']]]*'Orbit Parameters'!$C$6</f>
        <v>114.77645264942623</v>
      </c>
      <c r="U13" s="50">
        <f>Table26[[#This Row],[Margined
Power '[W']]]*Table2728[[#This Row],[Duty
Cycle '[%']]]</f>
        <v>5.3597142857142864E-2</v>
      </c>
      <c r="V13" s="64"/>
      <c r="W13" s="58">
        <v>0</v>
      </c>
      <c r="X13" s="49">
        <f>Table272410[[#This Row],[Duty
Cycle '[%']]]*'Orbit Parameters'!$C$6</f>
        <v>0</v>
      </c>
      <c r="Y13" s="50">
        <f>Table26[[#This Row],[Margined
Power '[W']]]*Table272410[[#This Row],[Duty
Cycle '[%']]]</f>
        <v>0</v>
      </c>
    </row>
    <row r="14" spans="1:25" x14ac:dyDescent="0.25">
      <c r="A14" s="55" t="str">
        <f>'Power Consumption'!A6</f>
        <v>GOS EPS</v>
      </c>
      <c r="B14" s="49">
        <f>'Power Consumption'!N6</f>
        <v>0.34588509316770183</v>
      </c>
      <c r="C14" s="48">
        <v>1</v>
      </c>
      <c r="D14" s="49">
        <f>Table27[[#This Row],[Duty
Cycle '[%']]]*'Orbit Parameters'!$C$6</f>
        <v>5738.8226324713114</v>
      </c>
      <c r="E14" s="50">
        <f>Table27[[#This Row],[Duty
Cycle '[%']]]*Table26[[#This Row],[Margined
Power '[W']]]</f>
        <v>0.34588509316770183</v>
      </c>
      <c r="F14" s="64"/>
      <c r="G14" s="48">
        <v>1</v>
      </c>
      <c r="H14" s="49">
        <f>Table272[[#This Row],[Duty
Cycle '[%']]]*'Orbit Parameters'!$C$6</f>
        <v>5738.8226324713114</v>
      </c>
      <c r="I14" s="50">
        <f>Table26[[#This Row],[Margined
Power '[W']]]*Table272[[#This Row],[Duty
Cycle '[%']]]</f>
        <v>0.34588509316770183</v>
      </c>
      <c r="J14" s="64"/>
      <c r="K14" s="48">
        <v>1</v>
      </c>
      <c r="L14" s="49">
        <f>Table2724[[#This Row],[Duty
Cycle '[%']]]*'Orbit Parameters'!$C$6</f>
        <v>5738.8226324713114</v>
      </c>
      <c r="M14" s="50">
        <f>Table26[[#This Row],[Margined
Power '[W']]]*Table2724[[#This Row],[Duty
Cycle '[%']]]</f>
        <v>0.34588509316770183</v>
      </c>
      <c r="N14" s="64"/>
      <c r="O14" s="101">
        <v>1</v>
      </c>
      <c r="P14" s="49">
        <f>Table276[[#This Row],[Duty
Cycle '[%']]]*'Orbit Parameters'!$C$6</f>
        <v>5738.8226324713114</v>
      </c>
      <c r="Q14" s="50">
        <f>Table276[[#This Row],[Duty
Cycle '[%']]]*Table26[[#This Row],[Margined
Power '[W']]]</f>
        <v>0.34588509316770183</v>
      </c>
      <c r="R14" s="64"/>
      <c r="S14" s="101">
        <v>0</v>
      </c>
      <c r="T14" s="49">
        <f>Table2728[[#This Row],[Duty
Cycle '[%']]]*'Orbit Parameters'!$C$6</f>
        <v>0</v>
      </c>
      <c r="U14" s="50">
        <f>Table26[[#This Row],[Margined
Power '[W']]]*Table2728[[#This Row],[Duty
Cycle '[%']]]</f>
        <v>0</v>
      </c>
      <c r="V14" s="64"/>
      <c r="W14" s="48">
        <v>0</v>
      </c>
      <c r="X14" s="49">
        <f>Table272410[[#This Row],[Duty
Cycle '[%']]]*'Orbit Parameters'!$C$6</f>
        <v>0</v>
      </c>
      <c r="Y14" s="50">
        <f>Table26[[#This Row],[Margined
Power '[W']]]*Table272410[[#This Row],[Duty
Cycle '[%']]]</f>
        <v>0</v>
      </c>
    </row>
    <row r="15" spans="1:25" x14ac:dyDescent="0.25">
      <c r="A15" s="55" t="str">
        <f>'Power Consumption'!A7</f>
        <v>GOS OBC</v>
      </c>
      <c r="B15" s="49">
        <f>'Power Consumption'!N7</f>
        <v>0.53804347826086962</v>
      </c>
      <c r="C15" s="48">
        <v>1</v>
      </c>
      <c r="D15" s="49">
        <f>Table27[[#This Row],[Duty
Cycle '[%']]]*'Orbit Parameters'!$C$6</f>
        <v>5738.8226324713114</v>
      </c>
      <c r="E15" s="50">
        <f>Table27[[#This Row],[Duty
Cycle '[%']]]*Table26[[#This Row],[Margined
Power '[W']]]</f>
        <v>0.53804347826086962</v>
      </c>
      <c r="F15" s="64"/>
      <c r="G15" s="48">
        <v>1</v>
      </c>
      <c r="H15" s="49">
        <f>Table272[[#This Row],[Duty
Cycle '[%']]]*'Orbit Parameters'!$C$6</f>
        <v>5738.8226324713114</v>
      </c>
      <c r="I15" s="50">
        <f>Table26[[#This Row],[Margined
Power '[W']]]*Table272[[#This Row],[Duty
Cycle '[%']]]</f>
        <v>0.53804347826086962</v>
      </c>
      <c r="J15" s="64"/>
      <c r="K15" s="48">
        <v>1</v>
      </c>
      <c r="L15" s="49">
        <f>Table2724[[#This Row],[Duty
Cycle '[%']]]*'Orbit Parameters'!$C$6</f>
        <v>5738.8226324713114</v>
      </c>
      <c r="M15" s="50">
        <f>Table26[[#This Row],[Margined
Power '[W']]]*Table2724[[#This Row],[Duty
Cycle '[%']]]</f>
        <v>0.53804347826086962</v>
      </c>
      <c r="N15" s="64"/>
      <c r="O15" s="101">
        <v>1</v>
      </c>
      <c r="P15" s="49">
        <f>Table276[[#This Row],[Duty
Cycle '[%']]]*'Orbit Parameters'!$C$6</f>
        <v>5738.8226324713114</v>
      </c>
      <c r="Q15" s="50">
        <f>Table276[[#This Row],[Duty
Cycle '[%']]]*Table26[[#This Row],[Margined
Power '[W']]]</f>
        <v>0.53804347826086962</v>
      </c>
      <c r="R15" s="64"/>
      <c r="S15" s="101">
        <v>0</v>
      </c>
      <c r="T15" s="49">
        <f>Table2728[[#This Row],[Duty
Cycle '[%']]]*'Orbit Parameters'!$C$6</f>
        <v>0</v>
      </c>
      <c r="U15" s="50">
        <f>Table26[[#This Row],[Margined
Power '[W']]]*Table2728[[#This Row],[Duty
Cycle '[%']]]</f>
        <v>0</v>
      </c>
      <c r="V15" s="64"/>
      <c r="W15" s="48">
        <v>0</v>
      </c>
      <c r="X15" s="49">
        <f>Table272410[[#This Row],[Duty
Cycle '[%']]]*'Orbit Parameters'!$C$6</f>
        <v>0</v>
      </c>
      <c r="Y15" s="50">
        <f>Table26[[#This Row],[Margined
Power '[W']]]*Table272410[[#This Row],[Duty
Cycle '[%']]]</f>
        <v>0</v>
      </c>
    </row>
    <row r="16" spans="1:25" x14ac:dyDescent="0.25">
      <c r="A16" s="55" t="str">
        <f>'Power Consumption'!A8</f>
        <v>GOS UHF Radio Tx</v>
      </c>
      <c r="B16" s="49">
        <f>'Power Consumption'!N8</f>
        <v>5.8223990683229818</v>
      </c>
      <c r="C16" s="48">
        <v>0</v>
      </c>
      <c r="D16" s="49">
        <f>Table27[[#This Row],[Duty
Cycle '[%']]]*'Orbit Parameters'!$C$6</f>
        <v>0</v>
      </c>
      <c r="E16" s="50">
        <f>Table27[[#This Row],[Duty
Cycle '[%']]]*Table26[[#This Row],[Margined
Power '[W']]]</f>
        <v>0</v>
      </c>
      <c r="F16" s="64"/>
      <c r="G16" s="48">
        <v>0</v>
      </c>
      <c r="H16" s="49">
        <f>Table272[[#This Row],[Duty
Cycle '[%']]]*'Orbit Parameters'!$C$6</f>
        <v>0</v>
      </c>
      <c r="I16" s="50">
        <f>Table26[[#This Row],[Margined
Power '[W']]]*Table272[[#This Row],[Duty
Cycle '[%']]]</f>
        <v>0</v>
      </c>
      <c r="J16" s="64"/>
      <c r="K16" s="48">
        <v>0</v>
      </c>
      <c r="L16" s="49">
        <f>Table2724[[#This Row],[Duty
Cycle '[%']]]*'Orbit Parameters'!$C$6</f>
        <v>0</v>
      </c>
      <c r="M16" s="50">
        <f>Table26[[#This Row],[Margined
Power '[W']]]*Table2724[[#This Row],[Duty
Cycle '[%']]]</f>
        <v>0</v>
      </c>
      <c r="N16" s="64"/>
      <c r="O16" s="101">
        <v>0</v>
      </c>
      <c r="P16" s="49">
        <f>Table276[[#This Row],[Duty
Cycle '[%']]]*'Orbit Parameters'!$C$6</f>
        <v>0</v>
      </c>
      <c r="Q16" s="50">
        <f>Table276[[#This Row],[Duty
Cycle '[%']]]*Table26[[#This Row],[Margined
Power '[W']]]</f>
        <v>0</v>
      </c>
      <c r="R16" s="64"/>
      <c r="S16" s="101">
        <v>0</v>
      </c>
      <c r="T16" s="49">
        <f>Table2728[[#This Row],[Duty
Cycle '[%']]]*'Orbit Parameters'!$C$6</f>
        <v>0</v>
      </c>
      <c r="U16" s="50">
        <f>Table26[[#This Row],[Margined
Power '[W']]]*Table2728[[#This Row],[Duty
Cycle '[%']]]</f>
        <v>0</v>
      </c>
      <c r="V16" s="64"/>
      <c r="W16" s="48">
        <v>0</v>
      </c>
      <c r="X16" s="49">
        <f>Table272410[[#This Row],[Duty
Cycle '[%']]]*'Orbit Parameters'!$C$6</f>
        <v>0</v>
      </c>
      <c r="Y16" s="50">
        <f>Table26[[#This Row],[Margined
Power '[W']]]*Table272410[[#This Row],[Duty
Cycle '[%']]]</f>
        <v>0</v>
      </c>
    </row>
    <row r="17" spans="1:25" x14ac:dyDescent="0.25">
      <c r="A17" s="55" t="str">
        <f>'Power Consumption'!A9</f>
        <v>GOS UHF Radio Rx</v>
      </c>
      <c r="B17" s="49">
        <f>'Power Consumption'!N9</f>
        <v>1.1644798136645964</v>
      </c>
      <c r="C17" s="48">
        <v>1</v>
      </c>
      <c r="D17" s="49">
        <f>Table27[[#This Row],[Duty
Cycle '[%']]]*'Orbit Parameters'!$C$6</f>
        <v>5738.8226324713114</v>
      </c>
      <c r="E17" s="50">
        <f>Table27[[#This Row],[Duty
Cycle '[%']]]*Table26[[#This Row],[Margined
Power '[W']]]</f>
        <v>1.1644798136645964</v>
      </c>
      <c r="F17" s="64"/>
      <c r="G17" s="48">
        <v>1</v>
      </c>
      <c r="H17" s="49">
        <f>Table272[[#This Row],[Duty
Cycle '[%']]]*'Orbit Parameters'!$C$6</f>
        <v>5738.8226324713114</v>
      </c>
      <c r="I17" s="50">
        <f>Table26[[#This Row],[Margined
Power '[W']]]*Table272[[#This Row],[Duty
Cycle '[%']]]</f>
        <v>1.1644798136645964</v>
      </c>
      <c r="J17" s="64"/>
      <c r="K17" s="48">
        <v>1</v>
      </c>
      <c r="L17" s="49">
        <f>Table2724[[#This Row],[Duty
Cycle '[%']]]*'Orbit Parameters'!$C$6</f>
        <v>5738.8226324713114</v>
      </c>
      <c r="M17" s="50">
        <f>Table26[[#This Row],[Margined
Power '[W']]]*Table2724[[#This Row],[Duty
Cycle '[%']]]</f>
        <v>1.1644798136645964</v>
      </c>
      <c r="N17" s="64"/>
      <c r="O17" s="101">
        <v>1</v>
      </c>
      <c r="P17" s="49">
        <f>Table276[[#This Row],[Duty
Cycle '[%']]]*'Orbit Parameters'!$C$6</f>
        <v>5738.8226324713114</v>
      </c>
      <c r="Q17" s="50">
        <f>Table276[[#This Row],[Duty
Cycle '[%']]]*Table26[[#This Row],[Margined
Power '[W']]]</f>
        <v>1.1644798136645964</v>
      </c>
      <c r="R17" s="64"/>
      <c r="S17" s="101">
        <v>0</v>
      </c>
      <c r="T17" s="49">
        <f>Table2728[[#This Row],[Duty
Cycle '[%']]]*'Orbit Parameters'!$C$6</f>
        <v>0</v>
      </c>
      <c r="U17" s="50">
        <f>Table26[[#This Row],[Margined
Power '[W']]]*Table2728[[#This Row],[Duty
Cycle '[%']]]</f>
        <v>0</v>
      </c>
      <c r="V17" s="64"/>
      <c r="W17" s="48">
        <v>0</v>
      </c>
      <c r="X17" s="49">
        <f>Table272410[[#This Row],[Duty
Cycle '[%']]]*'Orbit Parameters'!$C$6</f>
        <v>0</v>
      </c>
      <c r="Y17" s="50">
        <f>Table26[[#This Row],[Margined
Power '[W']]]*Table272410[[#This Row],[Duty
Cycle '[%']]]</f>
        <v>0</v>
      </c>
    </row>
    <row r="18" spans="1:25" x14ac:dyDescent="0.25">
      <c r="A18" s="55" t="str">
        <f>'Power Consumption'!A10</f>
        <v>CubeADCS OBC</v>
      </c>
      <c r="B18" s="49">
        <f>'Power Consumption'!N10</f>
        <v>0.23827639751552795</v>
      </c>
      <c r="C18" s="48">
        <v>1</v>
      </c>
      <c r="D18" s="49">
        <f>Table27[[#This Row],[Duty
Cycle '[%']]]*'Orbit Parameters'!$C$6</f>
        <v>5738.8226324713114</v>
      </c>
      <c r="E18" s="50">
        <f>Table27[[#This Row],[Duty
Cycle '[%']]]*Table26[[#This Row],[Margined
Power '[W']]]</f>
        <v>0.23827639751552795</v>
      </c>
      <c r="F18" s="64"/>
      <c r="G18" s="48">
        <v>1</v>
      </c>
      <c r="H18" s="49">
        <f>Table272[[#This Row],[Duty
Cycle '[%']]]*'Orbit Parameters'!$C$6</f>
        <v>5738.8226324713114</v>
      </c>
      <c r="I18" s="50">
        <f>Table26[[#This Row],[Margined
Power '[W']]]*Table272[[#This Row],[Duty
Cycle '[%']]]</f>
        <v>0.23827639751552795</v>
      </c>
      <c r="J18" s="64"/>
      <c r="K18" s="48">
        <v>1</v>
      </c>
      <c r="L18" s="49">
        <f>Table2724[[#This Row],[Duty
Cycle '[%']]]*'Orbit Parameters'!$C$6</f>
        <v>5738.8226324713114</v>
      </c>
      <c r="M18" s="50">
        <f>Table26[[#This Row],[Margined
Power '[W']]]*Table2724[[#This Row],[Duty
Cycle '[%']]]</f>
        <v>0.23827639751552795</v>
      </c>
      <c r="N18" s="64"/>
      <c r="O18" s="101">
        <v>1</v>
      </c>
      <c r="P18" s="49">
        <f>Table276[[#This Row],[Duty
Cycle '[%']]]*'Orbit Parameters'!$C$6</f>
        <v>5738.8226324713114</v>
      </c>
      <c r="Q18" s="50">
        <f>Table276[[#This Row],[Duty
Cycle '[%']]]*Table26[[#This Row],[Margined
Power '[W']]]</f>
        <v>0.23827639751552795</v>
      </c>
      <c r="R18" s="64"/>
      <c r="S18" s="101">
        <v>0</v>
      </c>
      <c r="T18" s="49">
        <f>Table2728[[#This Row],[Duty
Cycle '[%']]]*'Orbit Parameters'!$C$6</f>
        <v>0</v>
      </c>
      <c r="U18" s="50">
        <f>Table26[[#This Row],[Margined
Power '[W']]]*Table2728[[#This Row],[Duty
Cycle '[%']]]</f>
        <v>0</v>
      </c>
      <c r="V18" s="64"/>
      <c r="W18" s="48">
        <v>0</v>
      </c>
      <c r="X18" s="49">
        <f>Table272410[[#This Row],[Duty
Cycle '[%']]]*'Orbit Parameters'!$C$6</f>
        <v>0</v>
      </c>
      <c r="Y18" s="50">
        <f>Table26[[#This Row],[Margined
Power '[W']]]*Table272410[[#This Row],[Duty
Cycle '[%']]]</f>
        <v>0</v>
      </c>
    </row>
    <row r="19" spans="1:25" x14ac:dyDescent="0.25">
      <c r="A19" s="55" t="str">
        <f>'Power Consumption'!A11</f>
        <v>CubeADCS Sun Sensors</v>
      </c>
      <c r="B19" s="49">
        <f>'Power Consumption'!N11</f>
        <v>0.23827639751552795</v>
      </c>
      <c r="C19" s="48">
        <v>1</v>
      </c>
      <c r="D19" s="49">
        <f>Table27[[#This Row],[Duty
Cycle '[%']]]*'Orbit Parameters'!$C$6</f>
        <v>5738.8226324713114</v>
      </c>
      <c r="E19" s="50">
        <f>Table27[[#This Row],[Duty
Cycle '[%']]]*Table26[[#This Row],[Margined
Power '[W']]]</f>
        <v>0.23827639751552795</v>
      </c>
      <c r="F19" s="64"/>
      <c r="G19" s="48">
        <v>1</v>
      </c>
      <c r="H19" s="49">
        <f>Table272[[#This Row],[Duty
Cycle '[%']]]*'Orbit Parameters'!$C$6</f>
        <v>5738.8226324713114</v>
      </c>
      <c r="I19" s="50">
        <f>Table26[[#This Row],[Margined
Power '[W']]]*Table272[[#This Row],[Duty
Cycle '[%']]]</f>
        <v>0.23827639751552795</v>
      </c>
      <c r="J19" s="64"/>
      <c r="K19" s="48">
        <v>1</v>
      </c>
      <c r="L19" s="49">
        <f>Table2724[[#This Row],[Duty
Cycle '[%']]]*'Orbit Parameters'!$C$6</f>
        <v>5738.8226324713114</v>
      </c>
      <c r="M19" s="50">
        <f>Table26[[#This Row],[Margined
Power '[W']]]*Table2724[[#This Row],[Duty
Cycle '[%']]]</f>
        <v>0.23827639751552795</v>
      </c>
      <c r="N19" s="64"/>
      <c r="O19" s="101">
        <v>1</v>
      </c>
      <c r="P19" s="49">
        <f>Table276[[#This Row],[Duty
Cycle '[%']]]*'Orbit Parameters'!$C$6</f>
        <v>5738.8226324713114</v>
      </c>
      <c r="Q19" s="50">
        <f>Table276[[#This Row],[Duty
Cycle '[%']]]*Table26[[#This Row],[Margined
Power '[W']]]</f>
        <v>0.23827639751552795</v>
      </c>
      <c r="R19" s="64"/>
      <c r="S19" s="101">
        <v>0</v>
      </c>
      <c r="T19" s="49">
        <f>Table2728[[#This Row],[Duty
Cycle '[%']]]*'Orbit Parameters'!$C$6</f>
        <v>0</v>
      </c>
      <c r="U19" s="50">
        <f>Table26[[#This Row],[Margined
Power '[W']]]*Table2728[[#This Row],[Duty
Cycle '[%']]]</f>
        <v>0</v>
      </c>
      <c r="V19" s="64"/>
      <c r="W19" s="48">
        <v>0</v>
      </c>
      <c r="X19" s="49">
        <f>Table272410[[#This Row],[Duty
Cycle '[%']]]*'Orbit Parameters'!$C$6</f>
        <v>0</v>
      </c>
      <c r="Y19" s="50">
        <f>Table26[[#This Row],[Margined
Power '[W']]]*Table272410[[#This Row],[Duty
Cycle '[%']]]</f>
        <v>0</v>
      </c>
    </row>
    <row r="20" spans="1:25" x14ac:dyDescent="0.25">
      <c r="A20" s="55" t="str">
        <f>'Power Consumption'!A12</f>
        <v>CubeADCS Magnetorquer</v>
      </c>
      <c r="B20" s="49">
        <f>'Power Consumption'!N12</f>
        <v>1.3276397515527949</v>
      </c>
      <c r="C20" s="48">
        <v>0.02</v>
      </c>
      <c r="D20" s="49">
        <f>Table27[[#This Row],[Duty
Cycle '[%']]]*'Orbit Parameters'!$C$6</f>
        <v>114.77645264942623</v>
      </c>
      <c r="E20" s="50">
        <f>Table27[[#This Row],[Duty
Cycle '[%']]]*Table26[[#This Row],[Margined
Power '[W']]]</f>
        <v>2.6552795031055898E-2</v>
      </c>
      <c r="F20" s="64"/>
      <c r="G20" s="48">
        <v>0.02</v>
      </c>
      <c r="H20" s="49">
        <f>Table272[[#This Row],[Duty
Cycle '[%']]]*'Orbit Parameters'!$C$6</f>
        <v>114.77645264942623</v>
      </c>
      <c r="I20" s="50">
        <f>Table26[[#This Row],[Margined
Power '[W']]]*Table272[[#This Row],[Duty
Cycle '[%']]]</f>
        <v>2.6552795031055898E-2</v>
      </c>
      <c r="J20" s="64"/>
      <c r="K20" s="48">
        <v>0.02</v>
      </c>
      <c r="L20" s="49">
        <f>Table2724[[#This Row],[Duty
Cycle '[%']]]*'Orbit Parameters'!$C$6</f>
        <v>114.77645264942623</v>
      </c>
      <c r="M20" s="50">
        <f>Table26[[#This Row],[Margined
Power '[W']]]*Table2724[[#This Row],[Duty
Cycle '[%']]]</f>
        <v>2.6552795031055898E-2</v>
      </c>
      <c r="N20" s="64"/>
      <c r="O20" s="101">
        <v>0.02</v>
      </c>
      <c r="P20" s="49">
        <f>Table276[[#This Row],[Duty
Cycle '[%']]]*'Orbit Parameters'!$C$6</f>
        <v>114.77645264942623</v>
      </c>
      <c r="Q20" s="50">
        <f>Table276[[#This Row],[Duty
Cycle '[%']]]*Table26[[#This Row],[Margined
Power '[W']]]</f>
        <v>2.6552795031055898E-2</v>
      </c>
      <c r="R20" s="64"/>
      <c r="S20" s="101">
        <v>0</v>
      </c>
      <c r="T20" s="49">
        <f>Table2728[[#This Row],[Duty
Cycle '[%']]]*'Orbit Parameters'!$C$6</f>
        <v>0</v>
      </c>
      <c r="U20" s="50">
        <f>Table26[[#This Row],[Margined
Power '[W']]]*Table2728[[#This Row],[Duty
Cycle '[%']]]</f>
        <v>0</v>
      </c>
      <c r="V20" s="64"/>
      <c r="W20" s="48">
        <v>0</v>
      </c>
      <c r="X20" s="49">
        <f>Table272410[[#This Row],[Duty
Cycle '[%']]]*'Orbit Parameters'!$C$6</f>
        <v>0</v>
      </c>
      <c r="Y20" s="50">
        <f>Table26[[#This Row],[Margined
Power '[W']]]*Table272410[[#This Row],[Duty
Cycle '[%']]]</f>
        <v>0</v>
      </c>
    </row>
    <row r="21" spans="1:25" x14ac:dyDescent="0.25">
      <c r="A21" s="55" t="str">
        <f>'Power Consumption'!A13</f>
        <v>CubeADCS RWs</v>
      </c>
      <c r="B21" s="49">
        <f>'Power Consumption'!N13</f>
        <v>2.672748447204969</v>
      </c>
      <c r="C21" s="48">
        <v>1</v>
      </c>
      <c r="D21" s="49">
        <f>Table27[[#This Row],[Duty
Cycle '[%']]]*'Orbit Parameters'!$C$6</f>
        <v>5738.8226324713114</v>
      </c>
      <c r="E21" s="50">
        <f>Table27[[#This Row],[Duty
Cycle '[%']]]*Table26[[#This Row],[Margined
Power '[W']]]</f>
        <v>2.672748447204969</v>
      </c>
      <c r="F21" s="64"/>
      <c r="G21" s="48">
        <v>1</v>
      </c>
      <c r="H21" s="49">
        <f>Table272[[#This Row],[Duty
Cycle '[%']]]*'Orbit Parameters'!$C$6</f>
        <v>5738.8226324713114</v>
      </c>
      <c r="I21" s="50">
        <f>Table26[[#This Row],[Margined
Power '[W']]]*Table272[[#This Row],[Duty
Cycle '[%']]]</f>
        <v>2.672748447204969</v>
      </c>
      <c r="J21" s="64"/>
      <c r="K21" s="48">
        <v>1</v>
      </c>
      <c r="L21" s="49">
        <f>Table2724[[#This Row],[Duty
Cycle '[%']]]*'Orbit Parameters'!$C$6</f>
        <v>5738.8226324713114</v>
      </c>
      <c r="M21" s="50">
        <f>Table26[[#This Row],[Margined
Power '[W']]]*Table2724[[#This Row],[Duty
Cycle '[%']]]</f>
        <v>2.672748447204969</v>
      </c>
      <c r="N21" s="64"/>
      <c r="O21" s="101">
        <v>1</v>
      </c>
      <c r="P21" s="49">
        <f>Table276[[#This Row],[Duty
Cycle '[%']]]*'Orbit Parameters'!$C$6</f>
        <v>5738.8226324713114</v>
      </c>
      <c r="Q21" s="50">
        <f>Table276[[#This Row],[Duty
Cycle '[%']]]*Table26[[#This Row],[Margined
Power '[W']]]</f>
        <v>2.672748447204969</v>
      </c>
      <c r="R21" s="64"/>
      <c r="S21" s="101">
        <v>0</v>
      </c>
      <c r="T21" s="49">
        <f>Table2728[[#This Row],[Duty
Cycle '[%']]]*'Orbit Parameters'!$C$6</f>
        <v>0</v>
      </c>
      <c r="U21" s="50">
        <f>Table26[[#This Row],[Margined
Power '[W']]]*Table2728[[#This Row],[Duty
Cycle '[%']]]</f>
        <v>0</v>
      </c>
      <c r="V21" s="64"/>
      <c r="W21" s="48">
        <v>0</v>
      </c>
      <c r="X21" s="49">
        <f>Table272410[[#This Row],[Duty
Cycle '[%']]]*'Orbit Parameters'!$C$6</f>
        <v>0</v>
      </c>
      <c r="Y21" s="50">
        <f>Table26[[#This Row],[Margined
Power '[W']]]*Table272410[[#This Row],[Duty
Cycle '[%']]]</f>
        <v>0</v>
      </c>
    </row>
    <row r="22" spans="1:25" hidden="1" x14ac:dyDescent="0.25">
      <c r="A22" s="55" t="str">
        <f>'Power Consumption'!A14</f>
        <v>EPSON G370 Gyro</v>
      </c>
      <c r="B22" s="49">
        <f>'Power Consumption'!N14</f>
        <v>0.11529503105590062</v>
      </c>
      <c r="C22" s="48">
        <v>0</v>
      </c>
      <c r="D22" s="49">
        <f>Table27[[#This Row],[Duty
Cycle '[%']]]*'Orbit Parameters'!$C$6</f>
        <v>0</v>
      </c>
      <c r="E22" s="50">
        <f>Table27[[#This Row],[Duty
Cycle '[%']]]*Table26[[#This Row],[Margined
Power '[W']]]</f>
        <v>0</v>
      </c>
      <c r="F22" s="64"/>
      <c r="G22" s="48">
        <v>0</v>
      </c>
      <c r="H22" s="49">
        <f>Table272[[#This Row],[Duty
Cycle '[%']]]*'Orbit Parameters'!$C$6</f>
        <v>0</v>
      </c>
      <c r="I22" s="50">
        <f>Table26[[#This Row],[Margined
Power '[W']]]*Table272[[#This Row],[Duty
Cycle '[%']]]</f>
        <v>0</v>
      </c>
      <c r="J22" s="64"/>
      <c r="K22" s="48">
        <v>0</v>
      </c>
      <c r="L22" s="49">
        <f>Table2724[[#This Row],[Duty
Cycle '[%']]]*'Orbit Parameters'!$C$6</f>
        <v>0</v>
      </c>
      <c r="M22" s="50">
        <f>Table26[[#This Row],[Margined
Power '[W']]]*Table2724[[#This Row],[Duty
Cycle '[%']]]</f>
        <v>0</v>
      </c>
      <c r="N22" s="64"/>
      <c r="O22" s="101">
        <v>0</v>
      </c>
      <c r="P22" s="49">
        <f>Table276[[#This Row],[Duty
Cycle '[%']]]*'Orbit Parameters'!$C$6</f>
        <v>0</v>
      </c>
      <c r="Q22" s="50">
        <f>Table276[[#This Row],[Duty
Cycle '[%']]]*Table26[[#This Row],[Margined
Power '[W']]]</f>
        <v>0</v>
      </c>
      <c r="R22" s="64"/>
      <c r="S22" s="101">
        <v>0</v>
      </c>
      <c r="T22" s="49">
        <f>Table2728[[#This Row],[Duty
Cycle '[%']]]*'Orbit Parameters'!$C$6</f>
        <v>0</v>
      </c>
      <c r="U22" s="50">
        <f>Table26[[#This Row],[Margined
Power '[W']]]*Table2728[[#This Row],[Duty
Cycle '[%']]]</f>
        <v>0</v>
      </c>
      <c r="V22" s="64"/>
      <c r="W22" s="48">
        <v>0</v>
      </c>
      <c r="X22" s="49">
        <f>Table272410[[#This Row],[Duty
Cycle '[%']]]*'Orbit Parameters'!$C$6</f>
        <v>0</v>
      </c>
      <c r="Y22" s="50">
        <f>Table26[[#This Row],[Margined
Power '[W']]]*Table272410[[#This Row],[Duty
Cycle '[%']]]</f>
        <v>0</v>
      </c>
    </row>
    <row r="23" spans="1:25" hidden="1" x14ac:dyDescent="0.25">
      <c r="A23" s="55" t="str">
        <f>'Power Consumption'!A15</f>
        <v>NovAtel GNSS Rx</v>
      </c>
      <c r="B23" s="49">
        <f>'Power Consumption'!N15</f>
        <v>1.3989130434782608</v>
      </c>
      <c r="C23" s="48">
        <v>0</v>
      </c>
      <c r="D23" s="49">
        <f>Table27[[#This Row],[Duty
Cycle '[%']]]*'Orbit Parameters'!$C$6</f>
        <v>0</v>
      </c>
      <c r="E23" s="50">
        <f>Table27[[#This Row],[Duty
Cycle '[%']]]*Table26[[#This Row],[Margined
Power '[W']]]</f>
        <v>0</v>
      </c>
      <c r="G23" s="48">
        <v>0</v>
      </c>
      <c r="H23" s="49">
        <f>Table272[[#This Row],[Duty
Cycle '[%']]]*'Orbit Parameters'!$C$6</f>
        <v>0</v>
      </c>
      <c r="I23" s="50">
        <f>Table26[[#This Row],[Margined
Power '[W']]]*Table272[[#This Row],[Duty
Cycle '[%']]]</f>
        <v>0</v>
      </c>
      <c r="K23" s="48">
        <v>0</v>
      </c>
      <c r="L23" s="49">
        <f>Table2724[[#This Row],[Duty
Cycle '[%']]]*'Orbit Parameters'!$C$6</f>
        <v>0</v>
      </c>
      <c r="M23" s="50">
        <f>Table26[[#This Row],[Margined
Power '[W']]]*Table2724[[#This Row],[Duty
Cycle '[%']]]</f>
        <v>0</v>
      </c>
      <c r="O23" s="101">
        <v>0</v>
      </c>
      <c r="P23" s="49">
        <f>Table276[[#This Row],[Duty
Cycle '[%']]]*'Orbit Parameters'!$C$6</f>
        <v>0</v>
      </c>
      <c r="Q23" s="50">
        <f>Table276[[#This Row],[Duty
Cycle '[%']]]*Table26[[#This Row],[Margined
Power '[W']]]</f>
        <v>0</v>
      </c>
      <c r="S23" s="101">
        <v>0</v>
      </c>
      <c r="T23" s="49">
        <f>Table2728[[#This Row],[Duty
Cycle '[%']]]*'Orbit Parameters'!$C$6</f>
        <v>0</v>
      </c>
      <c r="U23" s="50">
        <f>Table26[[#This Row],[Margined
Power '[W']]]*Table2728[[#This Row],[Duty
Cycle '[%']]]</f>
        <v>0</v>
      </c>
      <c r="W23" s="48">
        <v>0</v>
      </c>
      <c r="X23" s="49">
        <f>Table272410[[#This Row],[Duty
Cycle '[%']]]*'Orbit Parameters'!$C$6</f>
        <v>0</v>
      </c>
      <c r="Y23" s="50">
        <f>Table26[[#This Row],[Margined
Power '[W']]]*Table272410[[#This Row],[Duty
Cycle '[%']]]</f>
        <v>0</v>
      </c>
    </row>
    <row r="24" spans="1:25" x14ac:dyDescent="0.25">
      <c r="A24" s="55" t="str">
        <f>'Power Consumption'!A16</f>
        <v>HiSPiCO S-Band SDR Tx</v>
      </c>
      <c r="B24" s="49">
        <f>'Power Consumption'!N16</f>
        <v>5.8229813664596284</v>
      </c>
      <c r="C24" s="48">
        <v>0</v>
      </c>
      <c r="D24" s="49">
        <f>Table27[[#This Row],[Duty
Cycle '[%']]]*'Orbit Parameters'!$C$6</f>
        <v>0</v>
      </c>
      <c r="E24" s="50">
        <f>Table27[[#This Row],[Duty
Cycle '[%']]]*Table26[[#This Row],[Margined
Power '[W']]]</f>
        <v>0</v>
      </c>
      <c r="G24" s="48">
        <v>0</v>
      </c>
      <c r="H24" s="49">
        <f>Table272[[#This Row],[Duty
Cycle '[%']]]*'Orbit Parameters'!$C$6</f>
        <v>0</v>
      </c>
      <c r="I24" s="50">
        <f>Table26[[#This Row],[Margined
Power '[W']]]*Table272[[#This Row],[Duty
Cycle '[%']]]</f>
        <v>0</v>
      </c>
      <c r="K24" s="48">
        <v>0</v>
      </c>
      <c r="L24" s="49">
        <f>Table2724[[#This Row],[Duty
Cycle '[%']]]*'Orbit Parameters'!$C$6</f>
        <v>0</v>
      </c>
      <c r="M24" s="50">
        <f>Table26[[#This Row],[Margined
Power '[W']]]*Table2724[[#This Row],[Duty
Cycle '[%']]]</f>
        <v>0</v>
      </c>
      <c r="O24" s="101">
        <v>0</v>
      </c>
      <c r="P24" s="49">
        <f>Table276[[#This Row],[Duty
Cycle '[%']]]*'Orbit Parameters'!$C$6</f>
        <v>0</v>
      </c>
      <c r="Q24" s="50">
        <f>Table276[[#This Row],[Duty
Cycle '[%']]]*Table26[[#This Row],[Margined
Power '[W']]]</f>
        <v>0</v>
      </c>
      <c r="S24" s="101">
        <v>0</v>
      </c>
      <c r="T24" s="49">
        <f>Table2728[[#This Row],[Duty
Cycle '[%']]]*'Orbit Parameters'!$C$6</f>
        <v>0</v>
      </c>
      <c r="U24" s="50">
        <f>Table26[[#This Row],[Margined
Power '[W']]]*Table2728[[#This Row],[Duty
Cycle '[%']]]</f>
        <v>0</v>
      </c>
      <c r="W24" s="48">
        <v>0</v>
      </c>
      <c r="X24" s="49">
        <f>Table272410[[#This Row],[Duty
Cycle '[%']]]*'Orbit Parameters'!$C$6</f>
        <v>0</v>
      </c>
      <c r="Y24" s="50">
        <f>Table26[[#This Row],[Margined
Power '[W']]]*Table272410[[#This Row],[Duty
Cycle '[%']]]</f>
        <v>0</v>
      </c>
    </row>
    <row r="25" spans="1:25" x14ac:dyDescent="0.25">
      <c r="A25" s="55" t="str">
        <f>'Power Consumption'!A17</f>
        <v>GOS PHU</v>
      </c>
      <c r="B25" s="49">
        <f>'Power Consumption'!N17</f>
        <v>0.56366459627329202</v>
      </c>
      <c r="C25" s="48">
        <v>1</v>
      </c>
      <c r="D25" s="49">
        <f>Table27[[#This Row],[Duty
Cycle '[%']]]*'Orbit Parameters'!$C$6</f>
        <v>5738.8226324713114</v>
      </c>
      <c r="E25" s="50">
        <f>Table27[[#This Row],[Duty
Cycle '[%']]]*Table26[[#This Row],[Margined
Power '[W']]]</f>
        <v>0.56366459627329202</v>
      </c>
      <c r="G25" s="48">
        <v>1</v>
      </c>
      <c r="H25" s="49">
        <f>Table272[[#This Row],[Duty
Cycle '[%']]]*'Orbit Parameters'!$C$6</f>
        <v>5738.8226324713114</v>
      </c>
      <c r="I25" s="50">
        <f>Table26[[#This Row],[Margined
Power '[W']]]*Table272[[#This Row],[Duty
Cycle '[%']]]</f>
        <v>0.56366459627329202</v>
      </c>
      <c r="K25" s="48">
        <v>1</v>
      </c>
      <c r="L25" s="49">
        <f>Table2724[[#This Row],[Duty
Cycle '[%']]]*'Orbit Parameters'!$C$6</f>
        <v>5738.8226324713114</v>
      </c>
      <c r="M25" s="50">
        <f>Table26[[#This Row],[Margined
Power '[W']]]*Table2724[[#This Row],[Duty
Cycle '[%']]]</f>
        <v>0.56366459627329202</v>
      </c>
      <c r="O25" s="101">
        <v>0</v>
      </c>
      <c r="P25" s="49">
        <f>Table276[[#This Row],[Duty
Cycle '[%']]]*'Orbit Parameters'!$C$6</f>
        <v>0</v>
      </c>
      <c r="Q25" s="50">
        <f>Table276[[#This Row],[Duty
Cycle '[%']]]*Table26[[#This Row],[Margined
Power '[W']]]</f>
        <v>0</v>
      </c>
      <c r="S25" s="101">
        <v>0</v>
      </c>
      <c r="T25" s="49">
        <f>Table2728[[#This Row],[Duty
Cycle '[%']]]*'Orbit Parameters'!$C$6</f>
        <v>0</v>
      </c>
      <c r="U25" s="50">
        <f>Table26[[#This Row],[Margined
Power '[W']]]*Table2728[[#This Row],[Duty
Cycle '[%']]]</f>
        <v>0</v>
      </c>
      <c r="W25" s="48">
        <v>0</v>
      </c>
      <c r="X25" s="49">
        <f>Table272410[[#This Row],[Duty
Cycle '[%']]]*'Orbit Parameters'!$C$6</f>
        <v>0</v>
      </c>
      <c r="Y25" s="50">
        <f>Table26[[#This Row],[Margined
Power '[W']]]*Table272410[[#This Row],[Duty
Cycle '[%']]]</f>
        <v>0</v>
      </c>
    </row>
    <row r="26" spans="1:25" x14ac:dyDescent="0.25">
      <c r="A26" s="55" t="str">
        <f>'Power Consumption'!A18</f>
        <v>AURA-2</v>
      </c>
      <c r="B26" s="49">
        <f>'Power Consumption'!N18</f>
        <v>3.9929015084294583</v>
      </c>
      <c r="C26" s="48">
        <v>0</v>
      </c>
      <c r="D26" s="49">
        <f>Table27[[#This Row],[Duty
Cycle '[%']]]*'Orbit Parameters'!$C$6</f>
        <v>0</v>
      </c>
      <c r="E26" s="50">
        <f>Table27[[#This Row],[Duty
Cycle '[%']]]*Table26[[#This Row],[Margined
Power '[W']]]</f>
        <v>0</v>
      </c>
      <c r="G26" s="48">
        <v>1</v>
      </c>
      <c r="H26" s="49">
        <f>Table272[[#This Row],[Duty
Cycle '[%']]]*'Orbit Parameters'!$C$6</f>
        <v>5738.8226324713114</v>
      </c>
      <c r="I26" s="50">
        <f>Table26[[#This Row],[Margined
Power '[W']]]*Table272[[#This Row],[Duty
Cycle '[%']]]</f>
        <v>3.9929015084294583</v>
      </c>
      <c r="K26" s="48">
        <v>0</v>
      </c>
      <c r="L26" s="49">
        <f>Table2724[[#This Row],[Duty
Cycle '[%']]]*'Orbit Parameters'!$C$6</f>
        <v>0</v>
      </c>
      <c r="M26" s="50">
        <f>Table26[[#This Row],[Margined
Power '[W']]]*Table2724[[#This Row],[Duty
Cycle '[%']]]</f>
        <v>0</v>
      </c>
      <c r="O26" s="101">
        <v>0</v>
      </c>
      <c r="P26" s="49">
        <f>Table276[[#This Row],[Duty
Cycle '[%']]]*'Orbit Parameters'!$C$6</f>
        <v>0</v>
      </c>
      <c r="Q26" s="50">
        <f>Table276[[#This Row],[Duty
Cycle '[%']]]*Table26[[#This Row],[Margined
Power '[W']]]</f>
        <v>0</v>
      </c>
      <c r="S26" s="101">
        <v>0</v>
      </c>
      <c r="T26" s="49">
        <f>Table2728[[#This Row],[Duty
Cycle '[%']]]*'Orbit Parameters'!$C$6</f>
        <v>0</v>
      </c>
      <c r="U26" s="50">
        <f>Table26[[#This Row],[Margined
Power '[W']]]*Table2728[[#This Row],[Duty
Cycle '[%']]]</f>
        <v>0</v>
      </c>
      <c r="W26" s="48">
        <v>0</v>
      </c>
      <c r="X26" s="49">
        <f>Table272410[[#This Row],[Duty
Cycle '[%']]]*'Orbit Parameters'!$C$6</f>
        <v>0</v>
      </c>
      <c r="Y26" s="50">
        <f>Table26[[#This Row],[Margined
Power '[W']]]*Table272410[[#This Row],[Duty
Cycle '[%']]]</f>
        <v>0</v>
      </c>
    </row>
    <row r="27" spans="1:25" x14ac:dyDescent="0.25">
      <c r="A27" s="55" t="str">
        <f>'Power Consumption'!A19</f>
        <v>DÉCOR (1)</v>
      </c>
      <c r="B27" s="49">
        <f>'Power Consumption'!N19</f>
        <v>0.2661934338952972</v>
      </c>
      <c r="C27" s="48">
        <v>1</v>
      </c>
      <c r="D27" s="49">
        <f>Table27[[#This Row],[Duty
Cycle '[%']]]*'Orbit Parameters'!$C$6</f>
        <v>5738.8226324713114</v>
      </c>
      <c r="E27" s="50">
        <f>Table27[[#This Row],[Duty
Cycle '[%']]]*Table26[[#This Row],[Margined
Power '[W']]]</f>
        <v>0.2661934338952972</v>
      </c>
      <c r="G27" s="48">
        <v>1</v>
      </c>
      <c r="H27" s="49">
        <f>Table272[[#This Row],[Duty
Cycle '[%']]]*'Orbit Parameters'!$C$6</f>
        <v>5738.8226324713114</v>
      </c>
      <c r="I27" s="50">
        <f>Table26[[#This Row],[Margined
Power '[W']]]*Table272[[#This Row],[Duty
Cycle '[%']]]</f>
        <v>0.2661934338952972</v>
      </c>
      <c r="K27" s="48">
        <v>1</v>
      </c>
      <c r="L27" s="49">
        <f>Table2724[[#This Row],[Duty
Cycle '[%']]]*'Orbit Parameters'!$C$6</f>
        <v>5738.8226324713114</v>
      </c>
      <c r="M27" s="50">
        <f>Table26[[#This Row],[Margined
Power '[W']]]*Table2724[[#This Row],[Duty
Cycle '[%']]]</f>
        <v>0.2661934338952972</v>
      </c>
      <c r="O27" s="101">
        <v>0</v>
      </c>
      <c r="P27" s="49">
        <f>Table276[[#This Row],[Duty
Cycle '[%']]]*'Orbit Parameters'!$C$6</f>
        <v>0</v>
      </c>
      <c r="Q27" s="50">
        <f>Table276[[#This Row],[Duty
Cycle '[%']]]*Table26[[#This Row],[Margined
Power '[W']]]</f>
        <v>0</v>
      </c>
      <c r="S27" s="101">
        <v>0</v>
      </c>
      <c r="T27" s="49">
        <f>Table2728[[#This Row],[Duty
Cycle '[%']]]*'Orbit Parameters'!$C$6</f>
        <v>0</v>
      </c>
      <c r="U27" s="50">
        <f>Table26[[#This Row],[Margined
Power '[W']]]*Table2728[[#This Row],[Duty
Cycle '[%']]]</f>
        <v>0</v>
      </c>
      <c r="W27" s="48">
        <v>0</v>
      </c>
      <c r="X27" s="49">
        <f>Table272410[[#This Row],[Duty
Cycle '[%']]]*'Orbit Parameters'!$C$6</f>
        <v>0</v>
      </c>
      <c r="Y27" s="50">
        <f>Table26[[#This Row],[Margined
Power '[W']]]*Table272410[[#This Row],[Duty
Cycle '[%']]]</f>
        <v>0</v>
      </c>
    </row>
    <row r="28" spans="1:25" x14ac:dyDescent="0.25">
      <c r="A28" s="55" t="str">
        <f>'Power Consumption'!A20</f>
        <v>DÉCOR (2)</v>
      </c>
      <c r="B28" s="49">
        <f>'Power Consumption'!N20</f>
        <v>1.3309671694764862</v>
      </c>
      <c r="C28" s="48">
        <v>1</v>
      </c>
      <c r="D28" s="49">
        <f>Table27[[#This Row],[Duty
Cycle '[%']]]*'Orbit Parameters'!$C$6</f>
        <v>5738.8226324713114</v>
      </c>
      <c r="E28" s="50">
        <f>Table27[[#This Row],[Duty
Cycle '[%']]]*Table26[[#This Row],[Margined
Power '[W']]]</f>
        <v>1.3309671694764862</v>
      </c>
      <c r="G28" s="48">
        <v>1</v>
      </c>
      <c r="H28" s="49">
        <f>Table272[[#This Row],[Duty
Cycle '[%']]]*'Orbit Parameters'!$C$6</f>
        <v>5738.8226324713114</v>
      </c>
      <c r="I28" s="50">
        <f>Table26[[#This Row],[Margined
Power '[W']]]*Table272[[#This Row],[Duty
Cycle '[%']]]</f>
        <v>1.3309671694764862</v>
      </c>
      <c r="K28" s="48">
        <v>1</v>
      </c>
      <c r="L28" s="49">
        <f>Table2724[[#This Row],[Duty
Cycle '[%']]]*'Orbit Parameters'!$C$6</f>
        <v>5738.8226324713114</v>
      </c>
      <c r="M28" s="50">
        <f>Table26[[#This Row],[Margined
Power '[W']]]*Table2724[[#This Row],[Duty
Cycle '[%']]]</f>
        <v>1.3309671694764862</v>
      </c>
      <c r="O28" s="101">
        <v>0</v>
      </c>
      <c r="P28" s="49">
        <f>Table276[[#This Row],[Duty
Cycle '[%']]]*'Orbit Parameters'!$C$6</f>
        <v>0</v>
      </c>
      <c r="Q28" s="50">
        <f>Table276[[#This Row],[Duty
Cycle '[%']]]*Table26[[#This Row],[Margined
Power '[W']]]</f>
        <v>0</v>
      </c>
      <c r="S28" s="101">
        <v>0</v>
      </c>
      <c r="T28" s="49">
        <f>Table2728[[#This Row],[Duty
Cycle '[%']]]*'Orbit Parameters'!$C$6</f>
        <v>0</v>
      </c>
      <c r="U28" s="50">
        <f>Table26[[#This Row],[Margined
Power '[W']]]*Table2728[[#This Row],[Duty
Cycle '[%']]]</f>
        <v>0</v>
      </c>
      <c r="W28" s="48">
        <v>0</v>
      </c>
      <c r="X28" s="49">
        <f>Table272410[[#This Row],[Duty
Cycle '[%']]]*'Orbit Parameters'!$C$6</f>
        <v>0</v>
      </c>
      <c r="Y28" s="50">
        <f>Table26[[#This Row],[Margined
Power '[W']]]*Table272410[[#This Row],[Duty
Cycle '[%']]]</f>
        <v>0</v>
      </c>
    </row>
    <row r="29" spans="1:25" x14ac:dyDescent="0.25">
      <c r="A29" s="55" t="str">
        <f>'Power Consumption'!A21</f>
        <v>FIAN</v>
      </c>
      <c r="B29" s="49">
        <f>'Power Consumption'!N21</f>
        <v>5.3238686779059448</v>
      </c>
      <c r="C29" s="48">
        <v>1</v>
      </c>
      <c r="D29" s="49">
        <f>Table27[[#This Row],[Duty
Cycle '[%']]]*'Orbit Parameters'!$C$6</f>
        <v>5738.8226324713114</v>
      </c>
      <c r="E29" s="50">
        <f>Table27[[#This Row],[Duty
Cycle '[%']]]*Table26[[#This Row],[Margined
Power '[W']]]</f>
        <v>5.3238686779059448</v>
      </c>
      <c r="G29" s="48">
        <v>0</v>
      </c>
      <c r="H29" s="49">
        <f>Table272[[#This Row],[Duty
Cycle '[%']]]*'Orbit Parameters'!$C$6</f>
        <v>0</v>
      </c>
      <c r="I29" s="50">
        <f>Table26[[#This Row],[Margined
Power '[W']]]*Table272[[#This Row],[Duty
Cycle '[%']]]</f>
        <v>0</v>
      </c>
      <c r="K29" s="48">
        <v>0</v>
      </c>
      <c r="L29" s="49">
        <f>Table2724[[#This Row],[Duty
Cycle '[%']]]*'Orbit Parameters'!$C$6</f>
        <v>0</v>
      </c>
      <c r="M29" s="50">
        <f>Table26[[#This Row],[Margined
Power '[W']]]*Table2724[[#This Row],[Duty
Cycle '[%']]]</f>
        <v>0</v>
      </c>
      <c r="O29" s="101">
        <v>0</v>
      </c>
      <c r="P29" s="49">
        <f>Table276[[#This Row],[Duty
Cycle '[%']]]*'Orbit Parameters'!$C$6</f>
        <v>0</v>
      </c>
      <c r="Q29" s="50">
        <f>Table276[[#This Row],[Duty
Cycle '[%']]]*Table26[[#This Row],[Margined
Power '[W']]]</f>
        <v>0</v>
      </c>
      <c r="S29" s="101">
        <v>0</v>
      </c>
      <c r="T29" s="49">
        <f>Table2728[[#This Row],[Duty
Cycle '[%']]]*'Orbit Parameters'!$C$6</f>
        <v>0</v>
      </c>
      <c r="U29" s="50">
        <f>Table26[[#This Row],[Margined
Power '[W']]]*Table2728[[#This Row],[Duty
Cycle '[%']]]</f>
        <v>0</v>
      </c>
      <c r="W29" s="48">
        <v>0</v>
      </c>
      <c r="X29" s="49">
        <f>Table272410[[#This Row],[Duty
Cycle '[%']]]*'Orbit Parameters'!$C$6</f>
        <v>0</v>
      </c>
      <c r="Y29" s="50">
        <f>Table26[[#This Row],[Margined
Power '[W']]]*Table272410[[#This Row],[Duty
Cycle '[%']]]</f>
        <v>0</v>
      </c>
    </row>
    <row r="30" spans="1:25" x14ac:dyDescent="0.25">
      <c r="A30" s="55" t="str">
        <f>'Power Consumption'!A22</f>
        <v>AMUR</v>
      </c>
      <c r="B30" s="49">
        <f>'Power Consumption'!N22</f>
        <v>0.2661934338952972</v>
      </c>
      <c r="C30" s="48">
        <v>1</v>
      </c>
      <c r="D30" s="49">
        <f>Table27[[#This Row],[Duty
Cycle '[%']]]*'Orbit Parameters'!$C$6</f>
        <v>5738.8226324713114</v>
      </c>
      <c r="E30" s="50">
        <f>Table27[[#This Row],[Duty
Cycle '[%']]]*Table26[[#This Row],[Margined
Power '[W']]]</f>
        <v>0.2661934338952972</v>
      </c>
      <c r="G30" s="48">
        <v>1</v>
      </c>
      <c r="H30" s="49">
        <f>Table272[[#This Row],[Duty
Cycle '[%']]]*'Orbit Parameters'!$C$6</f>
        <v>5738.8226324713114</v>
      </c>
      <c r="I30" s="50">
        <f>Table26[[#This Row],[Margined
Power '[W']]]*Table272[[#This Row],[Duty
Cycle '[%']]]</f>
        <v>0.2661934338952972</v>
      </c>
      <c r="K30" s="48">
        <v>1</v>
      </c>
      <c r="L30" s="49">
        <f>Table2724[[#This Row],[Duty
Cycle '[%']]]*'Orbit Parameters'!$C$6</f>
        <v>5738.8226324713114</v>
      </c>
      <c r="M30" s="50">
        <f>Table26[[#This Row],[Margined
Power '[W']]]*Table2724[[#This Row],[Duty
Cycle '[%']]]</f>
        <v>0.2661934338952972</v>
      </c>
      <c r="O30" s="101">
        <v>0</v>
      </c>
      <c r="P30" s="49">
        <f>Table276[[#This Row],[Duty
Cycle '[%']]]*'Orbit Parameters'!$C$6</f>
        <v>0</v>
      </c>
      <c r="Q30" s="50">
        <f>Table276[[#This Row],[Duty
Cycle '[%']]]*Table26[[#This Row],[Margined
Power '[W']]]</f>
        <v>0</v>
      </c>
      <c r="S30" s="101">
        <v>0</v>
      </c>
      <c r="T30" s="49">
        <f>Table2728[[#This Row],[Duty
Cycle '[%']]]*'Orbit Parameters'!$C$6</f>
        <v>0</v>
      </c>
      <c r="U30" s="50">
        <f>Table26[[#This Row],[Margined
Power '[W']]]*Table2728[[#This Row],[Duty
Cycle '[%']]]</f>
        <v>0</v>
      </c>
      <c r="W30" s="48">
        <v>0</v>
      </c>
      <c r="X30" s="49">
        <f>Table272410[[#This Row],[Duty
Cycle '[%']]]*'Orbit Parameters'!$C$6</f>
        <v>0</v>
      </c>
      <c r="Y30" s="50">
        <f>Table26[[#This Row],[Margined
Power '[W']]]*Table272410[[#This Row],[Duty
Cycle '[%']]]</f>
        <v>0</v>
      </c>
    </row>
    <row r="31" spans="1:25" x14ac:dyDescent="0.25">
      <c r="A31" s="55" t="str">
        <f>'Power Consumption'!A23</f>
        <v>VISCAM</v>
      </c>
      <c r="B31" s="49">
        <f>'Power Consumption'!N23</f>
        <v>0.30745341614906835</v>
      </c>
      <c r="C31" s="48">
        <v>0</v>
      </c>
      <c r="D31" s="49">
        <f>Table27[[#This Row],[Duty
Cycle '[%']]]*'Orbit Parameters'!$C$6</f>
        <v>0</v>
      </c>
      <c r="E31" s="50">
        <f>Table27[[#This Row],[Duty
Cycle '[%']]]*Table26[[#This Row],[Margined
Power '[W']]]</f>
        <v>0</v>
      </c>
      <c r="G31" s="48">
        <v>0</v>
      </c>
      <c r="H31" s="49">
        <f>Table272[[#This Row],[Duty
Cycle '[%']]]*'Orbit Parameters'!$C$6</f>
        <v>0</v>
      </c>
      <c r="I31" s="50">
        <f>Table26[[#This Row],[Margined
Power '[W']]]*Table272[[#This Row],[Duty
Cycle '[%']]]</f>
        <v>0</v>
      </c>
      <c r="K31" s="48">
        <v>0</v>
      </c>
      <c r="L31" s="49">
        <f>Table2724[[#This Row],[Duty
Cycle '[%']]]*'Orbit Parameters'!$C$6</f>
        <v>0</v>
      </c>
      <c r="M31" s="50">
        <f>Table26[[#This Row],[Margined
Power '[W']]]*Table2724[[#This Row],[Duty
Cycle '[%']]]</f>
        <v>0</v>
      </c>
      <c r="O31" s="101">
        <v>0</v>
      </c>
      <c r="P31" s="49">
        <f>Table276[[#This Row],[Duty
Cycle '[%']]]*'Orbit Parameters'!$C$6</f>
        <v>0</v>
      </c>
      <c r="Q31" s="50">
        <f>Table276[[#This Row],[Duty
Cycle '[%']]]*Table26[[#This Row],[Margined
Power '[W']]]</f>
        <v>0</v>
      </c>
      <c r="S31" s="101">
        <v>0</v>
      </c>
      <c r="T31" s="49">
        <f>Table2728[[#This Row],[Duty
Cycle '[%']]]*'Orbit Parameters'!$C$6</f>
        <v>0</v>
      </c>
      <c r="U31" s="50">
        <f>Table26[[#This Row],[Margined
Power '[W']]]*Table2728[[#This Row],[Duty
Cycle '[%']]]</f>
        <v>0</v>
      </c>
      <c r="W31" s="48">
        <v>0</v>
      </c>
      <c r="X31" s="49">
        <f>Table272410[[#This Row],[Duty
Cycle '[%']]]*'Orbit Parameters'!$C$6</f>
        <v>0</v>
      </c>
      <c r="Y31" s="50">
        <f>Table26[[#This Row],[Margined
Power '[W']]]*Table272410[[#This Row],[Duty
Cycle '[%']]]</f>
        <v>0</v>
      </c>
    </row>
    <row r="32" spans="1:25" hidden="1" x14ac:dyDescent="0.25">
      <c r="A32" s="55" t="str">
        <f>'Power Consumption'!A24</f>
        <v>Consumer #20</v>
      </c>
      <c r="B32" s="49">
        <f>'Power Consumption'!N24</f>
        <v>0</v>
      </c>
      <c r="C32" s="48">
        <v>0</v>
      </c>
      <c r="D32" s="49">
        <f>Table27[[#This Row],[Duty
Cycle '[%']]]*'Orbit Parameters'!$C$6</f>
        <v>0</v>
      </c>
      <c r="E32" s="50">
        <f>Table27[[#This Row],[Duty
Cycle '[%']]]*Table26[[#This Row],[Margined
Power '[W']]]</f>
        <v>0</v>
      </c>
      <c r="G32" s="100">
        <v>0</v>
      </c>
      <c r="H32" s="49">
        <f>Table272[[#This Row],[Duty
Cycle '[%']]]*'Orbit Parameters'!$C$6</f>
        <v>0</v>
      </c>
      <c r="I32" s="50">
        <f>Table26[[#This Row],[Margined
Power '[W']]]*Table272[[#This Row],[Duty
Cycle '[%']]]</f>
        <v>0</v>
      </c>
      <c r="K32" s="101">
        <v>0</v>
      </c>
      <c r="L32" s="49">
        <f>Table2724[[#This Row],[Duty
Cycle '[%']]]*'Orbit Parameters'!$C$6</f>
        <v>0</v>
      </c>
      <c r="M32" s="50">
        <f>Table26[[#This Row],[Margined
Power '[W']]]*Table2724[[#This Row],[Duty
Cycle '[%']]]</f>
        <v>0</v>
      </c>
      <c r="O32" s="101">
        <v>0</v>
      </c>
      <c r="P32" s="49">
        <f>Table276[[#This Row],[Duty
Cycle '[%']]]*'Orbit Parameters'!$C$6</f>
        <v>0</v>
      </c>
      <c r="Q32" s="50">
        <f>Table276[[#This Row],[Duty
Cycle '[%']]]*Table26[[#This Row],[Margined
Power '[W']]]</f>
        <v>0</v>
      </c>
      <c r="S32" s="101">
        <v>0</v>
      </c>
      <c r="T32" s="49">
        <f>Table2728[[#This Row],[Duty
Cycle '[%']]]*'Orbit Parameters'!$C$6</f>
        <v>0</v>
      </c>
      <c r="U32" s="50">
        <f>Table26[[#This Row],[Margined
Power '[W']]]*Table2728[[#This Row],[Duty
Cycle '[%']]]</f>
        <v>0</v>
      </c>
      <c r="W32" s="48">
        <v>0</v>
      </c>
      <c r="X32" s="49">
        <f>Table272410[[#This Row],[Duty
Cycle '[%']]]*'Orbit Parameters'!$C$6</f>
        <v>0</v>
      </c>
      <c r="Y32" s="50">
        <f>Table26[[#This Row],[Margined
Power '[W']]]*Table272410[[#This Row],[Duty
Cycle '[%']]]</f>
        <v>0</v>
      </c>
    </row>
    <row r="33" spans="1:25" hidden="1" x14ac:dyDescent="0.25">
      <c r="A33" s="55" t="str">
        <f>'Power Consumption'!A25</f>
        <v>Consumer #21</v>
      </c>
      <c r="B33" s="49">
        <f>'Power Consumption'!N25</f>
        <v>0</v>
      </c>
      <c r="C33" s="48">
        <v>0</v>
      </c>
      <c r="D33" s="49">
        <f>Table27[[#This Row],[Duty
Cycle '[%']]]*'Orbit Parameters'!$C$6</f>
        <v>0</v>
      </c>
      <c r="E33" s="50">
        <f>Table27[[#This Row],[Duty
Cycle '[%']]]*Table26[[#This Row],[Margined
Power '[W']]]</f>
        <v>0</v>
      </c>
      <c r="G33" s="100">
        <v>0</v>
      </c>
      <c r="H33" s="49">
        <f>Table272[[#This Row],[Duty
Cycle '[%']]]*'Orbit Parameters'!$C$6</f>
        <v>0</v>
      </c>
      <c r="I33" s="50">
        <f>Table26[[#This Row],[Margined
Power '[W']]]*Table272[[#This Row],[Duty
Cycle '[%']]]</f>
        <v>0</v>
      </c>
      <c r="K33" s="101">
        <v>0</v>
      </c>
      <c r="L33" s="49">
        <f>Table2724[[#This Row],[Duty
Cycle '[%']]]*'Orbit Parameters'!$C$6</f>
        <v>0</v>
      </c>
      <c r="M33" s="50">
        <f>Table26[[#This Row],[Margined
Power '[W']]]*Table2724[[#This Row],[Duty
Cycle '[%']]]</f>
        <v>0</v>
      </c>
      <c r="O33" s="101">
        <v>0</v>
      </c>
      <c r="P33" s="49">
        <f>Table276[[#This Row],[Duty
Cycle '[%']]]*'Orbit Parameters'!$C$6</f>
        <v>0</v>
      </c>
      <c r="Q33" s="50">
        <f>Table276[[#This Row],[Duty
Cycle '[%']]]*Table26[[#This Row],[Margined
Power '[W']]]</f>
        <v>0</v>
      </c>
      <c r="S33" s="101">
        <v>0</v>
      </c>
      <c r="T33" s="49">
        <f>Table2728[[#This Row],[Duty
Cycle '[%']]]*'Orbit Parameters'!$C$6</f>
        <v>0</v>
      </c>
      <c r="U33" s="50">
        <f>Table26[[#This Row],[Margined
Power '[W']]]*Table2728[[#This Row],[Duty
Cycle '[%']]]</f>
        <v>0</v>
      </c>
      <c r="W33" s="48">
        <v>0</v>
      </c>
      <c r="X33" s="49">
        <f>Table272410[[#This Row],[Duty
Cycle '[%']]]*'Orbit Parameters'!$C$6</f>
        <v>0</v>
      </c>
      <c r="Y33" s="50">
        <f>Table26[[#This Row],[Margined
Power '[W']]]*Table272410[[#This Row],[Duty
Cycle '[%']]]</f>
        <v>0</v>
      </c>
    </row>
    <row r="34" spans="1:25" hidden="1" x14ac:dyDescent="0.25">
      <c r="A34" s="55" t="str">
        <f>'Power Consumption'!A26</f>
        <v>Consumer #22</v>
      </c>
      <c r="B34" s="49">
        <f>'Power Consumption'!N26</f>
        <v>0</v>
      </c>
      <c r="C34" s="48">
        <v>0</v>
      </c>
      <c r="D34" s="49">
        <f>Table27[[#This Row],[Duty
Cycle '[%']]]*'Orbit Parameters'!$C$6</f>
        <v>0</v>
      </c>
      <c r="E34" s="50">
        <f>Table27[[#This Row],[Duty
Cycle '[%']]]*Table26[[#This Row],[Margined
Power '[W']]]</f>
        <v>0</v>
      </c>
      <c r="G34" s="100">
        <v>0</v>
      </c>
      <c r="H34" s="49">
        <f>Table272[[#This Row],[Duty
Cycle '[%']]]*'Orbit Parameters'!$C$6</f>
        <v>0</v>
      </c>
      <c r="I34" s="50">
        <f>Table26[[#This Row],[Margined
Power '[W']]]*Table272[[#This Row],[Duty
Cycle '[%']]]</f>
        <v>0</v>
      </c>
      <c r="K34" s="101">
        <v>0</v>
      </c>
      <c r="L34" s="49">
        <f>Table2724[[#This Row],[Duty
Cycle '[%']]]*'Orbit Parameters'!$C$6</f>
        <v>0</v>
      </c>
      <c r="M34" s="50">
        <f>Table26[[#This Row],[Margined
Power '[W']]]*Table2724[[#This Row],[Duty
Cycle '[%']]]</f>
        <v>0</v>
      </c>
      <c r="O34" s="101">
        <v>0</v>
      </c>
      <c r="P34" s="49">
        <f>Table276[[#This Row],[Duty
Cycle '[%']]]*'Orbit Parameters'!$C$6</f>
        <v>0</v>
      </c>
      <c r="Q34" s="50">
        <f>Table276[[#This Row],[Duty
Cycle '[%']]]*Table26[[#This Row],[Margined
Power '[W']]]</f>
        <v>0</v>
      </c>
      <c r="S34" s="101">
        <v>0</v>
      </c>
      <c r="T34" s="49">
        <f>Table2728[[#This Row],[Duty
Cycle '[%']]]*'Orbit Parameters'!$C$6</f>
        <v>0</v>
      </c>
      <c r="U34" s="50">
        <f>Table26[[#This Row],[Margined
Power '[W']]]*Table2728[[#This Row],[Duty
Cycle '[%']]]</f>
        <v>0</v>
      </c>
      <c r="W34" s="48">
        <v>0</v>
      </c>
      <c r="X34" s="49">
        <f>Table272410[[#This Row],[Duty
Cycle '[%']]]*'Orbit Parameters'!$C$6</f>
        <v>0</v>
      </c>
      <c r="Y34" s="50">
        <f>Table26[[#This Row],[Margined
Power '[W']]]*Table272410[[#This Row],[Duty
Cycle '[%']]]</f>
        <v>0</v>
      </c>
    </row>
    <row r="35" spans="1:25" hidden="1" x14ac:dyDescent="0.25">
      <c r="A35" s="55" t="str">
        <f>'Power Consumption'!A27</f>
        <v>Consumer #23</v>
      </c>
      <c r="B35" s="49">
        <f>'Power Consumption'!N27</f>
        <v>0</v>
      </c>
      <c r="C35" s="48">
        <v>0</v>
      </c>
      <c r="D35" s="49">
        <f>Table27[[#This Row],[Duty
Cycle '[%']]]*'Orbit Parameters'!$C$6</f>
        <v>0</v>
      </c>
      <c r="E35" s="50">
        <f>Table27[[#This Row],[Duty
Cycle '[%']]]*Table26[[#This Row],[Margined
Power '[W']]]</f>
        <v>0</v>
      </c>
      <c r="G35" s="100">
        <v>0</v>
      </c>
      <c r="H35" s="49">
        <f>Table272[[#This Row],[Duty
Cycle '[%']]]*'Orbit Parameters'!$C$6</f>
        <v>0</v>
      </c>
      <c r="I35" s="50">
        <f>Table26[[#This Row],[Margined
Power '[W']]]*Table272[[#This Row],[Duty
Cycle '[%']]]</f>
        <v>0</v>
      </c>
      <c r="K35" s="101">
        <v>0</v>
      </c>
      <c r="L35" s="49">
        <f>Table2724[[#This Row],[Duty
Cycle '[%']]]*'Orbit Parameters'!$C$6</f>
        <v>0</v>
      </c>
      <c r="M35" s="50">
        <f>Table26[[#This Row],[Margined
Power '[W']]]*Table2724[[#This Row],[Duty
Cycle '[%']]]</f>
        <v>0</v>
      </c>
      <c r="O35" s="101">
        <v>0</v>
      </c>
      <c r="P35" s="49">
        <f>Table276[[#This Row],[Duty
Cycle '[%']]]*'Orbit Parameters'!$C$6</f>
        <v>0</v>
      </c>
      <c r="Q35" s="50">
        <f>Table276[[#This Row],[Duty
Cycle '[%']]]*Table26[[#This Row],[Margined
Power '[W']]]</f>
        <v>0</v>
      </c>
      <c r="S35" s="101">
        <v>0</v>
      </c>
      <c r="T35" s="49">
        <f>Table2728[[#This Row],[Duty
Cycle '[%']]]*'Orbit Parameters'!$C$6</f>
        <v>0</v>
      </c>
      <c r="U35" s="50">
        <f>Table26[[#This Row],[Margined
Power '[W']]]*Table2728[[#This Row],[Duty
Cycle '[%']]]</f>
        <v>0</v>
      </c>
      <c r="W35" s="48">
        <v>0</v>
      </c>
      <c r="X35" s="49">
        <f>Table272410[[#This Row],[Duty
Cycle '[%']]]*'Orbit Parameters'!$C$6</f>
        <v>0</v>
      </c>
      <c r="Y35" s="50">
        <f>Table26[[#This Row],[Margined
Power '[W']]]*Table272410[[#This Row],[Duty
Cycle '[%']]]</f>
        <v>0</v>
      </c>
    </row>
    <row r="36" spans="1:25" hidden="1" x14ac:dyDescent="0.25">
      <c r="A36" s="55" t="str">
        <f>'Power Consumption'!A28</f>
        <v>Consumer #24</v>
      </c>
      <c r="B36" s="49">
        <f>'Power Consumption'!N28</f>
        <v>0</v>
      </c>
      <c r="C36" s="48">
        <v>0</v>
      </c>
      <c r="D36" s="49">
        <f>Table27[[#This Row],[Duty
Cycle '[%']]]*'Orbit Parameters'!$C$6</f>
        <v>0</v>
      </c>
      <c r="E36" s="50">
        <f>Table27[[#This Row],[Duty
Cycle '[%']]]*Table26[[#This Row],[Margined
Power '[W']]]</f>
        <v>0</v>
      </c>
      <c r="G36" s="100">
        <v>0</v>
      </c>
      <c r="H36" s="49">
        <f>Table272[[#This Row],[Duty
Cycle '[%']]]*'Orbit Parameters'!$C$6</f>
        <v>0</v>
      </c>
      <c r="I36" s="50">
        <f>Table26[[#This Row],[Margined
Power '[W']]]*Table272[[#This Row],[Duty
Cycle '[%']]]</f>
        <v>0</v>
      </c>
      <c r="K36" s="101">
        <v>0</v>
      </c>
      <c r="L36" s="49">
        <f>Table2724[[#This Row],[Duty
Cycle '[%']]]*'Orbit Parameters'!$C$6</f>
        <v>0</v>
      </c>
      <c r="M36" s="50">
        <f>Table26[[#This Row],[Margined
Power '[W']]]*Table2724[[#This Row],[Duty
Cycle '[%']]]</f>
        <v>0</v>
      </c>
      <c r="O36" s="101">
        <v>0</v>
      </c>
      <c r="P36" s="49">
        <f>Table276[[#This Row],[Duty
Cycle '[%']]]*'Orbit Parameters'!$C$6</f>
        <v>0</v>
      </c>
      <c r="Q36" s="50">
        <f>Table276[[#This Row],[Duty
Cycle '[%']]]*Table26[[#This Row],[Margined
Power '[W']]]</f>
        <v>0</v>
      </c>
      <c r="S36" s="101">
        <v>0</v>
      </c>
      <c r="T36" s="49">
        <f>Table2728[[#This Row],[Duty
Cycle '[%']]]*'Orbit Parameters'!$C$6</f>
        <v>0</v>
      </c>
      <c r="U36" s="50">
        <f>Table26[[#This Row],[Margined
Power '[W']]]*Table2728[[#This Row],[Duty
Cycle '[%']]]</f>
        <v>0</v>
      </c>
      <c r="W36" s="48">
        <v>0</v>
      </c>
      <c r="X36" s="49">
        <f>Table272410[[#This Row],[Duty
Cycle '[%']]]*'Orbit Parameters'!$C$6</f>
        <v>0</v>
      </c>
      <c r="Y36" s="50">
        <f>Table26[[#This Row],[Margined
Power '[W']]]*Table272410[[#This Row],[Duty
Cycle '[%']]]</f>
        <v>0</v>
      </c>
    </row>
    <row r="37" spans="1:25" hidden="1" x14ac:dyDescent="0.25">
      <c r="A37" s="55" t="str">
        <f>'Power Consumption'!A29</f>
        <v>Consumer #25</v>
      </c>
      <c r="B37" s="49">
        <f>'Power Consumption'!N29</f>
        <v>0</v>
      </c>
      <c r="C37" s="48">
        <v>0</v>
      </c>
      <c r="D37" s="49">
        <f>Table27[[#This Row],[Duty
Cycle '[%']]]*'Orbit Parameters'!$C$6</f>
        <v>0</v>
      </c>
      <c r="E37" s="50">
        <f>Table27[[#This Row],[Duty
Cycle '[%']]]*Table26[[#This Row],[Margined
Power '[W']]]</f>
        <v>0</v>
      </c>
      <c r="G37" s="100">
        <v>0</v>
      </c>
      <c r="H37" s="49">
        <f>Table272[[#This Row],[Duty
Cycle '[%']]]*'Orbit Parameters'!$C$6</f>
        <v>0</v>
      </c>
      <c r="I37" s="50">
        <f>Table26[[#This Row],[Margined
Power '[W']]]*Table272[[#This Row],[Duty
Cycle '[%']]]</f>
        <v>0</v>
      </c>
      <c r="K37" s="101">
        <v>0</v>
      </c>
      <c r="L37" s="49">
        <f>Table2724[[#This Row],[Duty
Cycle '[%']]]*'Orbit Parameters'!$C$6</f>
        <v>0</v>
      </c>
      <c r="M37" s="50">
        <f>Table26[[#This Row],[Margined
Power '[W']]]*Table2724[[#This Row],[Duty
Cycle '[%']]]</f>
        <v>0</v>
      </c>
      <c r="O37" s="101">
        <v>0</v>
      </c>
      <c r="P37" s="49">
        <f>Table276[[#This Row],[Duty
Cycle '[%']]]*'Orbit Parameters'!$C$6</f>
        <v>0</v>
      </c>
      <c r="Q37" s="50">
        <f>Table276[[#This Row],[Duty
Cycle '[%']]]*Table26[[#This Row],[Margined
Power '[W']]]</f>
        <v>0</v>
      </c>
      <c r="S37" s="101">
        <v>0</v>
      </c>
      <c r="T37" s="49">
        <f>Table2728[[#This Row],[Duty
Cycle '[%']]]*'Orbit Parameters'!$C$6</f>
        <v>0</v>
      </c>
      <c r="U37" s="50">
        <f>Table26[[#This Row],[Margined
Power '[W']]]*Table2728[[#This Row],[Duty
Cycle '[%']]]</f>
        <v>0</v>
      </c>
      <c r="W37" s="48">
        <v>0</v>
      </c>
      <c r="X37" s="49">
        <f>Table272410[[#This Row],[Duty
Cycle '[%']]]*'Orbit Parameters'!$C$6</f>
        <v>0</v>
      </c>
      <c r="Y37" s="50">
        <f>Table26[[#This Row],[Margined
Power '[W']]]*Table272410[[#This Row],[Duty
Cycle '[%']]]</f>
        <v>0</v>
      </c>
    </row>
    <row r="38" spans="1:25" hidden="1" x14ac:dyDescent="0.25">
      <c r="A38" s="55" t="str">
        <f>'Power Consumption'!A30</f>
        <v>Consumer #26</v>
      </c>
      <c r="B38" s="49">
        <f>'Power Consumption'!N30</f>
        <v>0</v>
      </c>
      <c r="C38" s="48">
        <v>0</v>
      </c>
      <c r="D38" s="49">
        <f>Table27[[#This Row],[Duty
Cycle '[%']]]*'Orbit Parameters'!$C$6</f>
        <v>0</v>
      </c>
      <c r="E38" s="50">
        <f>Table27[[#This Row],[Duty
Cycle '[%']]]*Table26[[#This Row],[Margined
Power '[W']]]</f>
        <v>0</v>
      </c>
      <c r="G38" s="100">
        <v>0</v>
      </c>
      <c r="H38" s="49">
        <f>Table272[[#This Row],[Duty
Cycle '[%']]]*'Orbit Parameters'!$C$6</f>
        <v>0</v>
      </c>
      <c r="I38" s="50">
        <f>Table26[[#This Row],[Margined
Power '[W']]]*Table272[[#This Row],[Duty
Cycle '[%']]]</f>
        <v>0</v>
      </c>
      <c r="K38" s="101">
        <v>0</v>
      </c>
      <c r="L38" s="49">
        <f>Table2724[[#This Row],[Duty
Cycle '[%']]]*'Orbit Parameters'!$C$6</f>
        <v>0</v>
      </c>
      <c r="M38" s="50">
        <f>Table26[[#This Row],[Margined
Power '[W']]]*Table2724[[#This Row],[Duty
Cycle '[%']]]</f>
        <v>0</v>
      </c>
      <c r="O38" s="101">
        <v>0</v>
      </c>
      <c r="P38" s="49">
        <f>Table276[[#This Row],[Duty
Cycle '[%']]]*'Orbit Parameters'!$C$6</f>
        <v>0</v>
      </c>
      <c r="Q38" s="50">
        <f>Table276[[#This Row],[Duty
Cycle '[%']]]*Table26[[#This Row],[Margined
Power '[W']]]</f>
        <v>0</v>
      </c>
      <c r="S38" s="101">
        <v>0</v>
      </c>
      <c r="T38" s="49">
        <f>Table2728[[#This Row],[Duty
Cycle '[%']]]*'Orbit Parameters'!$C$6</f>
        <v>0</v>
      </c>
      <c r="U38" s="50">
        <f>Table26[[#This Row],[Margined
Power '[W']]]*Table2728[[#This Row],[Duty
Cycle '[%']]]</f>
        <v>0</v>
      </c>
      <c r="W38" s="48">
        <v>0</v>
      </c>
      <c r="X38" s="49">
        <f>Table272410[[#This Row],[Duty
Cycle '[%']]]*'Orbit Parameters'!$C$6</f>
        <v>0</v>
      </c>
      <c r="Y38" s="50">
        <f>Table26[[#This Row],[Margined
Power '[W']]]*Table272410[[#This Row],[Duty
Cycle '[%']]]</f>
        <v>0</v>
      </c>
    </row>
    <row r="39" spans="1:25" hidden="1" x14ac:dyDescent="0.25">
      <c r="A39" s="55" t="str">
        <f>'Power Consumption'!A31</f>
        <v>Consumer #27</v>
      </c>
      <c r="B39" s="49">
        <f>'Power Consumption'!N31</f>
        <v>0</v>
      </c>
      <c r="C39" s="48">
        <v>0</v>
      </c>
      <c r="D39" s="49">
        <f>Table27[[#This Row],[Duty
Cycle '[%']]]*'Orbit Parameters'!$C$6</f>
        <v>0</v>
      </c>
      <c r="E39" s="50">
        <f>Table27[[#This Row],[Duty
Cycle '[%']]]*Table26[[#This Row],[Margined
Power '[W']]]</f>
        <v>0</v>
      </c>
      <c r="G39" s="100">
        <v>0</v>
      </c>
      <c r="H39" s="49">
        <f>Table272[[#This Row],[Duty
Cycle '[%']]]*'Orbit Parameters'!$C$6</f>
        <v>0</v>
      </c>
      <c r="I39" s="50">
        <f>Table26[[#This Row],[Margined
Power '[W']]]*Table272[[#This Row],[Duty
Cycle '[%']]]</f>
        <v>0</v>
      </c>
      <c r="K39" s="101">
        <v>0</v>
      </c>
      <c r="L39" s="49">
        <f>Table2724[[#This Row],[Duty
Cycle '[%']]]*'Orbit Parameters'!$C$6</f>
        <v>0</v>
      </c>
      <c r="M39" s="50">
        <f>Table26[[#This Row],[Margined
Power '[W']]]*Table2724[[#This Row],[Duty
Cycle '[%']]]</f>
        <v>0</v>
      </c>
      <c r="O39" s="101">
        <v>0</v>
      </c>
      <c r="P39" s="49">
        <f>Table276[[#This Row],[Duty
Cycle '[%']]]*'Orbit Parameters'!$C$6</f>
        <v>0</v>
      </c>
      <c r="Q39" s="50">
        <f>Table276[[#This Row],[Duty
Cycle '[%']]]*Table26[[#This Row],[Margined
Power '[W']]]</f>
        <v>0</v>
      </c>
      <c r="S39" s="101">
        <v>0</v>
      </c>
      <c r="T39" s="49">
        <f>Table2728[[#This Row],[Duty
Cycle '[%']]]*'Orbit Parameters'!$C$6</f>
        <v>0</v>
      </c>
      <c r="U39" s="50">
        <f>Table26[[#This Row],[Margined
Power '[W']]]*Table2728[[#This Row],[Duty
Cycle '[%']]]</f>
        <v>0</v>
      </c>
      <c r="W39" s="48">
        <v>0</v>
      </c>
      <c r="X39" s="49">
        <f>Table272410[[#This Row],[Duty
Cycle '[%']]]*'Orbit Parameters'!$C$6</f>
        <v>0</v>
      </c>
      <c r="Y39" s="50">
        <f>Table26[[#This Row],[Margined
Power '[W']]]*Table272410[[#This Row],[Duty
Cycle '[%']]]</f>
        <v>0</v>
      </c>
    </row>
    <row r="40" spans="1:25" hidden="1" x14ac:dyDescent="0.25">
      <c r="A40" s="55" t="str">
        <f>'Power Consumption'!A32</f>
        <v>Consumer #28</v>
      </c>
      <c r="B40" s="49">
        <f>'Power Consumption'!N32</f>
        <v>0</v>
      </c>
      <c r="C40" s="48">
        <v>0</v>
      </c>
      <c r="D40" s="49">
        <f>Table27[[#This Row],[Duty
Cycle '[%']]]*'Orbit Parameters'!$C$6</f>
        <v>0</v>
      </c>
      <c r="E40" s="50">
        <f>Table27[[#This Row],[Duty
Cycle '[%']]]*Table26[[#This Row],[Margined
Power '[W']]]</f>
        <v>0</v>
      </c>
      <c r="G40" s="100">
        <v>0</v>
      </c>
      <c r="H40" s="49">
        <f>Table272[[#This Row],[Duty
Cycle '[%']]]*'Orbit Parameters'!$C$6</f>
        <v>0</v>
      </c>
      <c r="I40" s="50">
        <f>Table26[[#This Row],[Margined
Power '[W']]]*Table272[[#This Row],[Duty
Cycle '[%']]]</f>
        <v>0</v>
      </c>
      <c r="K40" s="101">
        <v>0</v>
      </c>
      <c r="L40" s="49">
        <f>Table2724[[#This Row],[Duty
Cycle '[%']]]*'Orbit Parameters'!$C$6</f>
        <v>0</v>
      </c>
      <c r="M40" s="50">
        <f>Table26[[#This Row],[Margined
Power '[W']]]*Table2724[[#This Row],[Duty
Cycle '[%']]]</f>
        <v>0</v>
      </c>
      <c r="O40" s="101">
        <v>0</v>
      </c>
      <c r="P40" s="49">
        <f>Table276[[#This Row],[Duty
Cycle '[%']]]*'Orbit Parameters'!$C$6</f>
        <v>0</v>
      </c>
      <c r="Q40" s="50">
        <f>Table276[[#This Row],[Duty
Cycle '[%']]]*Table26[[#This Row],[Margined
Power '[W']]]</f>
        <v>0</v>
      </c>
      <c r="S40" s="101">
        <v>0</v>
      </c>
      <c r="T40" s="49">
        <f>Table2728[[#This Row],[Duty
Cycle '[%']]]*'Orbit Parameters'!$C$6</f>
        <v>0</v>
      </c>
      <c r="U40" s="50">
        <f>Table26[[#This Row],[Margined
Power '[W']]]*Table2728[[#This Row],[Duty
Cycle '[%']]]</f>
        <v>0</v>
      </c>
      <c r="W40" s="48">
        <v>0</v>
      </c>
      <c r="X40" s="49">
        <f>Table272410[[#This Row],[Duty
Cycle '[%']]]*'Orbit Parameters'!$C$6</f>
        <v>0</v>
      </c>
      <c r="Y40" s="50">
        <f>Table26[[#This Row],[Margined
Power '[W']]]*Table272410[[#This Row],[Duty
Cycle '[%']]]</f>
        <v>0</v>
      </c>
    </row>
    <row r="41" spans="1:25" hidden="1" x14ac:dyDescent="0.25">
      <c r="A41" s="55" t="str">
        <f>'Power Consumption'!A33</f>
        <v>Consumer #29</v>
      </c>
      <c r="B41" s="49">
        <f>'Power Consumption'!N33</f>
        <v>0</v>
      </c>
      <c r="C41" s="48">
        <v>0</v>
      </c>
      <c r="D41" s="49">
        <f>Table27[[#This Row],[Duty
Cycle '[%']]]*'Orbit Parameters'!$C$6</f>
        <v>0</v>
      </c>
      <c r="E41" s="50">
        <f>Table27[[#This Row],[Duty
Cycle '[%']]]*Table26[[#This Row],[Margined
Power '[W']]]</f>
        <v>0</v>
      </c>
      <c r="G41" s="100">
        <v>0</v>
      </c>
      <c r="H41" s="49">
        <f>Table272[[#This Row],[Duty
Cycle '[%']]]*'Orbit Parameters'!$C$6</f>
        <v>0</v>
      </c>
      <c r="I41" s="50">
        <f>Table26[[#This Row],[Margined
Power '[W']]]*Table272[[#This Row],[Duty
Cycle '[%']]]</f>
        <v>0</v>
      </c>
      <c r="K41" s="101">
        <v>0</v>
      </c>
      <c r="L41" s="49">
        <f>Table2724[[#This Row],[Duty
Cycle '[%']]]*'Orbit Parameters'!$C$6</f>
        <v>0</v>
      </c>
      <c r="M41" s="50">
        <f>Table26[[#This Row],[Margined
Power '[W']]]*Table2724[[#This Row],[Duty
Cycle '[%']]]</f>
        <v>0</v>
      </c>
      <c r="O41" s="101">
        <v>0</v>
      </c>
      <c r="P41" s="49">
        <f>Table276[[#This Row],[Duty
Cycle '[%']]]*'Orbit Parameters'!$C$6</f>
        <v>0</v>
      </c>
      <c r="Q41" s="50">
        <f>Table276[[#This Row],[Duty
Cycle '[%']]]*Table26[[#This Row],[Margined
Power '[W']]]</f>
        <v>0</v>
      </c>
      <c r="S41" s="101">
        <v>0</v>
      </c>
      <c r="T41" s="49">
        <f>Table2728[[#This Row],[Duty
Cycle '[%']]]*'Orbit Parameters'!$C$6</f>
        <v>0</v>
      </c>
      <c r="U41" s="50">
        <f>Table26[[#This Row],[Margined
Power '[W']]]*Table2728[[#This Row],[Duty
Cycle '[%']]]</f>
        <v>0</v>
      </c>
      <c r="W41" s="48">
        <v>0</v>
      </c>
      <c r="X41" s="49">
        <f>Table272410[[#This Row],[Duty
Cycle '[%']]]*'Orbit Parameters'!$C$6</f>
        <v>0</v>
      </c>
      <c r="Y41" s="50">
        <f>Table26[[#This Row],[Margined
Power '[W']]]*Table272410[[#This Row],[Duty
Cycle '[%']]]</f>
        <v>0</v>
      </c>
    </row>
    <row r="42" spans="1:25" hidden="1" x14ac:dyDescent="0.25">
      <c r="A42" s="55" t="str">
        <f>'Power Consumption'!A34</f>
        <v>Consumer #30</v>
      </c>
      <c r="B42" s="49">
        <f>'Power Consumption'!N34</f>
        <v>0</v>
      </c>
      <c r="C42" s="48">
        <v>0</v>
      </c>
      <c r="D42" s="49">
        <f>Table27[[#This Row],[Duty
Cycle '[%']]]*'Orbit Parameters'!$C$6</f>
        <v>0</v>
      </c>
      <c r="E42" s="50">
        <f>Table27[[#This Row],[Duty
Cycle '[%']]]*Table26[[#This Row],[Margined
Power '[W']]]</f>
        <v>0</v>
      </c>
      <c r="G42" s="100">
        <v>0</v>
      </c>
      <c r="H42" s="49">
        <f>Table272[[#This Row],[Duty
Cycle '[%']]]*'Orbit Parameters'!$C$6</f>
        <v>0</v>
      </c>
      <c r="I42" s="50">
        <f>Table26[[#This Row],[Margined
Power '[W']]]*Table272[[#This Row],[Duty
Cycle '[%']]]</f>
        <v>0</v>
      </c>
      <c r="K42" s="101">
        <v>0</v>
      </c>
      <c r="L42" s="49">
        <f>Table2724[[#This Row],[Duty
Cycle '[%']]]*'Orbit Parameters'!$C$6</f>
        <v>0</v>
      </c>
      <c r="M42" s="50">
        <f>Table26[[#This Row],[Margined
Power '[W']]]*Table2724[[#This Row],[Duty
Cycle '[%']]]</f>
        <v>0</v>
      </c>
      <c r="O42" s="101">
        <v>0</v>
      </c>
      <c r="P42" s="49">
        <f>Table276[[#This Row],[Duty
Cycle '[%']]]*'Orbit Parameters'!$C$6</f>
        <v>0</v>
      </c>
      <c r="Q42" s="50">
        <f>Table276[[#This Row],[Duty
Cycle '[%']]]*Table26[[#This Row],[Margined
Power '[W']]]</f>
        <v>0</v>
      </c>
      <c r="S42" s="101">
        <v>0</v>
      </c>
      <c r="T42" s="49">
        <f>Table2728[[#This Row],[Duty
Cycle '[%']]]*'Orbit Parameters'!$C$6</f>
        <v>0</v>
      </c>
      <c r="U42" s="50">
        <f>Table26[[#This Row],[Margined
Power '[W']]]*Table2728[[#This Row],[Duty
Cycle '[%']]]</f>
        <v>0</v>
      </c>
      <c r="W42" s="48">
        <v>0</v>
      </c>
      <c r="X42" s="49">
        <f>Table272410[[#This Row],[Duty
Cycle '[%']]]*'Orbit Parameters'!$C$6</f>
        <v>0</v>
      </c>
      <c r="Y42" s="50">
        <f>Table26[[#This Row],[Margined
Power '[W']]]*Table272410[[#This Row],[Duty
Cycle '[%']]]</f>
        <v>0</v>
      </c>
    </row>
    <row r="43" spans="1:25" hidden="1" x14ac:dyDescent="0.25">
      <c r="A43" s="55" t="str">
        <f>'Power Consumption'!A35</f>
        <v>Consumer #31</v>
      </c>
      <c r="B43" s="49">
        <f>'Power Consumption'!N35</f>
        <v>0</v>
      </c>
      <c r="C43" s="48">
        <v>0</v>
      </c>
      <c r="D43" s="49">
        <f>Table27[[#This Row],[Duty
Cycle '[%']]]*'Orbit Parameters'!$C$6</f>
        <v>0</v>
      </c>
      <c r="E43" s="50">
        <f>Table27[[#This Row],[Duty
Cycle '[%']]]*Table26[[#This Row],[Margined
Power '[W']]]</f>
        <v>0</v>
      </c>
      <c r="G43" s="100">
        <v>0</v>
      </c>
      <c r="H43" s="49">
        <f>Table272[[#This Row],[Duty
Cycle '[%']]]*'Orbit Parameters'!$C$6</f>
        <v>0</v>
      </c>
      <c r="I43" s="50">
        <f>Table26[[#This Row],[Margined
Power '[W']]]*Table272[[#This Row],[Duty
Cycle '[%']]]</f>
        <v>0</v>
      </c>
      <c r="K43" s="101">
        <v>0</v>
      </c>
      <c r="L43" s="49">
        <f>Table2724[[#This Row],[Duty
Cycle '[%']]]*'Orbit Parameters'!$C$6</f>
        <v>0</v>
      </c>
      <c r="M43" s="50">
        <f>Table26[[#This Row],[Margined
Power '[W']]]*Table2724[[#This Row],[Duty
Cycle '[%']]]</f>
        <v>0</v>
      </c>
      <c r="O43" s="101">
        <v>0</v>
      </c>
      <c r="P43" s="49">
        <f>Table276[[#This Row],[Duty
Cycle '[%']]]*'Orbit Parameters'!$C$6</f>
        <v>0</v>
      </c>
      <c r="Q43" s="50">
        <f>Table276[[#This Row],[Duty
Cycle '[%']]]*Table26[[#This Row],[Margined
Power '[W']]]</f>
        <v>0</v>
      </c>
      <c r="S43" s="101">
        <v>0</v>
      </c>
      <c r="T43" s="49">
        <f>Table2728[[#This Row],[Duty
Cycle '[%']]]*'Orbit Parameters'!$C$6</f>
        <v>0</v>
      </c>
      <c r="U43" s="50">
        <f>Table26[[#This Row],[Margined
Power '[W']]]*Table2728[[#This Row],[Duty
Cycle '[%']]]</f>
        <v>0</v>
      </c>
      <c r="W43" s="48">
        <v>0</v>
      </c>
      <c r="X43" s="49">
        <f>Table272410[[#This Row],[Duty
Cycle '[%']]]*'Orbit Parameters'!$C$6</f>
        <v>0</v>
      </c>
      <c r="Y43" s="50">
        <f>Table26[[#This Row],[Margined
Power '[W']]]*Table272410[[#This Row],[Duty
Cycle '[%']]]</f>
        <v>0</v>
      </c>
    </row>
    <row r="44" spans="1:25" hidden="1" x14ac:dyDescent="0.25">
      <c r="A44" s="55" t="str">
        <f>'Power Consumption'!A36</f>
        <v>Consumer #32</v>
      </c>
      <c r="B44" s="49">
        <f>'Power Consumption'!N36</f>
        <v>0</v>
      </c>
      <c r="C44" s="48">
        <v>0</v>
      </c>
      <c r="D44" s="49">
        <f>Table27[[#This Row],[Duty
Cycle '[%']]]*'Orbit Parameters'!$C$6</f>
        <v>0</v>
      </c>
      <c r="E44" s="50">
        <f>Table27[[#This Row],[Duty
Cycle '[%']]]*Table26[[#This Row],[Margined
Power '[W']]]</f>
        <v>0</v>
      </c>
      <c r="G44" s="100">
        <v>0</v>
      </c>
      <c r="H44" s="49">
        <f>Table272[[#This Row],[Duty
Cycle '[%']]]*'Orbit Parameters'!$C$6</f>
        <v>0</v>
      </c>
      <c r="I44" s="50">
        <f>Table26[[#This Row],[Margined
Power '[W']]]*Table272[[#This Row],[Duty
Cycle '[%']]]</f>
        <v>0</v>
      </c>
      <c r="K44" s="101">
        <v>0</v>
      </c>
      <c r="L44" s="49">
        <f>Table2724[[#This Row],[Duty
Cycle '[%']]]*'Orbit Parameters'!$C$6</f>
        <v>0</v>
      </c>
      <c r="M44" s="50">
        <f>Table26[[#This Row],[Margined
Power '[W']]]*Table2724[[#This Row],[Duty
Cycle '[%']]]</f>
        <v>0</v>
      </c>
      <c r="O44" s="101">
        <v>0</v>
      </c>
      <c r="P44" s="49">
        <f>Table276[[#This Row],[Duty
Cycle '[%']]]*'Orbit Parameters'!$C$6</f>
        <v>0</v>
      </c>
      <c r="Q44" s="50">
        <f>Table276[[#This Row],[Duty
Cycle '[%']]]*Table26[[#This Row],[Margined
Power '[W']]]</f>
        <v>0</v>
      </c>
      <c r="S44" s="101">
        <v>0</v>
      </c>
      <c r="T44" s="49">
        <f>Table2728[[#This Row],[Duty
Cycle '[%']]]*'Orbit Parameters'!$C$6</f>
        <v>0</v>
      </c>
      <c r="U44" s="50">
        <f>Table26[[#This Row],[Margined
Power '[W']]]*Table2728[[#This Row],[Duty
Cycle '[%']]]</f>
        <v>0</v>
      </c>
      <c r="W44" s="48">
        <v>0</v>
      </c>
      <c r="X44" s="49">
        <f>Table272410[[#This Row],[Duty
Cycle '[%']]]*'Orbit Parameters'!$C$6</f>
        <v>0</v>
      </c>
      <c r="Y44" s="50">
        <f>Table26[[#This Row],[Margined
Power '[W']]]*Table272410[[#This Row],[Duty
Cycle '[%']]]</f>
        <v>0</v>
      </c>
    </row>
    <row r="45" spans="1:25" hidden="1" x14ac:dyDescent="0.25">
      <c r="A45" s="55" t="str">
        <f>'Power Consumption'!A37</f>
        <v>Consumer #33</v>
      </c>
      <c r="B45" s="49">
        <f>'Power Consumption'!N37</f>
        <v>0</v>
      </c>
      <c r="C45" s="48">
        <v>0</v>
      </c>
      <c r="D45" s="49">
        <f>Table27[[#This Row],[Duty
Cycle '[%']]]*'Orbit Parameters'!$C$6</f>
        <v>0</v>
      </c>
      <c r="E45" s="50">
        <f>Table27[[#This Row],[Duty
Cycle '[%']]]*Table26[[#This Row],[Margined
Power '[W']]]</f>
        <v>0</v>
      </c>
      <c r="G45" s="100">
        <v>0</v>
      </c>
      <c r="H45" s="49">
        <f>Table272[[#This Row],[Duty
Cycle '[%']]]*'Orbit Parameters'!$C$6</f>
        <v>0</v>
      </c>
      <c r="I45" s="50">
        <f>Table26[[#This Row],[Margined
Power '[W']]]*Table272[[#This Row],[Duty
Cycle '[%']]]</f>
        <v>0</v>
      </c>
      <c r="K45" s="101">
        <v>0</v>
      </c>
      <c r="L45" s="49">
        <f>Table2724[[#This Row],[Duty
Cycle '[%']]]*'Orbit Parameters'!$C$6</f>
        <v>0</v>
      </c>
      <c r="M45" s="50">
        <f>Table26[[#This Row],[Margined
Power '[W']]]*Table2724[[#This Row],[Duty
Cycle '[%']]]</f>
        <v>0</v>
      </c>
      <c r="O45" s="101">
        <v>0</v>
      </c>
      <c r="P45" s="49">
        <f>Table276[[#This Row],[Duty
Cycle '[%']]]*'Orbit Parameters'!$C$6</f>
        <v>0</v>
      </c>
      <c r="Q45" s="50">
        <f>Table276[[#This Row],[Duty
Cycle '[%']]]*Table26[[#This Row],[Margined
Power '[W']]]</f>
        <v>0</v>
      </c>
      <c r="S45" s="101">
        <v>0</v>
      </c>
      <c r="T45" s="49">
        <f>Table2728[[#This Row],[Duty
Cycle '[%']]]*'Orbit Parameters'!$C$6</f>
        <v>0</v>
      </c>
      <c r="U45" s="50">
        <f>Table26[[#This Row],[Margined
Power '[W']]]*Table2728[[#This Row],[Duty
Cycle '[%']]]</f>
        <v>0</v>
      </c>
      <c r="W45" s="48">
        <v>0</v>
      </c>
      <c r="X45" s="49">
        <f>Table272410[[#This Row],[Duty
Cycle '[%']]]*'Orbit Parameters'!$C$6</f>
        <v>0</v>
      </c>
      <c r="Y45" s="50">
        <f>Table26[[#This Row],[Margined
Power '[W']]]*Table272410[[#This Row],[Duty
Cycle '[%']]]</f>
        <v>0</v>
      </c>
    </row>
    <row r="46" spans="1:25" hidden="1" x14ac:dyDescent="0.25">
      <c r="A46" s="55" t="str">
        <f>'Power Consumption'!A38</f>
        <v>Consumer #34</v>
      </c>
      <c r="B46" s="49">
        <f>'Power Consumption'!N38</f>
        <v>0</v>
      </c>
      <c r="C46" s="48">
        <v>0</v>
      </c>
      <c r="D46" s="49">
        <f>Table27[[#This Row],[Duty
Cycle '[%']]]*'Orbit Parameters'!$C$6</f>
        <v>0</v>
      </c>
      <c r="E46" s="50">
        <f>Table27[[#This Row],[Duty
Cycle '[%']]]*Table26[[#This Row],[Margined
Power '[W']]]</f>
        <v>0</v>
      </c>
      <c r="G46" s="100">
        <v>0</v>
      </c>
      <c r="H46" s="49">
        <f>Table272[[#This Row],[Duty
Cycle '[%']]]*'Orbit Parameters'!$C$6</f>
        <v>0</v>
      </c>
      <c r="I46" s="50">
        <f>Table26[[#This Row],[Margined
Power '[W']]]*Table272[[#This Row],[Duty
Cycle '[%']]]</f>
        <v>0</v>
      </c>
      <c r="K46" s="101">
        <v>0</v>
      </c>
      <c r="L46" s="49">
        <f>Table2724[[#This Row],[Duty
Cycle '[%']]]*'Orbit Parameters'!$C$6</f>
        <v>0</v>
      </c>
      <c r="M46" s="50">
        <f>Table26[[#This Row],[Margined
Power '[W']]]*Table2724[[#This Row],[Duty
Cycle '[%']]]</f>
        <v>0</v>
      </c>
      <c r="O46" s="101">
        <v>0</v>
      </c>
      <c r="P46" s="49">
        <f>Table276[[#This Row],[Duty
Cycle '[%']]]*'Orbit Parameters'!$C$6</f>
        <v>0</v>
      </c>
      <c r="Q46" s="50">
        <f>Table276[[#This Row],[Duty
Cycle '[%']]]*Table26[[#This Row],[Margined
Power '[W']]]</f>
        <v>0</v>
      </c>
      <c r="S46" s="101">
        <v>0</v>
      </c>
      <c r="T46" s="49">
        <f>Table2728[[#This Row],[Duty
Cycle '[%']]]*'Orbit Parameters'!$C$6</f>
        <v>0</v>
      </c>
      <c r="U46" s="50">
        <f>Table26[[#This Row],[Margined
Power '[W']]]*Table2728[[#This Row],[Duty
Cycle '[%']]]</f>
        <v>0</v>
      </c>
      <c r="W46" s="48">
        <v>0</v>
      </c>
      <c r="X46" s="49">
        <f>Table272410[[#This Row],[Duty
Cycle '[%']]]*'Orbit Parameters'!$C$6</f>
        <v>0</v>
      </c>
      <c r="Y46" s="50">
        <f>Table26[[#This Row],[Margined
Power '[W']]]*Table272410[[#This Row],[Duty
Cycle '[%']]]</f>
        <v>0</v>
      </c>
    </row>
    <row r="47" spans="1:25" hidden="1" x14ac:dyDescent="0.25">
      <c r="A47" s="55" t="str">
        <f>'Power Consumption'!A39</f>
        <v>Consumer #35</v>
      </c>
      <c r="B47" s="49">
        <f>'Power Consumption'!N39</f>
        <v>0</v>
      </c>
      <c r="C47" s="48">
        <v>0</v>
      </c>
      <c r="D47" s="49">
        <f>Table27[[#This Row],[Duty
Cycle '[%']]]*'Orbit Parameters'!$C$6</f>
        <v>0</v>
      </c>
      <c r="E47" s="50">
        <f>Table27[[#This Row],[Duty
Cycle '[%']]]*Table26[[#This Row],[Margined
Power '[W']]]</f>
        <v>0</v>
      </c>
      <c r="G47" s="100">
        <v>0</v>
      </c>
      <c r="H47" s="49">
        <f>Table272[[#This Row],[Duty
Cycle '[%']]]*'Orbit Parameters'!$C$6</f>
        <v>0</v>
      </c>
      <c r="I47" s="50">
        <f>Table26[[#This Row],[Margined
Power '[W']]]*Table272[[#This Row],[Duty
Cycle '[%']]]</f>
        <v>0</v>
      </c>
      <c r="K47" s="101">
        <v>0</v>
      </c>
      <c r="L47" s="49">
        <f>Table2724[[#This Row],[Duty
Cycle '[%']]]*'Orbit Parameters'!$C$6</f>
        <v>0</v>
      </c>
      <c r="M47" s="50">
        <f>Table26[[#This Row],[Margined
Power '[W']]]*Table2724[[#This Row],[Duty
Cycle '[%']]]</f>
        <v>0</v>
      </c>
      <c r="O47" s="101">
        <v>0</v>
      </c>
      <c r="P47" s="49">
        <f>Table276[[#This Row],[Duty
Cycle '[%']]]*'Orbit Parameters'!$C$6</f>
        <v>0</v>
      </c>
      <c r="Q47" s="50">
        <f>Table276[[#This Row],[Duty
Cycle '[%']]]*Table26[[#This Row],[Margined
Power '[W']]]</f>
        <v>0</v>
      </c>
      <c r="S47" s="101">
        <v>0</v>
      </c>
      <c r="T47" s="49">
        <f>Table2728[[#This Row],[Duty
Cycle '[%']]]*'Orbit Parameters'!$C$6</f>
        <v>0</v>
      </c>
      <c r="U47" s="50">
        <f>Table26[[#This Row],[Margined
Power '[W']]]*Table2728[[#This Row],[Duty
Cycle '[%']]]</f>
        <v>0</v>
      </c>
      <c r="W47" s="48">
        <v>0</v>
      </c>
      <c r="X47" s="49">
        <f>Table272410[[#This Row],[Duty
Cycle '[%']]]*'Orbit Parameters'!$C$6</f>
        <v>0</v>
      </c>
      <c r="Y47" s="50">
        <f>Table26[[#This Row],[Margined
Power '[W']]]*Table272410[[#This Row],[Duty
Cycle '[%']]]</f>
        <v>0</v>
      </c>
    </row>
    <row r="48" spans="1:25" hidden="1" x14ac:dyDescent="0.25">
      <c r="A48" s="55" t="str">
        <f>'Power Consumption'!A40</f>
        <v>Consumer #36</v>
      </c>
      <c r="B48" s="49">
        <f>'Power Consumption'!N40</f>
        <v>0</v>
      </c>
      <c r="C48" s="48">
        <v>0</v>
      </c>
      <c r="D48" s="49">
        <f>Table27[[#This Row],[Duty
Cycle '[%']]]*'Orbit Parameters'!$C$6</f>
        <v>0</v>
      </c>
      <c r="E48" s="50">
        <f>Table27[[#This Row],[Duty
Cycle '[%']]]*Table26[[#This Row],[Margined
Power '[W']]]</f>
        <v>0</v>
      </c>
      <c r="G48" s="100">
        <v>0</v>
      </c>
      <c r="H48" s="49">
        <f>Table272[[#This Row],[Duty
Cycle '[%']]]*'Orbit Parameters'!$C$6</f>
        <v>0</v>
      </c>
      <c r="I48" s="50">
        <f>Table26[[#This Row],[Margined
Power '[W']]]*Table272[[#This Row],[Duty
Cycle '[%']]]</f>
        <v>0</v>
      </c>
      <c r="K48" s="101">
        <v>0</v>
      </c>
      <c r="L48" s="49">
        <f>Table2724[[#This Row],[Duty
Cycle '[%']]]*'Orbit Parameters'!$C$6</f>
        <v>0</v>
      </c>
      <c r="M48" s="50">
        <f>Table26[[#This Row],[Margined
Power '[W']]]*Table2724[[#This Row],[Duty
Cycle '[%']]]</f>
        <v>0</v>
      </c>
      <c r="O48" s="101">
        <v>0</v>
      </c>
      <c r="P48" s="49">
        <f>Table276[[#This Row],[Duty
Cycle '[%']]]*'Orbit Parameters'!$C$6</f>
        <v>0</v>
      </c>
      <c r="Q48" s="50">
        <f>Table276[[#This Row],[Duty
Cycle '[%']]]*Table26[[#This Row],[Margined
Power '[W']]]</f>
        <v>0</v>
      </c>
      <c r="S48" s="101">
        <v>0</v>
      </c>
      <c r="T48" s="49">
        <f>Table2728[[#This Row],[Duty
Cycle '[%']]]*'Orbit Parameters'!$C$6</f>
        <v>0</v>
      </c>
      <c r="U48" s="50">
        <f>Table26[[#This Row],[Margined
Power '[W']]]*Table2728[[#This Row],[Duty
Cycle '[%']]]</f>
        <v>0</v>
      </c>
      <c r="W48" s="48">
        <v>0</v>
      </c>
      <c r="X48" s="49">
        <f>Table272410[[#This Row],[Duty
Cycle '[%']]]*'Orbit Parameters'!$C$6</f>
        <v>0</v>
      </c>
      <c r="Y48" s="50">
        <f>Table26[[#This Row],[Margined
Power '[W']]]*Table272410[[#This Row],[Duty
Cycle '[%']]]</f>
        <v>0</v>
      </c>
    </row>
    <row r="49" spans="1:25" hidden="1" x14ac:dyDescent="0.25">
      <c r="A49" s="55" t="str">
        <f>'Power Consumption'!A41</f>
        <v>Consumer #37</v>
      </c>
      <c r="B49" s="49">
        <f>'Power Consumption'!N41</f>
        <v>0</v>
      </c>
      <c r="C49" s="48">
        <v>0</v>
      </c>
      <c r="D49" s="49">
        <f>Table27[[#This Row],[Duty
Cycle '[%']]]*'Orbit Parameters'!$C$6</f>
        <v>0</v>
      </c>
      <c r="E49" s="50">
        <f>Table27[[#This Row],[Duty
Cycle '[%']]]*Table26[[#This Row],[Margined
Power '[W']]]</f>
        <v>0</v>
      </c>
      <c r="G49" s="100">
        <v>0</v>
      </c>
      <c r="H49" s="49">
        <f>Table272[[#This Row],[Duty
Cycle '[%']]]*'Orbit Parameters'!$C$6</f>
        <v>0</v>
      </c>
      <c r="I49" s="50">
        <f>Table26[[#This Row],[Margined
Power '[W']]]*Table272[[#This Row],[Duty
Cycle '[%']]]</f>
        <v>0</v>
      </c>
      <c r="K49" s="101">
        <v>0</v>
      </c>
      <c r="L49" s="49">
        <f>Table2724[[#This Row],[Duty
Cycle '[%']]]*'Orbit Parameters'!$C$6</f>
        <v>0</v>
      </c>
      <c r="M49" s="50">
        <f>Table26[[#This Row],[Margined
Power '[W']]]*Table2724[[#This Row],[Duty
Cycle '[%']]]</f>
        <v>0</v>
      </c>
      <c r="O49" s="101">
        <v>0</v>
      </c>
      <c r="P49" s="49">
        <f>Table276[[#This Row],[Duty
Cycle '[%']]]*'Orbit Parameters'!$C$6</f>
        <v>0</v>
      </c>
      <c r="Q49" s="50">
        <f>Table276[[#This Row],[Duty
Cycle '[%']]]*Table26[[#This Row],[Margined
Power '[W']]]</f>
        <v>0</v>
      </c>
      <c r="S49" s="101">
        <v>0</v>
      </c>
      <c r="T49" s="49">
        <f>Table2728[[#This Row],[Duty
Cycle '[%']]]*'Orbit Parameters'!$C$6</f>
        <v>0</v>
      </c>
      <c r="U49" s="50">
        <f>Table26[[#This Row],[Margined
Power '[W']]]*Table2728[[#This Row],[Duty
Cycle '[%']]]</f>
        <v>0</v>
      </c>
      <c r="W49" s="48">
        <v>0</v>
      </c>
      <c r="X49" s="49">
        <f>Table272410[[#This Row],[Duty
Cycle '[%']]]*'Orbit Parameters'!$C$6</f>
        <v>0</v>
      </c>
      <c r="Y49" s="50">
        <f>Table26[[#This Row],[Margined
Power '[W']]]*Table272410[[#This Row],[Duty
Cycle '[%']]]</f>
        <v>0</v>
      </c>
    </row>
    <row r="50" spans="1:25" hidden="1" x14ac:dyDescent="0.25">
      <c r="A50" s="55" t="str">
        <f>'Power Consumption'!A42</f>
        <v>Consumer #38</v>
      </c>
      <c r="B50" s="49">
        <f>'Power Consumption'!N42</f>
        <v>0</v>
      </c>
      <c r="C50" s="48">
        <v>0</v>
      </c>
      <c r="D50" s="49">
        <f>Table27[[#This Row],[Duty
Cycle '[%']]]*'Orbit Parameters'!$C$6</f>
        <v>0</v>
      </c>
      <c r="E50" s="50">
        <f>Table27[[#This Row],[Duty
Cycle '[%']]]*Table26[[#This Row],[Margined
Power '[W']]]</f>
        <v>0</v>
      </c>
      <c r="G50" s="100">
        <v>0</v>
      </c>
      <c r="H50" s="49">
        <f>Table272[[#This Row],[Duty
Cycle '[%']]]*'Orbit Parameters'!$C$6</f>
        <v>0</v>
      </c>
      <c r="I50" s="50">
        <f>Table26[[#This Row],[Margined
Power '[W']]]*Table272[[#This Row],[Duty
Cycle '[%']]]</f>
        <v>0</v>
      </c>
      <c r="K50" s="101">
        <v>0</v>
      </c>
      <c r="L50" s="49">
        <f>Table2724[[#This Row],[Duty
Cycle '[%']]]*'Orbit Parameters'!$C$6</f>
        <v>0</v>
      </c>
      <c r="M50" s="50">
        <f>Table26[[#This Row],[Margined
Power '[W']]]*Table2724[[#This Row],[Duty
Cycle '[%']]]</f>
        <v>0</v>
      </c>
      <c r="O50" s="101">
        <v>0</v>
      </c>
      <c r="P50" s="49">
        <f>Table276[[#This Row],[Duty
Cycle '[%']]]*'Orbit Parameters'!$C$6</f>
        <v>0</v>
      </c>
      <c r="Q50" s="50">
        <f>Table276[[#This Row],[Duty
Cycle '[%']]]*Table26[[#This Row],[Margined
Power '[W']]]</f>
        <v>0</v>
      </c>
      <c r="S50" s="101">
        <v>0</v>
      </c>
      <c r="T50" s="49">
        <f>Table2728[[#This Row],[Duty
Cycle '[%']]]*'Orbit Parameters'!$C$6</f>
        <v>0</v>
      </c>
      <c r="U50" s="50">
        <f>Table26[[#This Row],[Margined
Power '[W']]]*Table2728[[#This Row],[Duty
Cycle '[%']]]</f>
        <v>0</v>
      </c>
      <c r="W50" s="48">
        <v>0</v>
      </c>
      <c r="X50" s="49">
        <f>Table272410[[#This Row],[Duty
Cycle '[%']]]*'Orbit Parameters'!$C$6</f>
        <v>0</v>
      </c>
      <c r="Y50" s="50">
        <f>Table26[[#This Row],[Margined
Power '[W']]]*Table272410[[#This Row],[Duty
Cycle '[%']]]</f>
        <v>0</v>
      </c>
    </row>
    <row r="51" spans="1:25" hidden="1" x14ac:dyDescent="0.25">
      <c r="A51" s="55" t="str">
        <f>'Power Consumption'!A43</f>
        <v>Consumer #39</v>
      </c>
      <c r="B51" s="49">
        <f>'Power Consumption'!N43</f>
        <v>0</v>
      </c>
      <c r="C51" s="48">
        <v>0</v>
      </c>
      <c r="D51" s="49">
        <f>Table27[[#This Row],[Duty
Cycle '[%']]]*'Orbit Parameters'!$C$6</f>
        <v>0</v>
      </c>
      <c r="E51" s="50">
        <f>Table27[[#This Row],[Duty
Cycle '[%']]]*Table26[[#This Row],[Margined
Power '[W']]]</f>
        <v>0</v>
      </c>
      <c r="G51" s="100">
        <v>0</v>
      </c>
      <c r="H51" s="49">
        <f>Table272[[#This Row],[Duty
Cycle '[%']]]*'Orbit Parameters'!$C$6</f>
        <v>0</v>
      </c>
      <c r="I51" s="50">
        <f>Table26[[#This Row],[Margined
Power '[W']]]*Table272[[#This Row],[Duty
Cycle '[%']]]</f>
        <v>0</v>
      </c>
      <c r="K51" s="101">
        <v>0</v>
      </c>
      <c r="L51" s="49">
        <f>Table2724[[#This Row],[Duty
Cycle '[%']]]*'Orbit Parameters'!$C$6</f>
        <v>0</v>
      </c>
      <c r="M51" s="50">
        <f>Table26[[#This Row],[Margined
Power '[W']]]*Table2724[[#This Row],[Duty
Cycle '[%']]]</f>
        <v>0</v>
      </c>
      <c r="O51" s="101">
        <v>0</v>
      </c>
      <c r="P51" s="49">
        <f>Table276[[#This Row],[Duty
Cycle '[%']]]*'Orbit Parameters'!$C$6</f>
        <v>0</v>
      </c>
      <c r="Q51" s="50">
        <f>Table276[[#This Row],[Duty
Cycle '[%']]]*Table26[[#This Row],[Margined
Power '[W']]]</f>
        <v>0</v>
      </c>
      <c r="S51" s="101">
        <v>0</v>
      </c>
      <c r="T51" s="49">
        <f>Table2728[[#This Row],[Duty
Cycle '[%']]]*'Orbit Parameters'!$C$6</f>
        <v>0</v>
      </c>
      <c r="U51" s="50">
        <f>Table26[[#This Row],[Margined
Power '[W']]]*Table2728[[#This Row],[Duty
Cycle '[%']]]</f>
        <v>0</v>
      </c>
      <c r="W51" s="48">
        <v>0</v>
      </c>
      <c r="X51" s="49">
        <f>Table272410[[#This Row],[Duty
Cycle '[%']]]*'Orbit Parameters'!$C$6</f>
        <v>0</v>
      </c>
      <c r="Y51" s="50">
        <f>Table26[[#This Row],[Margined
Power '[W']]]*Table272410[[#This Row],[Duty
Cycle '[%']]]</f>
        <v>0</v>
      </c>
    </row>
    <row r="52" spans="1:25" hidden="1" x14ac:dyDescent="0.25">
      <c r="A52" s="55" t="str">
        <f>'Power Consumption'!A44</f>
        <v>Consumer #40</v>
      </c>
      <c r="B52" s="49">
        <f>'Power Consumption'!N44</f>
        <v>0</v>
      </c>
      <c r="C52" s="48">
        <v>0</v>
      </c>
      <c r="D52" s="49">
        <f>Table27[[#This Row],[Duty
Cycle '[%']]]*'Orbit Parameters'!$C$6</f>
        <v>0</v>
      </c>
      <c r="E52" s="50">
        <f>Table27[[#This Row],[Duty
Cycle '[%']]]*Table26[[#This Row],[Margined
Power '[W']]]</f>
        <v>0</v>
      </c>
      <c r="G52" s="100">
        <v>0</v>
      </c>
      <c r="H52" s="49">
        <f>Table272[[#This Row],[Duty
Cycle '[%']]]*'Orbit Parameters'!$C$6</f>
        <v>0</v>
      </c>
      <c r="I52" s="50">
        <f>Table26[[#This Row],[Margined
Power '[W']]]*Table272[[#This Row],[Duty
Cycle '[%']]]</f>
        <v>0</v>
      </c>
      <c r="K52" s="101">
        <v>0</v>
      </c>
      <c r="L52" s="49">
        <f>Table2724[[#This Row],[Duty
Cycle '[%']]]*'Orbit Parameters'!$C$6</f>
        <v>0</v>
      </c>
      <c r="M52" s="50">
        <f>Table26[[#This Row],[Margined
Power '[W']]]*Table2724[[#This Row],[Duty
Cycle '[%']]]</f>
        <v>0</v>
      </c>
      <c r="O52" s="101">
        <v>0</v>
      </c>
      <c r="P52" s="49">
        <f>Table276[[#This Row],[Duty
Cycle '[%']]]*'Orbit Parameters'!$C$6</f>
        <v>0</v>
      </c>
      <c r="Q52" s="50">
        <f>Table276[[#This Row],[Duty
Cycle '[%']]]*Table26[[#This Row],[Margined
Power '[W']]]</f>
        <v>0</v>
      </c>
      <c r="S52" s="101">
        <v>0</v>
      </c>
      <c r="T52" s="49">
        <f>Table2728[[#This Row],[Duty
Cycle '[%']]]*'Orbit Parameters'!$C$6</f>
        <v>0</v>
      </c>
      <c r="U52" s="50">
        <f>Table26[[#This Row],[Margined
Power '[W']]]*Table2728[[#This Row],[Duty
Cycle '[%']]]</f>
        <v>0</v>
      </c>
      <c r="W52" s="48">
        <v>0</v>
      </c>
      <c r="X52" s="49">
        <f>Table272410[[#This Row],[Duty
Cycle '[%']]]*'Orbit Parameters'!$C$6</f>
        <v>0</v>
      </c>
      <c r="Y52" s="50">
        <f>Table26[[#This Row],[Margined
Power '[W']]]*Table272410[[#This Row],[Duty
Cycle '[%']]]</f>
        <v>0</v>
      </c>
    </row>
    <row r="53" spans="1:25" hidden="1" x14ac:dyDescent="0.25">
      <c r="A53" s="55" t="str">
        <f>'Power Consumption'!A45</f>
        <v>Consumer #41</v>
      </c>
      <c r="B53" s="49">
        <f>'Power Consumption'!N45</f>
        <v>0</v>
      </c>
      <c r="C53" s="48">
        <v>0</v>
      </c>
      <c r="D53" s="49">
        <f>Table27[[#This Row],[Duty
Cycle '[%']]]*'Orbit Parameters'!$C$6</f>
        <v>0</v>
      </c>
      <c r="E53" s="50">
        <f>Table27[[#This Row],[Duty
Cycle '[%']]]*Table26[[#This Row],[Margined
Power '[W']]]</f>
        <v>0</v>
      </c>
      <c r="G53" s="100">
        <v>0</v>
      </c>
      <c r="H53" s="49">
        <f>Table272[[#This Row],[Duty
Cycle '[%']]]*'Orbit Parameters'!$C$6</f>
        <v>0</v>
      </c>
      <c r="I53" s="50">
        <f>Table26[[#This Row],[Margined
Power '[W']]]*Table272[[#This Row],[Duty
Cycle '[%']]]</f>
        <v>0</v>
      </c>
      <c r="K53" s="101">
        <v>0</v>
      </c>
      <c r="L53" s="49">
        <f>Table2724[[#This Row],[Duty
Cycle '[%']]]*'Orbit Parameters'!$C$6</f>
        <v>0</v>
      </c>
      <c r="M53" s="50">
        <f>Table26[[#This Row],[Margined
Power '[W']]]*Table2724[[#This Row],[Duty
Cycle '[%']]]</f>
        <v>0</v>
      </c>
      <c r="O53" s="101">
        <v>0</v>
      </c>
      <c r="P53" s="49">
        <f>Table276[[#This Row],[Duty
Cycle '[%']]]*'Orbit Parameters'!$C$6</f>
        <v>0</v>
      </c>
      <c r="Q53" s="50">
        <f>Table276[[#This Row],[Duty
Cycle '[%']]]*Table26[[#This Row],[Margined
Power '[W']]]</f>
        <v>0</v>
      </c>
      <c r="S53" s="101">
        <v>0</v>
      </c>
      <c r="T53" s="49">
        <f>Table2728[[#This Row],[Duty
Cycle '[%']]]*'Orbit Parameters'!$C$6</f>
        <v>0</v>
      </c>
      <c r="U53" s="50">
        <f>Table26[[#This Row],[Margined
Power '[W']]]*Table2728[[#This Row],[Duty
Cycle '[%']]]</f>
        <v>0</v>
      </c>
      <c r="W53" s="48">
        <v>0</v>
      </c>
      <c r="X53" s="49">
        <f>Table272410[[#This Row],[Duty
Cycle '[%']]]*'Orbit Parameters'!$C$6</f>
        <v>0</v>
      </c>
      <c r="Y53" s="50">
        <f>Table26[[#This Row],[Margined
Power '[W']]]*Table272410[[#This Row],[Duty
Cycle '[%']]]</f>
        <v>0</v>
      </c>
    </row>
    <row r="54" spans="1:25" hidden="1" x14ac:dyDescent="0.25">
      <c r="A54" s="55" t="str">
        <f>'Power Consumption'!A46</f>
        <v>Consumer #42</v>
      </c>
      <c r="B54" s="49">
        <f>'Power Consumption'!N46</f>
        <v>0</v>
      </c>
      <c r="C54" s="48">
        <v>0</v>
      </c>
      <c r="D54" s="49">
        <f>Table27[[#This Row],[Duty
Cycle '[%']]]*'Orbit Parameters'!$C$6</f>
        <v>0</v>
      </c>
      <c r="E54" s="50">
        <f>Table27[[#This Row],[Duty
Cycle '[%']]]*Table26[[#This Row],[Margined
Power '[W']]]</f>
        <v>0</v>
      </c>
      <c r="G54" s="100">
        <v>0</v>
      </c>
      <c r="H54" s="49">
        <f>Table272[[#This Row],[Duty
Cycle '[%']]]*'Orbit Parameters'!$C$6</f>
        <v>0</v>
      </c>
      <c r="I54" s="50">
        <f>Table26[[#This Row],[Margined
Power '[W']]]*Table272[[#This Row],[Duty
Cycle '[%']]]</f>
        <v>0</v>
      </c>
      <c r="K54" s="101">
        <v>0</v>
      </c>
      <c r="L54" s="49">
        <f>Table2724[[#This Row],[Duty
Cycle '[%']]]*'Orbit Parameters'!$C$6</f>
        <v>0</v>
      </c>
      <c r="M54" s="50">
        <f>Table26[[#This Row],[Margined
Power '[W']]]*Table2724[[#This Row],[Duty
Cycle '[%']]]</f>
        <v>0</v>
      </c>
      <c r="O54" s="101">
        <v>0</v>
      </c>
      <c r="P54" s="49">
        <f>Table276[[#This Row],[Duty
Cycle '[%']]]*'Orbit Parameters'!$C$6</f>
        <v>0</v>
      </c>
      <c r="Q54" s="50">
        <f>Table276[[#This Row],[Duty
Cycle '[%']]]*Table26[[#This Row],[Margined
Power '[W']]]</f>
        <v>0</v>
      </c>
      <c r="S54" s="101">
        <v>0</v>
      </c>
      <c r="T54" s="49">
        <f>Table2728[[#This Row],[Duty
Cycle '[%']]]*'Orbit Parameters'!$C$6</f>
        <v>0</v>
      </c>
      <c r="U54" s="50">
        <f>Table26[[#This Row],[Margined
Power '[W']]]*Table2728[[#This Row],[Duty
Cycle '[%']]]</f>
        <v>0</v>
      </c>
      <c r="W54" s="48">
        <v>0</v>
      </c>
      <c r="X54" s="49">
        <f>Table272410[[#This Row],[Duty
Cycle '[%']]]*'Orbit Parameters'!$C$6</f>
        <v>0</v>
      </c>
      <c r="Y54" s="50">
        <f>Table26[[#This Row],[Margined
Power '[W']]]*Table272410[[#This Row],[Duty
Cycle '[%']]]</f>
        <v>0</v>
      </c>
    </row>
    <row r="55" spans="1:25" hidden="1" x14ac:dyDescent="0.25">
      <c r="A55" s="55" t="str">
        <f>'Power Consumption'!A47</f>
        <v>Consumer #43</v>
      </c>
      <c r="B55" s="49">
        <f>'Power Consumption'!N47</f>
        <v>0</v>
      </c>
      <c r="C55" s="48">
        <v>0</v>
      </c>
      <c r="D55" s="49">
        <f>Table27[[#This Row],[Duty
Cycle '[%']]]*'Orbit Parameters'!$C$6</f>
        <v>0</v>
      </c>
      <c r="E55" s="50">
        <f>Table27[[#This Row],[Duty
Cycle '[%']]]*Table26[[#This Row],[Margined
Power '[W']]]</f>
        <v>0</v>
      </c>
      <c r="G55" s="100">
        <v>0</v>
      </c>
      <c r="H55" s="49">
        <f>Table272[[#This Row],[Duty
Cycle '[%']]]*'Orbit Parameters'!$C$6</f>
        <v>0</v>
      </c>
      <c r="I55" s="50">
        <f>Table26[[#This Row],[Margined
Power '[W']]]*Table272[[#This Row],[Duty
Cycle '[%']]]</f>
        <v>0</v>
      </c>
      <c r="K55" s="101">
        <v>0</v>
      </c>
      <c r="L55" s="49">
        <f>Table2724[[#This Row],[Duty
Cycle '[%']]]*'Orbit Parameters'!$C$6</f>
        <v>0</v>
      </c>
      <c r="M55" s="50">
        <f>Table26[[#This Row],[Margined
Power '[W']]]*Table2724[[#This Row],[Duty
Cycle '[%']]]</f>
        <v>0</v>
      </c>
      <c r="O55" s="101">
        <v>0</v>
      </c>
      <c r="P55" s="49">
        <f>Table276[[#This Row],[Duty
Cycle '[%']]]*'Orbit Parameters'!$C$6</f>
        <v>0</v>
      </c>
      <c r="Q55" s="50">
        <f>Table276[[#This Row],[Duty
Cycle '[%']]]*Table26[[#This Row],[Margined
Power '[W']]]</f>
        <v>0</v>
      </c>
      <c r="S55" s="101">
        <v>0</v>
      </c>
      <c r="T55" s="49">
        <f>Table2728[[#This Row],[Duty
Cycle '[%']]]*'Orbit Parameters'!$C$6</f>
        <v>0</v>
      </c>
      <c r="U55" s="50">
        <f>Table26[[#This Row],[Margined
Power '[W']]]*Table2728[[#This Row],[Duty
Cycle '[%']]]</f>
        <v>0</v>
      </c>
      <c r="W55" s="48">
        <v>0</v>
      </c>
      <c r="X55" s="49">
        <f>Table272410[[#This Row],[Duty
Cycle '[%']]]*'Orbit Parameters'!$C$6</f>
        <v>0</v>
      </c>
      <c r="Y55" s="50">
        <f>Table26[[#This Row],[Margined
Power '[W']]]*Table272410[[#This Row],[Duty
Cycle '[%']]]</f>
        <v>0</v>
      </c>
    </row>
    <row r="56" spans="1:25" hidden="1" x14ac:dyDescent="0.25">
      <c r="A56" s="55" t="str">
        <f>'Power Consumption'!A48</f>
        <v>Consumer #44</v>
      </c>
      <c r="B56" s="49">
        <f>'Power Consumption'!N48</f>
        <v>0</v>
      </c>
      <c r="C56" s="48">
        <v>0</v>
      </c>
      <c r="D56" s="49">
        <f>Table27[[#This Row],[Duty
Cycle '[%']]]*'Orbit Parameters'!$C$6</f>
        <v>0</v>
      </c>
      <c r="E56" s="50">
        <f>Table27[[#This Row],[Duty
Cycle '[%']]]*Table26[[#This Row],[Margined
Power '[W']]]</f>
        <v>0</v>
      </c>
      <c r="G56" s="100">
        <v>0</v>
      </c>
      <c r="H56" s="49">
        <f>Table272[[#This Row],[Duty
Cycle '[%']]]*'Orbit Parameters'!$C$6</f>
        <v>0</v>
      </c>
      <c r="I56" s="50">
        <f>Table26[[#This Row],[Margined
Power '[W']]]*Table272[[#This Row],[Duty
Cycle '[%']]]</f>
        <v>0</v>
      </c>
      <c r="K56" s="101">
        <v>0</v>
      </c>
      <c r="L56" s="49">
        <f>Table2724[[#This Row],[Duty
Cycle '[%']]]*'Orbit Parameters'!$C$6</f>
        <v>0</v>
      </c>
      <c r="M56" s="50">
        <f>Table26[[#This Row],[Margined
Power '[W']]]*Table2724[[#This Row],[Duty
Cycle '[%']]]</f>
        <v>0</v>
      </c>
      <c r="O56" s="101">
        <v>0</v>
      </c>
      <c r="P56" s="49">
        <f>Table276[[#This Row],[Duty
Cycle '[%']]]*'Orbit Parameters'!$C$6</f>
        <v>0</v>
      </c>
      <c r="Q56" s="50">
        <f>Table276[[#This Row],[Duty
Cycle '[%']]]*Table26[[#This Row],[Margined
Power '[W']]]</f>
        <v>0</v>
      </c>
      <c r="S56" s="101">
        <v>0</v>
      </c>
      <c r="T56" s="49">
        <f>Table2728[[#This Row],[Duty
Cycle '[%']]]*'Orbit Parameters'!$C$6</f>
        <v>0</v>
      </c>
      <c r="U56" s="50">
        <f>Table26[[#This Row],[Margined
Power '[W']]]*Table2728[[#This Row],[Duty
Cycle '[%']]]</f>
        <v>0</v>
      </c>
      <c r="W56" s="48">
        <v>0</v>
      </c>
      <c r="X56" s="49">
        <f>Table272410[[#This Row],[Duty
Cycle '[%']]]*'Orbit Parameters'!$C$6</f>
        <v>0</v>
      </c>
      <c r="Y56" s="50">
        <f>Table26[[#This Row],[Margined
Power '[W']]]*Table272410[[#This Row],[Duty
Cycle '[%']]]</f>
        <v>0</v>
      </c>
    </row>
    <row r="57" spans="1:25" hidden="1" x14ac:dyDescent="0.25">
      <c r="A57" s="55" t="str">
        <f>'Power Consumption'!A49</f>
        <v>Consumer #45</v>
      </c>
      <c r="B57" s="49">
        <f>'Power Consumption'!N49</f>
        <v>0</v>
      </c>
      <c r="C57" s="48">
        <v>0</v>
      </c>
      <c r="D57" s="49">
        <f>Table27[[#This Row],[Duty
Cycle '[%']]]*'Orbit Parameters'!$C$6</f>
        <v>0</v>
      </c>
      <c r="E57" s="50">
        <f>Table27[[#This Row],[Duty
Cycle '[%']]]*Table26[[#This Row],[Margined
Power '[W']]]</f>
        <v>0</v>
      </c>
      <c r="G57" s="100">
        <v>0</v>
      </c>
      <c r="H57" s="49">
        <f>Table272[[#This Row],[Duty
Cycle '[%']]]*'Orbit Parameters'!$C$6</f>
        <v>0</v>
      </c>
      <c r="I57" s="50">
        <f>Table26[[#This Row],[Margined
Power '[W']]]*Table272[[#This Row],[Duty
Cycle '[%']]]</f>
        <v>0</v>
      </c>
      <c r="K57" s="101">
        <v>0</v>
      </c>
      <c r="L57" s="49">
        <f>Table2724[[#This Row],[Duty
Cycle '[%']]]*'Orbit Parameters'!$C$6</f>
        <v>0</v>
      </c>
      <c r="M57" s="50">
        <f>Table26[[#This Row],[Margined
Power '[W']]]*Table2724[[#This Row],[Duty
Cycle '[%']]]</f>
        <v>0</v>
      </c>
      <c r="O57" s="101">
        <v>0</v>
      </c>
      <c r="P57" s="49">
        <f>Table276[[#This Row],[Duty
Cycle '[%']]]*'Orbit Parameters'!$C$6</f>
        <v>0</v>
      </c>
      <c r="Q57" s="50">
        <f>Table276[[#This Row],[Duty
Cycle '[%']]]*Table26[[#This Row],[Margined
Power '[W']]]</f>
        <v>0</v>
      </c>
      <c r="S57" s="101">
        <v>0</v>
      </c>
      <c r="T57" s="49">
        <f>Table2728[[#This Row],[Duty
Cycle '[%']]]*'Orbit Parameters'!$C$6</f>
        <v>0</v>
      </c>
      <c r="U57" s="50">
        <f>Table26[[#This Row],[Margined
Power '[W']]]*Table2728[[#This Row],[Duty
Cycle '[%']]]</f>
        <v>0</v>
      </c>
      <c r="W57" s="48">
        <v>0</v>
      </c>
      <c r="X57" s="49">
        <f>Table272410[[#This Row],[Duty
Cycle '[%']]]*'Orbit Parameters'!$C$6</f>
        <v>0</v>
      </c>
      <c r="Y57" s="50">
        <f>Table26[[#This Row],[Margined
Power '[W']]]*Table272410[[#This Row],[Duty
Cycle '[%']]]</f>
        <v>0</v>
      </c>
    </row>
    <row r="58" spans="1:25" hidden="1" x14ac:dyDescent="0.25">
      <c r="A58" s="55" t="str">
        <f>'Power Consumption'!A50</f>
        <v>Consumer #46</v>
      </c>
      <c r="B58" s="49">
        <f>'Power Consumption'!N50</f>
        <v>0</v>
      </c>
      <c r="C58" s="48">
        <v>0</v>
      </c>
      <c r="D58" s="49">
        <f>Table27[[#This Row],[Duty
Cycle '[%']]]*'Orbit Parameters'!$C$6</f>
        <v>0</v>
      </c>
      <c r="E58" s="50">
        <f>Table27[[#This Row],[Duty
Cycle '[%']]]*Table26[[#This Row],[Margined
Power '[W']]]</f>
        <v>0</v>
      </c>
      <c r="G58" s="100">
        <v>0</v>
      </c>
      <c r="H58" s="49">
        <f>Table272[[#This Row],[Duty
Cycle '[%']]]*'Orbit Parameters'!$C$6</f>
        <v>0</v>
      </c>
      <c r="I58" s="50">
        <f>Table26[[#This Row],[Margined
Power '[W']]]*Table272[[#This Row],[Duty
Cycle '[%']]]</f>
        <v>0</v>
      </c>
      <c r="K58" s="101">
        <v>0</v>
      </c>
      <c r="L58" s="49">
        <f>Table2724[[#This Row],[Duty
Cycle '[%']]]*'Orbit Parameters'!$C$6</f>
        <v>0</v>
      </c>
      <c r="M58" s="50">
        <f>Table26[[#This Row],[Margined
Power '[W']]]*Table2724[[#This Row],[Duty
Cycle '[%']]]</f>
        <v>0</v>
      </c>
      <c r="O58" s="101">
        <v>0</v>
      </c>
      <c r="P58" s="49">
        <f>Table276[[#This Row],[Duty
Cycle '[%']]]*'Orbit Parameters'!$C$6</f>
        <v>0</v>
      </c>
      <c r="Q58" s="50">
        <f>Table276[[#This Row],[Duty
Cycle '[%']]]*Table26[[#This Row],[Margined
Power '[W']]]</f>
        <v>0</v>
      </c>
      <c r="S58" s="101">
        <v>0</v>
      </c>
      <c r="T58" s="49">
        <f>Table2728[[#This Row],[Duty
Cycle '[%']]]*'Orbit Parameters'!$C$6</f>
        <v>0</v>
      </c>
      <c r="U58" s="50">
        <f>Table26[[#This Row],[Margined
Power '[W']]]*Table2728[[#This Row],[Duty
Cycle '[%']]]</f>
        <v>0</v>
      </c>
      <c r="W58" s="48">
        <v>0</v>
      </c>
      <c r="X58" s="49">
        <f>Table272410[[#This Row],[Duty
Cycle '[%']]]*'Orbit Parameters'!$C$6</f>
        <v>0</v>
      </c>
      <c r="Y58" s="50">
        <f>Table26[[#This Row],[Margined
Power '[W']]]*Table272410[[#This Row],[Duty
Cycle '[%']]]</f>
        <v>0</v>
      </c>
    </row>
    <row r="59" spans="1:25" hidden="1" x14ac:dyDescent="0.25">
      <c r="A59" s="55" t="str">
        <f>'Power Consumption'!A51</f>
        <v>Consumer #47</v>
      </c>
      <c r="B59" s="49">
        <f>'Power Consumption'!N51</f>
        <v>0</v>
      </c>
      <c r="C59" s="48">
        <v>0</v>
      </c>
      <c r="D59" s="49">
        <f>Table27[[#This Row],[Duty
Cycle '[%']]]*'Orbit Parameters'!$C$6</f>
        <v>0</v>
      </c>
      <c r="E59" s="50">
        <f>Table27[[#This Row],[Duty
Cycle '[%']]]*Table26[[#This Row],[Margined
Power '[W']]]</f>
        <v>0</v>
      </c>
      <c r="G59" s="100">
        <v>0</v>
      </c>
      <c r="H59" s="49">
        <f>Table272[[#This Row],[Duty
Cycle '[%']]]*'Orbit Parameters'!$C$6</f>
        <v>0</v>
      </c>
      <c r="I59" s="50">
        <f>Table26[[#This Row],[Margined
Power '[W']]]*Table272[[#This Row],[Duty
Cycle '[%']]]</f>
        <v>0</v>
      </c>
      <c r="K59" s="101">
        <v>0</v>
      </c>
      <c r="L59" s="49">
        <f>Table2724[[#This Row],[Duty
Cycle '[%']]]*'Orbit Parameters'!$C$6</f>
        <v>0</v>
      </c>
      <c r="M59" s="50">
        <f>Table26[[#This Row],[Margined
Power '[W']]]*Table2724[[#This Row],[Duty
Cycle '[%']]]</f>
        <v>0</v>
      </c>
      <c r="O59" s="101">
        <v>0</v>
      </c>
      <c r="P59" s="49">
        <f>Table276[[#This Row],[Duty
Cycle '[%']]]*'Orbit Parameters'!$C$6</f>
        <v>0</v>
      </c>
      <c r="Q59" s="50">
        <f>Table276[[#This Row],[Duty
Cycle '[%']]]*Table26[[#This Row],[Margined
Power '[W']]]</f>
        <v>0</v>
      </c>
      <c r="S59" s="101">
        <v>0</v>
      </c>
      <c r="T59" s="49">
        <f>Table2728[[#This Row],[Duty
Cycle '[%']]]*'Orbit Parameters'!$C$6</f>
        <v>0</v>
      </c>
      <c r="U59" s="50">
        <f>Table26[[#This Row],[Margined
Power '[W']]]*Table2728[[#This Row],[Duty
Cycle '[%']]]</f>
        <v>0</v>
      </c>
      <c r="W59" s="48">
        <v>0</v>
      </c>
      <c r="X59" s="49">
        <f>Table272410[[#This Row],[Duty
Cycle '[%']]]*'Orbit Parameters'!$C$6</f>
        <v>0</v>
      </c>
      <c r="Y59" s="50">
        <f>Table26[[#This Row],[Margined
Power '[W']]]*Table272410[[#This Row],[Duty
Cycle '[%']]]</f>
        <v>0</v>
      </c>
    </row>
    <row r="60" spans="1:25" hidden="1" x14ac:dyDescent="0.25">
      <c r="A60" s="55" t="str">
        <f>'Power Consumption'!A52</f>
        <v>Consumer #48</v>
      </c>
      <c r="B60" s="49">
        <f>'Power Consumption'!N52</f>
        <v>0</v>
      </c>
      <c r="C60" s="48">
        <v>0</v>
      </c>
      <c r="D60" s="49">
        <f>Table27[[#This Row],[Duty
Cycle '[%']]]*'Orbit Parameters'!$C$6</f>
        <v>0</v>
      </c>
      <c r="E60" s="50">
        <f>Table27[[#This Row],[Duty
Cycle '[%']]]*Table26[[#This Row],[Margined
Power '[W']]]</f>
        <v>0</v>
      </c>
      <c r="G60" s="100">
        <v>0</v>
      </c>
      <c r="H60" s="49">
        <f>Table272[[#This Row],[Duty
Cycle '[%']]]*'Orbit Parameters'!$C$6</f>
        <v>0</v>
      </c>
      <c r="I60" s="50">
        <f>Table26[[#This Row],[Margined
Power '[W']]]*Table272[[#This Row],[Duty
Cycle '[%']]]</f>
        <v>0</v>
      </c>
      <c r="K60" s="101">
        <v>0</v>
      </c>
      <c r="L60" s="49">
        <f>Table2724[[#This Row],[Duty
Cycle '[%']]]*'Orbit Parameters'!$C$6</f>
        <v>0</v>
      </c>
      <c r="M60" s="50">
        <f>Table26[[#This Row],[Margined
Power '[W']]]*Table2724[[#This Row],[Duty
Cycle '[%']]]</f>
        <v>0</v>
      </c>
      <c r="O60" s="101">
        <v>0</v>
      </c>
      <c r="P60" s="49">
        <f>Table276[[#This Row],[Duty
Cycle '[%']]]*'Orbit Parameters'!$C$6</f>
        <v>0</v>
      </c>
      <c r="Q60" s="50">
        <f>Table276[[#This Row],[Duty
Cycle '[%']]]*Table26[[#This Row],[Margined
Power '[W']]]</f>
        <v>0</v>
      </c>
      <c r="S60" s="101">
        <v>0</v>
      </c>
      <c r="T60" s="49">
        <f>Table2728[[#This Row],[Duty
Cycle '[%']]]*'Orbit Parameters'!$C$6</f>
        <v>0</v>
      </c>
      <c r="U60" s="50">
        <f>Table26[[#This Row],[Margined
Power '[W']]]*Table2728[[#This Row],[Duty
Cycle '[%']]]</f>
        <v>0</v>
      </c>
      <c r="W60" s="48">
        <v>0</v>
      </c>
      <c r="X60" s="49">
        <f>Table272410[[#This Row],[Duty
Cycle '[%']]]*'Orbit Parameters'!$C$6</f>
        <v>0</v>
      </c>
      <c r="Y60" s="50">
        <f>Table26[[#This Row],[Margined
Power '[W']]]*Table272410[[#This Row],[Duty
Cycle '[%']]]</f>
        <v>0</v>
      </c>
    </row>
    <row r="61" spans="1:25" hidden="1" x14ac:dyDescent="0.25">
      <c r="A61" s="55" t="str">
        <f>'Power Consumption'!A53</f>
        <v>Consumer #49</v>
      </c>
      <c r="B61" s="49">
        <f>'Power Consumption'!N53</f>
        <v>0</v>
      </c>
      <c r="C61" s="48">
        <v>0</v>
      </c>
      <c r="D61" s="49">
        <f>Table27[[#This Row],[Duty
Cycle '[%']]]*'Orbit Parameters'!$C$6</f>
        <v>0</v>
      </c>
      <c r="E61" s="50">
        <f>Table27[[#This Row],[Duty
Cycle '[%']]]*Table26[[#This Row],[Margined
Power '[W']]]</f>
        <v>0</v>
      </c>
      <c r="G61" s="100">
        <v>0</v>
      </c>
      <c r="H61" s="49">
        <f>Table272[[#This Row],[Duty
Cycle '[%']]]*'Orbit Parameters'!$C$6</f>
        <v>0</v>
      </c>
      <c r="I61" s="50">
        <f>Table26[[#This Row],[Margined
Power '[W']]]*Table272[[#This Row],[Duty
Cycle '[%']]]</f>
        <v>0</v>
      </c>
      <c r="K61" s="101">
        <v>0</v>
      </c>
      <c r="L61" s="49">
        <f>Table2724[[#This Row],[Duty
Cycle '[%']]]*'Orbit Parameters'!$C$6</f>
        <v>0</v>
      </c>
      <c r="M61" s="50">
        <f>Table26[[#This Row],[Margined
Power '[W']]]*Table2724[[#This Row],[Duty
Cycle '[%']]]</f>
        <v>0</v>
      </c>
      <c r="O61" s="101">
        <v>0</v>
      </c>
      <c r="P61" s="49">
        <f>Table276[[#This Row],[Duty
Cycle '[%']]]*'Orbit Parameters'!$C$6</f>
        <v>0</v>
      </c>
      <c r="Q61" s="50">
        <f>Table276[[#This Row],[Duty
Cycle '[%']]]*Table26[[#This Row],[Margined
Power '[W']]]</f>
        <v>0</v>
      </c>
      <c r="S61" s="101">
        <v>0</v>
      </c>
      <c r="T61" s="49">
        <f>Table2728[[#This Row],[Duty
Cycle '[%']]]*'Orbit Parameters'!$C$6</f>
        <v>0</v>
      </c>
      <c r="U61" s="50">
        <f>Table26[[#This Row],[Margined
Power '[W']]]*Table2728[[#This Row],[Duty
Cycle '[%']]]</f>
        <v>0</v>
      </c>
      <c r="W61" s="48">
        <v>0</v>
      </c>
      <c r="X61" s="49">
        <f>Table272410[[#This Row],[Duty
Cycle '[%']]]*'Orbit Parameters'!$C$6</f>
        <v>0</v>
      </c>
      <c r="Y61" s="50">
        <f>Table26[[#This Row],[Margined
Power '[W']]]*Table272410[[#This Row],[Duty
Cycle '[%']]]</f>
        <v>0</v>
      </c>
    </row>
    <row r="62" spans="1:25" hidden="1" x14ac:dyDescent="0.25">
      <c r="A62" s="55" t="str">
        <f>'Power Consumption'!A54</f>
        <v>Consumer #50</v>
      </c>
      <c r="B62" s="49">
        <f>'Power Consumption'!N54</f>
        <v>0</v>
      </c>
      <c r="C62" s="48">
        <v>0</v>
      </c>
      <c r="D62" s="49">
        <f>Table27[[#This Row],[Duty
Cycle '[%']]]*'Orbit Parameters'!$C$6</f>
        <v>0</v>
      </c>
      <c r="E62" s="50">
        <f>Table27[[#This Row],[Duty
Cycle '[%']]]*Table26[[#This Row],[Margined
Power '[W']]]</f>
        <v>0</v>
      </c>
      <c r="G62" s="100">
        <v>0</v>
      </c>
      <c r="H62" s="49">
        <f>Table272[[#This Row],[Duty
Cycle '[%']]]*'Orbit Parameters'!$C$6</f>
        <v>0</v>
      </c>
      <c r="I62" s="50">
        <f>Table26[[#This Row],[Margined
Power '[W']]]*Table272[[#This Row],[Duty
Cycle '[%']]]</f>
        <v>0</v>
      </c>
      <c r="K62" s="101">
        <v>0</v>
      </c>
      <c r="L62" s="49">
        <f>Table2724[[#This Row],[Duty
Cycle '[%']]]*'Orbit Parameters'!$C$6</f>
        <v>0</v>
      </c>
      <c r="M62" s="50">
        <f>Table26[[#This Row],[Margined
Power '[W']]]*Table2724[[#This Row],[Duty
Cycle '[%']]]</f>
        <v>0</v>
      </c>
      <c r="O62" s="101">
        <v>0</v>
      </c>
      <c r="P62" s="49">
        <f>Table276[[#This Row],[Duty
Cycle '[%']]]*'Orbit Parameters'!$C$6</f>
        <v>0</v>
      </c>
      <c r="Q62" s="50">
        <f>Table276[[#This Row],[Duty
Cycle '[%']]]*Table26[[#This Row],[Margined
Power '[W']]]</f>
        <v>0</v>
      </c>
      <c r="S62" s="101">
        <v>0</v>
      </c>
      <c r="T62" s="49">
        <f>Table2728[[#This Row],[Duty
Cycle '[%']]]*'Orbit Parameters'!$C$6</f>
        <v>0</v>
      </c>
      <c r="U62" s="50">
        <f>Table26[[#This Row],[Margined
Power '[W']]]*Table2728[[#This Row],[Duty
Cycle '[%']]]</f>
        <v>0</v>
      </c>
      <c r="W62" s="48">
        <v>0</v>
      </c>
      <c r="X62" s="49">
        <f>Table272410[[#This Row],[Duty
Cycle '[%']]]*'Orbit Parameters'!$C$6</f>
        <v>0</v>
      </c>
      <c r="Y62" s="50">
        <f>Table26[[#This Row],[Margined
Power '[W']]]*Table272410[[#This Row],[Duty
Cycle '[%']]]</f>
        <v>0</v>
      </c>
    </row>
    <row r="63" spans="1:25" hidden="1" x14ac:dyDescent="0.25">
      <c r="A63" s="55" t="str">
        <f>'Power Consumption'!A55</f>
        <v>Consumer #51</v>
      </c>
      <c r="B63" s="49">
        <f>'Power Consumption'!N55</f>
        <v>0</v>
      </c>
      <c r="C63" s="48">
        <v>0</v>
      </c>
      <c r="D63" s="49">
        <f>Table27[[#This Row],[Duty
Cycle '[%']]]*'Orbit Parameters'!$C$6</f>
        <v>0</v>
      </c>
      <c r="E63" s="50">
        <f>Table27[[#This Row],[Duty
Cycle '[%']]]*Table26[[#This Row],[Margined
Power '[W']]]</f>
        <v>0</v>
      </c>
      <c r="G63" s="100">
        <v>0</v>
      </c>
      <c r="H63" s="49">
        <f>Table272[[#This Row],[Duty
Cycle '[%']]]*'Orbit Parameters'!$C$6</f>
        <v>0</v>
      </c>
      <c r="I63" s="50">
        <f>Table26[[#This Row],[Margined
Power '[W']]]*Table272[[#This Row],[Duty
Cycle '[%']]]</f>
        <v>0</v>
      </c>
      <c r="K63" s="101">
        <v>0</v>
      </c>
      <c r="L63" s="49">
        <f>Table2724[[#This Row],[Duty
Cycle '[%']]]*'Orbit Parameters'!$C$6</f>
        <v>0</v>
      </c>
      <c r="M63" s="50">
        <f>Table26[[#This Row],[Margined
Power '[W']]]*Table2724[[#This Row],[Duty
Cycle '[%']]]</f>
        <v>0</v>
      </c>
      <c r="O63" s="101">
        <v>0</v>
      </c>
      <c r="P63" s="49">
        <f>Table276[[#This Row],[Duty
Cycle '[%']]]*'Orbit Parameters'!$C$6</f>
        <v>0</v>
      </c>
      <c r="Q63" s="50">
        <f>Table276[[#This Row],[Duty
Cycle '[%']]]*Table26[[#This Row],[Margined
Power '[W']]]</f>
        <v>0</v>
      </c>
      <c r="S63" s="101">
        <v>0</v>
      </c>
      <c r="T63" s="49">
        <f>Table2728[[#This Row],[Duty
Cycle '[%']]]*'Orbit Parameters'!$C$6</f>
        <v>0</v>
      </c>
      <c r="U63" s="50">
        <f>Table26[[#This Row],[Margined
Power '[W']]]*Table2728[[#This Row],[Duty
Cycle '[%']]]</f>
        <v>0</v>
      </c>
      <c r="W63" s="48">
        <v>0</v>
      </c>
      <c r="X63" s="49">
        <f>Table272410[[#This Row],[Duty
Cycle '[%']]]*'Orbit Parameters'!$C$6</f>
        <v>0</v>
      </c>
      <c r="Y63" s="50">
        <f>Table26[[#This Row],[Margined
Power '[W']]]*Table272410[[#This Row],[Duty
Cycle '[%']]]</f>
        <v>0</v>
      </c>
    </row>
    <row r="64" spans="1:25" hidden="1" x14ac:dyDescent="0.25">
      <c r="A64" s="55" t="str">
        <f>'Power Consumption'!A56</f>
        <v>Consumer #52</v>
      </c>
      <c r="B64" s="49">
        <f>'Power Consumption'!N56</f>
        <v>0</v>
      </c>
      <c r="C64" s="48">
        <v>0</v>
      </c>
      <c r="D64" s="49">
        <f>Table27[[#This Row],[Duty
Cycle '[%']]]*'Orbit Parameters'!$C$6</f>
        <v>0</v>
      </c>
      <c r="E64" s="50">
        <f>Table27[[#This Row],[Duty
Cycle '[%']]]*Table26[[#This Row],[Margined
Power '[W']]]</f>
        <v>0</v>
      </c>
      <c r="G64" s="100">
        <v>0</v>
      </c>
      <c r="H64" s="49">
        <f>Table272[[#This Row],[Duty
Cycle '[%']]]*'Orbit Parameters'!$C$6</f>
        <v>0</v>
      </c>
      <c r="I64" s="50">
        <f>Table26[[#This Row],[Margined
Power '[W']]]*Table272[[#This Row],[Duty
Cycle '[%']]]</f>
        <v>0</v>
      </c>
      <c r="K64" s="101">
        <v>0</v>
      </c>
      <c r="L64" s="49">
        <f>Table2724[[#This Row],[Duty
Cycle '[%']]]*'Orbit Parameters'!$C$6</f>
        <v>0</v>
      </c>
      <c r="M64" s="50">
        <f>Table26[[#This Row],[Margined
Power '[W']]]*Table2724[[#This Row],[Duty
Cycle '[%']]]</f>
        <v>0</v>
      </c>
      <c r="O64" s="101">
        <v>0</v>
      </c>
      <c r="P64" s="49">
        <f>Table276[[#This Row],[Duty
Cycle '[%']]]*'Orbit Parameters'!$C$6</f>
        <v>0</v>
      </c>
      <c r="Q64" s="50">
        <f>Table276[[#This Row],[Duty
Cycle '[%']]]*Table26[[#This Row],[Margined
Power '[W']]]</f>
        <v>0</v>
      </c>
      <c r="S64" s="101">
        <v>0</v>
      </c>
      <c r="T64" s="49">
        <f>Table2728[[#This Row],[Duty
Cycle '[%']]]*'Orbit Parameters'!$C$6</f>
        <v>0</v>
      </c>
      <c r="U64" s="50">
        <f>Table26[[#This Row],[Margined
Power '[W']]]*Table2728[[#This Row],[Duty
Cycle '[%']]]</f>
        <v>0</v>
      </c>
      <c r="W64" s="48">
        <v>0</v>
      </c>
      <c r="X64" s="49">
        <f>Table272410[[#This Row],[Duty
Cycle '[%']]]*'Orbit Parameters'!$C$6</f>
        <v>0</v>
      </c>
      <c r="Y64" s="50">
        <f>Table26[[#This Row],[Margined
Power '[W']]]*Table272410[[#This Row],[Duty
Cycle '[%']]]</f>
        <v>0</v>
      </c>
    </row>
    <row r="65" spans="1:25" hidden="1" x14ac:dyDescent="0.25">
      <c r="A65" s="55" t="str">
        <f>'Power Consumption'!A57</f>
        <v>Consumer #53</v>
      </c>
      <c r="B65" s="49">
        <f>'Power Consumption'!N57</f>
        <v>0</v>
      </c>
      <c r="C65" s="48">
        <v>0</v>
      </c>
      <c r="D65" s="49">
        <f>Table27[[#This Row],[Duty
Cycle '[%']]]*'Orbit Parameters'!$C$6</f>
        <v>0</v>
      </c>
      <c r="E65" s="50">
        <f>Table27[[#This Row],[Duty
Cycle '[%']]]*Table26[[#This Row],[Margined
Power '[W']]]</f>
        <v>0</v>
      </c>
      <c r="G65" s="100">
        <v>0</v>
      </c>
      <c r="H65" s="49">
        <f>Table272[[#This Row],[Duty
Cycle '[%']]]*'Orbit Parameters'!$C$6</f>
        <v>0</v>
      </c>
      <c r="I65" s="50">
        <f>Table26[[#This Row],[Margined
Power '[W']]]*Table272[[#This Row],[Duty
Cycle '[%']]]</f>
        <v>0</v>
      </c>
      <c r="K65" s="101">
        <v>0</v>
      </c>
      <c r="L65" s="49">
        <f>Table2724[[#This Row],[Duty
Cycle '[%']]]*'Orbit Parameters'!$C$6</f>
        <v>0</v>
      </c>
      <c r="M65" s="50">
        <f>Table26[[#This Row],[Margined
Power '[W']]]*Table2724[[#This Row],[Duty
Cycle '[%']]]</f>
        <v>0</v>
      </c>
      <c r="O65" s="101">
        <v>0</v>
      </c>
      <c r="P65" s="49">
        <f>Table276[[#This Row],[Duty
Cycle '[%']]]*'Orbit Parameters'!$C$6</f>
        <v>0</v>
      </c>
      <c r="Q65" s="50">
        <f>Table276[[#This Row],[Duty
Cycle '[%']]]*Table26[[#This Row],[Margined
Power '[W']]]</f>
        <v>0</v>
      </c>
      <c r="S65" s="101">
        <v>0</v>
      </c>
      <c r="T65" s="49">
        <f>Table2728[[#This Row],[Duty
Cycle '[%']]]*'Orbit Parameters'!$C$6</f>
        <v>0</v>
      </c>
      <c r="U65" s="50">
        <f>Table26[[#This Row],[Margined
Power '[W']]]*Table2728[[#This Row],[Duty
Cycle '[%']]]</f>
        <v>0</v>
      </c>
      <c r="W65" s="48">
        <v>0</v>
      </c>
      <c r="X65" s="49">
        <f>Table272410[[#This Row],[Duty
Cycle '[%']]]*'Orbit Parameters'!$C$6</f>
        <v>0</v>
      </c>
      <c r="Y65" s="50">
        <f>Table26[[#This Row],[Margined
Power '[W']]]*Table272410[[#This Row],[Duty
Cycle '[%']]]</f>
        <v>0</v>
      </c>
    </row>
    <row r="66" spans="1:25" hidden="1" x14ac:dyDescent="0.25">
      <c r="A66" s="55" t="str">
        <f>'Power Consumption'!A58</f>
        <v>Consumer #54</v>
      </c>
      <c r="B66" s="49">
        <f>'Power Consumption'!N58</f>
        <v>0</v>
      </c>
      <c r="C66" s="48">
        <v>0</v>
      </c>
      <c r="D66" s="49">
        <f>Table27[[#This Row],[Duty
Cycle '[%']]]*'Orbit Parameters'!$C$6</f>
        <v>0</v>
      </c>
      <c r="E66" s="50">
        <f>Table27[[#This Row],[Duty
Cycle '[%']]]*Table26[[#This Row],[Margined
Power '[W']]]</f>
        <v>0</v>
      </c>
      <c r="G66" s="100">
        <v>0</v>
      </c>
      <c r="H66" s="49">
        <f>Table272[[#This Row],[Duty
Cycle '[%']]]*'Orbit Parameters'!$C$6</f>
        <v>0</v>
      </c>
      <c r="I66" s="50">
        <f>Table26[[#This Row],[Margined
Power '[W']]]*Table272[[#This Row],[Duty
Cycle '[%']]]</f>
        <v>0</v>
      </c>
      <c r="K66" s="101">
        <v>0</v>
      </c>
      <c r="L66" s="49">
        <f>Table2724[[#This Row],[Duty
Cycle '[%']]]*'Orbit Parameters'!$C$6</f>
        <v>0</v>
      </c>
      <c r="M66" s="50">
        <f>Table26[[#This Row],[Margined
Power '[W']]]*Table2724[[#This Row],[Duty
Cycle '[%']]]</f>
        <v>0</v>
      </c>
      <c r="O66" s="101">
        <v>0</v>
      </c>
      <c r="P66" s="49">
        <f>Table276[[#This Row],[Duty
Cycle '[%']]]*'Orbit Parameters'!$C$6</f>
        <v>0</v>
      </c>
      <c r="Q66" s="50">
        <f>Table276[[#This Row],[Duty
Cycle '[%']]]*Table26[[#This Row],[Margined
Power '[W']]]</f>
        <v>0</v>
      </c>
      <c r="S66" s="101">
        <v>0</v>
      </c>
      <c r="T66" s="49">
        <f>Table2728[[#This Row],[Duty
Cycle '[%']]]*'Orbit Parameters'!$C$6</f>
        <v>0</v>
      </c>
      <c r="U66" s="50">
        <f>Table26[[#This Row],[Margined
Power '[W']]]*Table2728[[#This Row],[Duty
Cycle '[%']]]</f>
        <v>0</v>
      </c>
      <c r="W66" s="48">
        <v>0</v>
      </c>
      <c r="X66" s="49">
        <f>Table272410[[#This Row],[Duty
Cycle '[%']]]*'Orbit Parameters'!$C$6</f>
        <v>0</v>
      </c>
      <c r="Y66" s="50">
        <f>Table26[[#This Row],[Margined
Power '[W']]]*Table272410[[#This Row],[Duty
Cycle '[%']]]</f>
        <v>0</v>
      </c>
    </row>
    <row r="67" spans="1:25" hidden="1" x14ac:dyDescent="0.25">
      <c r="A67" s="55" t="str">
        <f>'Power Consumption'!A59</f>
        <v>Consumer #55</v>
      </c>
      <c r="B67" s="49">
        <f>'Power Consumption'!N59</f>
        <v>0</v>
      </c>
      <c r="C67" s="48">
        <v>0</v>
      </c>
      <c r="D67" s="49">
        <f>Table27[[#This Row],[Duty
Cycle '[%']]]*'Orbit Parameters'!$C$6</f>
        <v>0</v>
      </c>
      <c r="E67" s="50">
        <f>Table27[[#This Row],[Duty
Cycle '[%']]]*Table26[[#This Row],[Margined
Power '[W']]]</f>
        <v>0</v>
      </c>
      <c r="G67" s="100">
        <v>0</v>
      </c>
      <c r="H67" s="49">
        <f>Table272[[#This Row],[Duty
Cycle '[%']]]*'Orbit Parameters'!$C$6</f>
        <v>0</v>
      </c>
      <c r="I67" s="50">
        <f>Table26[[#This Row],[Margined
Power '[W']]]*Table272[[#This Row],[Duty
Cycle '[%']]]</f>
        <v>0</v>
      </c>
      <c r="K67" s="101">
        <v>0</v>
      </c>
      <c r="L67" s="49">
        <f>Table2724[[#This Row],[Duty
Cycle '[%']]]*'Orbit Parameters'!$C$6</f>
        <v>0</v>
      </c>
      <c r="M67" s="50">
        <f>Table26[[#This Row],[Margined
Power '[W']]]*Table2724[[#This Row],[Duty
Cycle '[%']]]</f>
        <v>0</v>
      </c>
      <c r="O67" s="101">
        <v>0</v>
      </c>
      <c r="P67" s="49">
        <f>Table276[[#This Row],[Duty
Cycle '[%']]]*'Orbit Parameters'!$C$6</f>
        <v>0</v>
      </c>
      <c r="Q67" s="50">
        <f>Table276[[#This Row],[Duty
Cycle '[%']]]*Table26[[#This Row],[Margined
Power '[W']]]</f>
        <v>0</v>
      </c>
      <c r="S67" s="101">
        <v>0</v>
      </c>
      <c r="T67" s="49">
        <f>Table2728[[#This Row],[Duty
Cycle '[%']]]*'Orbit Parameters'!$C$6</f>
        <v>0</v>
      </c>
      <c r="U67" s="50">
        <f>Table26[[#This Row],[Margined
Power '[W']]]*Table2728[[#This Row],[Duty
Cycle '[%']]]</f>
        <v>0</v>
      </c>
      <c r="W67" s="48">
        <v>0</v>
      </c>
      <c r="X67" s="49">
        <f>Table272410[[#This Row],[Duty
Cycle '[%']]]*'Orbit Parameters'!$C$6</f>
        <v>0</v>
      </c>
      <c r="Y67" s="50">
        <f>Table26[[#This Row],[Margined
Power '[W']]]*Table272410[[#This Row],[Duty
Cycle '[%']]]</f>
        <v>0</v>
      </c>
    </row>
    <row r="68" spans="1:25" hidden="1" x14ac:dyDescent="0.25">
      <c r="A68" s="55" t="str">
        <f>'Power Consumption'!A60</f>
        <v>Consumer #56</v>
      </c>
      <c r="B68" s="49">
        <f>'Power Consumption'!N60</f>
        <v>0</v>
      </c>
      <c r="C68" s="48">
        <v>0</v>
      </c>
      <c r="D68" s="49">
        <f>Table27[[#This Row],[Duty
Cycle '[%']]]*'Orbit Parameters'!$C$6</f>
        <v>0</v>
      </c>
      <c r="E68" s="50">
        <f>Table27[[#This Row],[Duty
Cycle '[%']]]*Table26[[#This Row],[Margined
Power '[W']]]</f>
        <v>0</v>
      </c>
      <c r="G68" s="100">
        <v>0</v>
      </c>
      <c r="H68" s="49">
        <f>Table272[[#This Row],[Duty
Cycle '[%']]]*'Orbit Parameters'!$C$6</f>
        <v>0</v>
      </c>
      <c r="I68" s="50">
        <f>Table26[[#This Row],[Margined
Power '[W']]]*Table272[[#This Row],[Duty
Cycle '[%']]]</f>
        <v>0</v>
      </c>
      <c r="K68" s="101">
        <v>0</v>
      </c>
      <c r="L68" s="49">
        <f>Table2724[[#This Row],[Duty
Cycle '[%']]]*'Orbit Parameters'!$C$6</f>
        <v>0</v>
      </c>
      <c r="M68" s="50">
        <f>Table26[[#This Row],[Margined
Power '[W']]]*Table2724[[#This Row],[Duty
Cycle '[%']]]</f>
        <v>0</v>
      </c>
      <c r="O68" s="101">
        <v>0</v>
      </c>
      <c r="P68" s="49">
        <f>Table276[[#This Row],[Duty
Cycle '[%']]]*'Orbit Parameters'!$C$6</f>
        <v>0</v>
      </c>
      <c r="Q68" s="50">
        <f>Table276[[#This Row],[Duty
Cycle '[%']]]*Table26[[#This Row],[Margined
Power '[W']]]</f>
        <v>0</v>
      </c>
      <c r="S68" s="101">
        <v>0</v>
      </c>
      <c r="T68" s="49">
        <f>Table2728[[#This Row],[Duty
Cycle '[%']]]*'Orbit Parameters'!$C$6</f>
        <v>0</v>
      </c>
      <c r="U68" s="50">
        <f>Table26[[#This Row],[Margined
Power '[W']]]*Table2728[[#This Row],[Duty
Cycle '[%']]]</f>
        <v>0</v>
      </c>
      <c r="W68" s="48">
        <v>0</v>
      </c>
      <c r="X68" s="49">
        <f>Table272410[[#This Row],[Duty
Cycle '[%']]]*'Orbit Parameters'!$C$6</f>
        <v>0</v>
      </c>
      <c r="Y68" s="50">
        <f>Table26[[#This Row],[Margined
Power '[W']]]*Table272410[[#This Row],[Duty
Cycle '[%']]]</f>
        <v>0</v>
      </c>
    </row>
    <row r="69" spans="1:25" hidden="1" x14ac:dyDescent="0.25">
      <c r="A69" s="55" t="str">
        <f>'Power Consumption'!A61</f>
        <v>Consumer #57</v>
      </c>
      <c r="B69" s="49">
        <f>'Power Consumption'!N61</f>
        <v>0</v>
      </c>
      <c r="C69" s="48">
        <v>0</v>
      </c>
      <c r="D69" s="49">
        <f>Table27[[#This Row],[Duty
Cycle '[%']]]*'Orbit Parameters'!$C$6</f>
        <v>0</v>
      </c>
      <c r="E69" s="50">
        <f>Table27[[#This Row],[Duty
Cycle '[%']]]*Table26[[#This Row],[Margined
Power '[W']]]</f>
        <v>0</v>
      </c>
      <c r="G69" s="100">
        <v>0</v>
      </c>
      <c r="H69" s="49">
        <f>Table272[[#This Row],[Duty
Cycle '[%']]]*'Orbit Parameters'!$C$6</f>
        <v>0</v>
      </c>
      <c r="I69" s="50">
        <f>Table26[[#This Row],[Margined
Power '[W']]]*Table272[[#This Row],[Duty
Cycle '[%']]]</f>
        <v>0</v>
      </c>
      <c r="K69" s="101">
        <v>0</v>
      </c>
      <c r="L69" s="49">
        <f>Table2724[[#This Row],[Duty
Cycle '[%']]]*'Orbit Parameters'!$C$6</f>
        <v>0</v>
      </c>
      <c r="M69" s="50">
        <f>Table26[[#This Row],[Margined
Power '[W']]]*Table2724[[#This Row],[Duty
Cycle '[%']]]</f>
        <v>0</v>
      </c>
      <c r="O69" s="101">
        <v>0</v>
      </c>
      <c r="P69" s="49">
        <f>Table276[[#This Row],[Duty
Cycle '[%']]]*'Orbit Parameters'!$C$6</f>
        <v>0</v>
      </c>
      <c r="Q69" s="50">
        <f>Table276[[#This Row],[Duty
Cycle '[%']]]*Table26[[#This Row],[Margined
Power '[W']]]</f>
        <v>0</v>
      </c>
      <c r="S69" s="101">
        <v>0</v>
      </c>
      <c r="T69" s="49">
        <f>Table2728[[#This Row],[Duty
Cycle '[%']]]*'Orbit Parameters'!$C$6</f>
        <v>0</v>
      </c>
      <c r="U69" s="50">
        <f>Table26[[#This Row],[Margined
Power '[W']]]*Table2728[[#This Row],[Duty
Cycle '[%']]]</f>
        <v>0</v>
      </c>
      <c r="W69" s="48">
        <v>0</v>
      </c>
      <c r="X69" s="49">
        <f>Table272410[[#This Row],[Duty
Cycle '[%']]]*'Orbit Parameters'!$C$6</f>
        <v>0</v>
      </c>
      <c r="Y69" s="50">
        <f>Table26[[#This Row],[Margined
Power '[W']]]*Table272410[[#This Row],[Duty
Cycle '[%']]]</f>
        <v>0</v>
      </c>
    </row>
    <row r="70" spans="1:25" hidden="1" x14ac:dyDescent="0.25">
      <c r="A70" s="55" t="str">
        <f>'Power Consumption'!A62</f>
        <v>Consumer #58</v>
      </c>
      <c r="B70" s="49">
        <f>'Power Consumption'!N62</f>
        <v>0</v>
      </c>
      <c r="C70" s="48">
        <v>0</v>
      </c>
      <c r="D70" s="49">
        <f>Table27[[#This Row],[Duty
Cycle '[%']]]*'Orbit Parameters'!$C$6</f>
        <v>0</v>
      </c>
      <c r="E70" s="50">
        <f>Table27[[#This Row],[Duty
Cycle '[%']]]*Table26[[#This Row],[Margined
Power '[W']]]</f>
        <v>0</v>
      </c>
      <c r="G70" s="100">
        <v>0</v>
      </c>
      <c r="H70" s="49">
        <f>Table272[[#This Row],[Duty
Cycle '[%']]]*'Orbit Parameters'!$C$6</f>
        <v>0</v>
      </c>
      <c r="I70" s="50">
        <f>Table26[[#This Row],[Margined
Power '[W']]]*Table272[[#This Row],[Duty
Cycle '[%']]]</f>
        <v>0</v>
      </c>
      <c r="K70" s="101">
        <v>0</v>
      </c>
      <c r="L70" s="49">
        <f>Table2724[[#This Row],[Duty
Cycle '[%']]]*'Orbit Parameters'!$C$6</f>
        <v>0</v>
      </c>
      <c r="M70" s="50">
        <f>Table26[[#This Row],[Margined
Power '[W']]]*Table2724[[#This Row],[Duty
Cycle '[%']]]</f>
        <v>0</v>
      </c>
      <c r="O70" s="101">
        <v>0</v>
      </c>
      <c r="P70" s="49">
        <f>Table276[[#This Row],[Duty
Cycle '[%']]]*'Orbit Parameters'!$C$6</f>
        <v>0</v>
      </c>
      <c r="Q70" s="50">
        <f>Table276[[#This Row],[Duty
Cycle '[%']]]*Table26[[#This Row],[Margined
Power '[W']]]</f>
        <v>0</v>
      </c>
      <c r="S70" s="101">
        <v>0</v>
      </c>
      <c r="T70" s="49">
        <f>Table2728[[#This Row],[Duty
Cycle '[%']]]*'Orbit Parameters'!$C$6</f>
        <v>0</v>
      </c>
      <c r="U70" s="50">
        <f>Table26[[#This Row],[Margined
Power '[W']]]*Table2728[[#This Row],[Duty
Cycle '[%']]]</f>
        <v>0</v>
      </c>
      <c r="W70" s="48">
        <v>0</v>
      </c>
      <c r="X70" s="49">
        <f>Table272410[[#This Row],[Duty
Cycle '[%']]]*'Orbit Parameters'!$C$6</f>
        <v>0</v>
      </c>
      <c r="Y70" s="50">
        <f>Table26[[#This Row],[Margined
Power '[W']]]*Table272410[[#This Row],[Duty
Cycle '[%']]]</f>
        <v>0</v>
      </c>
    </row>
    <row r="71" spans="1:25" hidden="1" x14ac:dyDescent="0.25">
      <c r="A71" s="55" t="str">
        <f>'Power Consumption'!A63</f>
        <v>Consumer #59</v>
      </c>
      <c r="B71" s="49">
        <f>'Power Consumption'!N63</f>
        <v>0</v>
      </c>
      <c r="C71" s="48">
        <v>0</v>
      </c>
      <c r="D71" s="49">
        <f>Table27[[#This Row],[Duty
Cycle '[%']]]*'Orbit Parameters'!$C$6</f>
        <v>0</v>
      </c>
      <c r="E71" s="50">
        <f>Table27[[#This Row],[Duty
Cycle '[%']]]*Table26[[#This Row],[Margined
Power '[W']]]</f>
        <v>0</v>
      </c>
      <c r="G71" s="100">
        <v>0</v>
      </c>
      <c r="H71" s="49">
        <f>Table272[[#This Row],[Duty
Cycle '[%']]]*'Orbit Parameters'!$C$6</f>
        <v>0</v>
      </c>
      <c r="I71" s="50">
        <f>Table26[[#This Row],[Margined
Power '[W']]]*Table272[[#This Row],[Duty
Cycle '[%']]]</f>
        <v>0</v>
      </c>
      <c r="K71" s="101">
        <v>0</v>
      </c>
      <c r="L71" s="49">
        <f>Table2724[[#This Row],[Duty
Cycle '[%']]]*'Orbit Parameters'!$C$6</f>
        <v>0</v>
      </c>
      <c r="M71" s="50">
        <f>Table26[[#This Row],[Margined
Power '[W']]]*Table2724[[#This Row],[Duty
Cycle '[%']]]</f>
        <v>0</v>
      </c>
      <c r="O71" s="101">
        <v>0</v>
      </c>
      <c r="P71" s="49">
        <f>Table276[[#This Row],[Duty
Cycle '[%']]]*'Orbit Parameters'!$C$6</f>
        <v>0</v>
      </c>
      <c r="Q71" s="50">
        <f>Table276[[#This Row],[Duty
Cycle '[%']]]*Table26[[#This Row],[Margined
Power '[W']]]</f>
        <v>0</v>
      </c>
      <c r="S71" s="101">
        <v>0</v>
      </c>
      <c r="T71" s="49">
        <f>Table2728[[#This Row],[Duty
Cycle '[%']]]*'Orbit Parameters'!$C$6</f>
        <v>0</v>
      </c>
      <c r="U71" s="50">
        <f>Table26[[#This Row],[Margined
Power '[W']]]*Table2728[[#This Row],[Duty
Cycle '[%']]]</f>
        <v>0</v>
      </c>
      <c r="W71" s="48">
        <v>0</v>
      </c>
      <c r="X71" s="49">
        <f>Table272410[[#This Row],[Duty
Cycle '[%']]]*'Orbit Parameters'!$C$6</f>
        <v>0</v>
      </c>
      <c r="Y71" s="50">
        <f>Table26[[#This Row],[Margined
Power '[W']]]*Table272410[[#This Row],[Duty
Cycle '[%']]]</f>
        <v>0</v>
      </c>
    </row>
    <row r="72" spans="1:25" hidden="1" x14ac:dyDescent="0.25">
      <c r="A72" s="55" t="str">
        <f>'Power Consumption'!A64</f>
        <v>Consumer #60</v>
      </c>
      <c r="B72" s="49">
        <f>'Power Consumption'!N64</f>
        <v>0</v>
      </c>
      <c r="C72" s="48">
        <v>0</v>
      </c>
      <c r="D72" s="49">
        <f>Table27[[#This Row],[Duty
Cycle '[%']]]*'Orbit Parameters'!$C$6</f>
        <v>0</v>
      </c>
      <c r="E72" s="50">
        <f>Table27[[#This Row],[Duty
Cycle '[%']]]*Table26[[#This Row],[Margined
Power '[W']]]</f>
        <v>0</v>
      </c>
      <c r="G72" s="100">
        <v>0</v>
      </c>
      <c r="H72" s="49">
        <f>Table272[[#This Row],[Duty
Cycle '[%']]]*'Orbit Parameters'!$C$6</f>
        <v>0</v>
      </c>
      <c r="I72" s="50">
        <f>Table26[[#This Row],[Margined
Power '[W']]]*Table272[[#This Row],[Duty
Cycle '[%']]]</f>
        <v>0</v>
      </c>
      <c r="K72" s="101">
        <v>0</v>
      </c>
      <c r="L72" s="49">
        <f>Table2724[[#This Row],[Duty
Cycle '[%']]]*'Orbit Parameters'!$C$6</f>
        <v>0</v>
      </c>
      <c r="M72" s="50">
        <f>Table26[[#This Row],[Margined
Power '[W']]]*Table2724[[#This Row],[Duty
Cycle '[%']]]</f>
        <v>0</v>
      </c>
      <c r="O72" s="101">
        <v>0</v>
      </c>
      <c r="P72" s="49">
        <f>Table276[[#This Row],[Duty
Cycle '[%']]]*'Orbit Parameters'!$C$6</f>
        <v>0</v>
      </c>
      <c r="Q72" s="50">
        <f>Table276[[#This Row],[Duty
Cycle '[%']]]*Table26[[#This Row],[Margined
Power '[W']]]</f>
        <v>0</v>
      </c>
      <c r="S72" s="101">
        <v>0</v>
      </c>
      <c r="T72" s="49">
        <f>Table2728[[#This Row],[Duty
Cycle '[%']]]*'Orbit Parameters'!$C$6</f>
        <v>0</v>
      </c>
      <c r="U72" s="50">
        <f>Table26[[#This Row],[Margined
Power '[W']]]*Table2728[[#This Row],[Duty
Cycle '[%']]]</f>
        <v>0</v>
      </c>
      <c r="W72" s="48">
        <v>0</v>
      </c>
      <c r="X72" s="49">
        <f>Table272410[[#This Row],[Duty
Cycle '[%']]]*'Orbit Parameters'!$C$6</f>
        <v>0</v>
      </c>
      <c r="Y72" s="50">
        <f>Table26[[#This Row],[Margined
Power '[W']]]*Table272410[[#This Row],[Duty
Cycle '[%']]]</f>
        <v>0</v>
      </c>
    </row>
    <row r="73" spans="1:25" hidden="1" x14ac:dyDescent="0.25">
      <c r="A73" s="55" t="str">
        <f>'Power Consumption'!A65</f>
        <v>Consumer #61</v>
      </c>
      <c r="B73" s="49">
        <f>'Power Consumption'!N65</f>
        <v>0</v>
      </c>
      <c r="C73" s="48">
        <v>0</v>
      </c>
      <c r="D73" s="49">
        <f>Table27[[#This Row],[Duty
Cycle '[%']]]*'Orbit Parameters'!$C$6</f>
        <v>0</v>
      </c>
      <c r="E73" s="50">
        <f>Table27[[#This Row],[Duty
Cycle '[%']]]*Table26[[#This Row],[Margined
Power '[W']]]</f>
        <v>0</v>
      </c>
      <c r="G73" s="100">
        <v>0</v>
      </c>
      <c r="H73" s="49">
        <f>Table272[[#This Row],[Duty
Cycle '[%']]]*'Orbit Parameters'!$C$6</f>
        <v>0</v>
      </c>
      <c r="I73" s="50">
        <f>Table26[[#This Row],[Margined
Power '[W']]]*Table272[[#This Row],[Duty
Cycle '[%']]]</f>
        <v>0</v>
      </c>
      <c r="K73" s="101">
        <v>0</v>
      </c>
      <c r="L73" s="49">
        <f>Table2724[[#This Row],[Duty
Cycle '[%']]]*'Orbit Parameters'!$C$6</f>
        <v>0</v>
      </c>
      <c r="M73" s="50">
        <f>Table26[[#This Row],[Margined
Power '[W']]]*Table2724[[#This Row],[Duty
Cycle '[%']]]</f>
        <v>0</v>
      </c>
      <c r="O73" s="101">
        <v>0</v>
      </c>
      <c r="P73" s="49">
        <f>Table276[[#This Row],[Duty
Cycle '[%']]]*'Orbit Parameters'!$C$6</f>
        <v>0</v>
      </c>
      <c r="Q73" s="50">
        <f>Table276[[#This Row],[Duty
Cycle '[%']]]*Table26[[#This Row],[Margined
Power '[W']]]</f>
        <v>0</v>
      </c>
      <c r="S73" s="101">
        <v>0</v>
      </c>
      <c r="T73" s="49">
        <f>Table2728[[#This Row],[Duty
Cycle '[%']]]*'Orbit Parameters'!$C$6</f>
        <v>0</v>
      </c>
      <c r="U73" s="50">
        <f>Table26[[#This Row],[Margined
Power '[W']]]*Table2728[[#This Row],[Duty
Cycle '[%']]]</f>
        <v>0</v>
      </c>
      <c r="W73" s="48">
        <v>0</v>
      </c>
      <c r="X73" s="49">
        <f>Table272410[[#This Row],[Duty
Cycle '[%']]]*'Orbit Parameters'!$C$6</f>
        <v>0</v>
      </c>
      <c r="Y73" s="50">
        <f>Table26[[#This Row],[Margined
Power '[W']]]*Table272410[[#This Row],[Duty
Cycle '[%']]]</f>
        <v>0</v>
      </c>
    </row>
    <row r="74" spans="1:25" hidden="1" x14ac:dyDescent="0.25">
      <c r="A74" s="55" t="str">
        <f>'Power Consumption'!A66</f>
        <v>Consumer #62</v>
      </c>
      <c r="B74" s="49">
        <f>'Power Consumption'!N66</f>
        <v>0</v>
      </c>
      <c r="C74" s="48">
        <v>0</v>
      </c>
      <c r="D74" s="49">
        <f>Table27[[#This Row],[Duty
Cycle '[%']]]*'Orbit Parameters'!$C$6</f>
        <v>0</v>
      </c>
      <c r="E74" s="50">
        <f>Table27[[#This Row],[Duty
Cycle '[%']]]*Table26[[#This Row],[Margined
Power '[W']]]</f>
        <v>0</v>
      </c>
      <c r="G74" s="100">
        <v>0</v>
      </c>
      <c r="H74" s="49">
        <f>Table272[[#This Row],[Duty
Cycle '[%']]]*'Orbit Parameters'!$C$6</f>
        <v>0</v>
      </c>
      <c r="I74" s="50">
        <f>Table26[[#This Row],[Margined
Power '[W']]]*Table272[[#This Row],[Duty
Cycle '[%']]]</f>
        <v>0</v>
      </c>
      <c r="K74" s="101">
        <v>0</v>
      </c>
      <c r="L74" s="49">
        <f>Table2724[[#This Row],[Duty
Cycle '[%']]]*'Orbit Parameters'!$C$6</f>
        <v>0</v>
      </c>
      <c r="M74" s="50">
        <f>Table26[[#This Row],[Margined
Power '[W']]]*Table2724[[#This Row],[Duty
Cycle '[%']]]</f>
        <v>0</v>
      </c>
      <c r="O74" s="101">
        <v>0</v>
      </c>
      <c r="P74" s="49">
        <f>Table276[[#This Row],[Duty
Cycle '[%']]]*'Orbit Parameters'!$C$6</f>
        <v>0</v>
      </c>
      <c r="Q74" s="50">
        <f>Table276[[#This Row],[Duty
Cycle '[%']]]*Table26[[#This Row],[Margined
Power '[W']]]</f>
        <v>0</v>
      </c>
      <c r="S74" s="101">
        <v>0</v>
      </c>
      <c r="T74" s="49">
        <f>Table2728[[#This Row],[Duty
Cycle '[%']]]*'Orbit Parameters'!$C$6</f>
        <v>0</v>
      </c>
      <c r="U74" s="50">
        <f>Table26[[#This Row],[Margined
Power '[W']]]*Table2728[[#This Row],[Duty
Cycle '[%']]]</f>
        <v>0</v>
      </c>
      <c r="W74" s="48">
        <v>0</v>
      </c>
      <c r="X74" s="49">
        <f>Table272410[[#This Row],[Duty
Cycle '[%']]]*'Orbit Parameters'!$C$6</f>
        <v>0</v>
      </c>
      <c r="Y74" s="50">
        <f>Table26[[#This Row],[Margined
Power '[W']]]*Table272410[[#This Row],[Duty
Cycle '[%']]]</f>
        <v>0</v>
      </c>
    </row>
    <row r="75" spans="1:25" hidden="1" x14ac:dyDescent="0.25">
      <c r="A75" s="55" t="str">
        <f>'Power Consumption'!A67</f>
        <v>Consumer #63</v>
      </c>
      <c r="B75" s="49">
        <f>'Power Consumption'!N67</f>
        <v>0</v>
      </c>
      <c r="C75" s="48">
        <v>0</v>
      </c>
      <c r="D75" s="49">
        <f>Table27[[#This Row],[Duty
Cycle '[%']]]*'Orbit Parameters'!$C$6</f>
        <v>0</v>
      </c>
      <c r="E75" s="50">
        <f>Table27[[#This Row],[Duty
Cycle '[%']]]*Table26[[#This Row],[Margined
Power '[W']]]</f>
        <v>0</v>
      </c>
      <c r="G75" s="100">
        <v>0</v>
      </c>
      <c r="H75" s="49">
        <f>Table272[[#This Row],[Duty
Cycle '[%']]]*'Orbit Parameters'!$C$6</f>
        <v>0</v>
      </c>
      <c r="I75" s="50">
        <f>Table26[[#This Row],[Margined
Power '[W']]]*Table272[[#This Row],[Duty
Cycle '[%']]]</f>
        <v>0</v>
      </c>
      <c r="K75" s="101">
        <v>0</v>
      </c>
      <c r="L75" s="49">
        <f>Table2724[[#This Row],[Duty
Cycle '[%']]]*'Orbit Parameters'!$C$6</f>
        <v>0</v>
      </c>
      <c r="M75" s="50">
        <f>Table26[[#This Row],[Margined
Power '[W']]]*Table2724[[#This Row],[Duty
Cycle '[%']]]</f>
        <v>0</v>
      </c>
      <c r="O75" s="101">
        <v>0</v>
      </c>
      <c r="P75" s="49">
        <f>Table276[[#This Row],[Duty
Cycle '[%']]]*'Orbit Parameters'!$C$6</f>
        <v>0</v>
      </c>
      <c r="Q75" s="50">
        <f>Table276[[#This Row],[Duty
Cycle '[%']]]*Table26[[#This Row],[Margined
Power '[W']]]</f>
        <v>0</v>
      </c>
      <c r="S75" s="101">
        <v>0</v>
      </c>
      <c r="T75" s="49">
        <f>Table2728[[#This Row],[Duty
Cycle '[%']]]*'Orbit Parameters'!$C$6</f>
        <v>0</v>
      </c>
      <c r="U75" s="50">
        <f>Table26[[#This Row],[Margined
Power '[W']]]*Table2728[[#This Row],[Duty
Cycle '[%']]]</f>
        <v>0</v>
      </c>
      <c r="W75" s="48">
        <v>0</v>
      </c>
      <c r="X75" s="49">
        <f>Table272410[[#This Row],[Duty
Cycle '[%']]]*'Orbit Parameters'!$C$6</f>
        <v>0</v>
      </c>
      <c r="Y75" s="50">
        <f>Table26[[#This Row],[Margined
Power '[W']]]*Table272410[[#This Row],[Duty
Cycle '[%']]]</f>
        <v>0</v>
      </c>
    </row>
    <row r="76" spans="1:25" hidden="1" x14ac:dyDescent="0.25">
      <c r="A76" s="55" t="str">
        <f>'Power Consumption'!A68</f>
        <v>Consumer #64</v>
      </c>
      <c r="B76" s="49">
        <f>'Power Consumption'!N68</f>
        <v>0</v>
      </c>
      <c r="C76" s="48">
        <v>0</v>
      </c>
      <c r="D76" s="49">
        <f>Table27[[#This Row],[Duty
Cycle '[%']]]*'Orbit Parameters'!$C$6</f>
        <v>0</v>
      </c>
      <c r="E76" s="50">
        <f>Table27[[#This Row],[Duty
Cycle '[%']]]*Table26[[#This Row],[Margined
Power '[W']]]</f>
        <v>0</v>
      </c>
      <c r="G76" s="100">
        <v>0</v>
      </c>
      <c r="H76" s="49">
        <f>Table272[[#This Row],[Duty
Cycle '[%']]]*'Orbit Parameters'!$C$6</f>
        <v>0</v>
      </c>
      <c r="I76" s="50">
        <f>Table26[[#This Row],[Margined
Power '[W']]]*Table272[[#This Row],[Duty
Cycle '[%']]]</f>
        <v>0</v>
      </c>
      <c r="K76" s="101">
        <v>0</v>
      </c>
      <c r="L76" s="49">
        <f>Table2724[[#This Row],[Duty
Cycle '[%']]]*'Orbit Parameters'!$C$6</f>
        <v>0</v>
      </c>
      <c r="M76" s="50">
        <f>Table26[[#This Row],[Margined
Power '[W']]]*Table2724[[#This Row],[Duty
Cycle '[%']]]</f>
        <v>0</v>
      </c>
      <c r="O76" s="101">
        <v>0</v>
      </c>
      <c r="P76" s="49">
        <f>Table276[[#This Row],[Duty
Cycle '[%']]]*'Orbit Parameters'!$C$6</f>
        <v>0</v>
      </c>
      <c r="Q76" s="50">
        <f>Table276[[#This Row],[Duty
Cycle '[%']]]*Table26[[#This Row],[Margined
Power '[W']]]</f>
        <v>0</v>
      </c>
      <c r="S76" s="101">
        <v>0</v>
      </c>
      <c r="T76" s="49">
        <f>Table2728[[#This Row],[Duty
Cycle '[%']]]*'Orbit Parameters'!$C$6</f>
        <v>0</v>
      </c>
      <c r="U76" s="50">
        <f>Table26[[#This Row],[Margined
Power '[W']]]*Table2728[[#This Row],[Duty
Cycle '[%']]]</f>
        <v>0</v>
      </c>
      <c r="W76" s="48">
        <v>0</v>
      </c>
      <c r="X76" s="49">
        <f>Table272410[[#This Row],[Duty
Cycle '[%']]]*'Orbit Parameters'!$C$6</f>
        <v>0</v>
      </c>
      <c r="Y76" s="50">
        <f>Table26[[#This Row],[Margined
Power '[W']]]*Table272410[[#This Row],[Duty
Cycle '[%']]]</f>
        <v>0</v>
      </c>
    </row>
    <row r="77" spans="1:25" hidden="1" x14ac:dyDescent="0.25">
      <c r="A77" s="55" t="str">
        <f>'Power Consumption'!A69</f>
        <v>Consumer #65</v>
      </c>
      <c r="B77" s="49">
        <f>'Power Consumption'!N69</f>
        <v>0</v>
      </c>
      <c r="C77" s="48">
        <v>0</v>
      </c>
      <c r="D77" s="49">
        <f>Table27[[#This Row],[Duty
Cycle '[%']]]*'Orbit Parameters'!$C$6</f>
        <v>0</v>
      </c>
      <c r="E77" s="50">
        <f>Table27[[#This Row],[Duty
Cycle '[%']]]*Table26[[#This Row],[Margined
Power '[W']]]</f>
        <v>0</v>
      </c>
      <c r="G77" s="100">
        <v>0</v>
      </c>
      <c r="H77" s="49">
        <f>Table272[[#This Row],[Duty
Cycle '[%']]]*'Orbit Parameters'!$C$6</f>
        <v>0</v>
      </c>
      <c r="I77" s="50">
        <f>Table26[[#This Row],[Margined
Power '[W']]]*Table272[[#This Row],[Duty
Cycle '[%']]]</f>
        <v>0</v>
      </c>
      <c r="K77" s="101">
        <v>0</v>
      </c>
      <c r="L77" s="49">
        <f>Table2724[[#This Row],[Duty
Cycle '[%']]]*'Orbit Parameters'!$C$6</f>
        <v>0</v>
      </c>
      <c r="M77" s="50">
        <f>Table26[[#This Row],[Margined
Power '[W']]]*Table2724[[#This Row],[Duty
Cycle '[%']]]</f>
        <v>0</v>
      </c>
      <c r="O77" s="101">
        <v>0</v>
      </c>
      <c r="P77" s="49">
        <f>Table276[[#This Row],[Duty
Cycle '[%']]]*'Orbit Parameters'!$C$6</f>
        <v>0</v>
      </c>
      <c r="Q77" s="50">
        <f>Table276[[#This Row],[Duty
Cycle '[%']]]*Table26[[#This Row],[Margined
Power '[W']]]</f>
        <v>0</v>
      </c>
      <c r="S77" s="101">
        <v>0</v>
      </c>
      <c r="T77" s="49">
        <f>Table2728[[#This Row],[Duty
Cycle '[%']]]*'Orbit Parameters'!$C$6</f>
        <v>0</v>
      </c>
      <c r="U77" s="50">
        <f>Table26[[#This Row],[Margined
Power '[W']]]*Table2728[[#This Row],[Duty
Cycle '[%']]]</f>
        <v>0</v>
      </c>
      <c r="W77" s="48">
        <v>0</v>
      </c>
      <c r="X77" s="49">
        <f>Table272410[[#This Row],[Duty
Cycle '[%']]]*'Orbit Parameters'!$C$6</f>
        <v>0</v>
      </c>
      <c r="Y77" s="50">
        <f>Table26[[#This Row],[Margined
Power '[W']]]*Table272410[[#This Row],[Duty
Cycle '[%']]]</f>
        <v>0</v>
      </c>
    </row>
    <row r="78" spans="1:25" hidden="1" x14ac:dyDescent="0.25">
      <c r="A78" s="55" t="str">
        <f>'Power Consumption'!A70</f>
        <v>Consumer #66</v>
      </c>
      <c r="B78" s="49">
        <f>'Power Consumption'!N70</f>
        <v>0</v>
      </c>
      <c r="C78" s="48">
        <v>0</v>
      </c>
      <c r="D78" s="49">
        <f>Table27[[#This Row],[Duty
Cycle '[%']]]*'Orbit Parameters'!$C$6</f>
        <v>0</v>
      </c>
      <c r="E78" s="50">
        <f>Table27[[#This Row],[Duty
Cycle '[%']]]*Table26[[#This Row],[Margined
Power '[W']]]</f>
        <v>0</v>
      </c>
      <c r="G78" s="100">
        <v>0</v>
      </c>
      <c r="H78" s="49">
        <f>Table272[[#This Row],[Duty
Cycle '[%']]]*'Orbit Parameters'!$C$6</f>
        <v>0</v>
      </c>
      <c r="I78" s="50">
        <f>Table26[[#This Row],[Margined
Power '[W']]]*Table272[[#This Row],[Duty
Cycle '[%']]]</f>
        <v>0</v>
      </c>
      <c r="K78" s="101">
        <v>0</v>
      </c>
      <c r="L78" s="49">
        <f>Table2724[[#This Row],[Duty
Cycle '[%']]]*'Orbit Parameters'!$C$6</f>
        <v>0</v>
      </c>
      <c r="M78" s="50">
        <f>Table26[[#This Row],[Margined
Power '[W']]]*Table2724[[#This Row],[Duty
Cycle '[%']]]</f>
        <v>0</v>
      </c>
      <c r="O78" s="101">
        <v>0</v>
      </c>
      <c r="P78" s="49">
        <f>Table276[[#This Row],[Duty
Cycle '[%']]]*'Orbit Parameters'!$C$6</f>
        <v>0</v>
      </c>
      <c r="Q78" s="50">
        <f>Table276[[#This Row],[Duty
Cycle '[%']]]*Table26[[#This Row],[Margined
Power '[W']]]</f>
        <v>0</v>
      </c>
      <c r="S78" s="101">
        <v>0</v>
      </c>
      <c r="T78" s="49">
        <f>Table2728[[#This Row],[Duty
Cycle '[%']]]*'Orbit Parameters'!$C$6</f>
        <v>0</v>
      </c>
      <c r="U78" s="50">
        <f>Table26[[#This Row],[Margined
Power '[W']]]*Table2728[[#This Row],[Duty
Cycle '[%']]]</f>
        <v>0</v>
      </c>
      <c r="W78" s="48">
        <v>0</v>
      </c>
      <c r="X78" s="49">
        <f>Table272410[[#This Row],[Duty
Cycle '[%']]]*'Orbit Parameters'!$C$6</f>
        <v>0</v>
      </c>
      <c r="Y78" s="50">
        <f>Table26[[#This Row],[Margined
Power '[W']]]*Table272410[[#This Row],[Duty
Cycle '[%']]]</f>
        <v>0</v>
      </c>
    </row>
    <row r="79" spans="1:25" hidden="1" x14ac:dyDescent="0.25">
      <c r="A79" s="55" t="str">
        <f>'Power Consumption'!A71</f>
        <v>Consumer #67</v>
      </c>
      <c r="B79" s="49">
        <f>'Power Consumption'!N71</f>
        <v>0</v>
      </c>
      <c r="C79" s="48">
        <v>0</v>
      </c>
      <c r="D79" s="49">
        <f>Table27[[#This Row],[Duty
Cycle '[%']]]*'Orbit Parameters'!$C$6</f>
        <v>0</v>
      </c>
      <c r="E79" s="50">
        <f>Table27[[#This Row],[Duty
Cycle '[%']]]*Table26[[#This Row],[Margined
Power '[W']]]</f>
        <v>0</v>
      </c>
      <c r="G79" s="100">
        <v>0</v>
      </c>
      <c r="H79" s="49">
        <f>Table272[[#This Row],[Duty
Cycle '[%']]]*'Orbit Parameters'!$C$6</f>
        <v>0</v>
      </c>
      <c r="I79" s="50">
        <f>Table26[[#This Row],[Margined
Power '[W']]]*Table272[[#This Row],[Duty
Cycle '[%']]]</f>
        <v>0</v>
      </c>
      <c r="K79" s="101">
        <v>0</v>
      </c>
      <c r="L79" s="49">
        <f>Table2724[[#This Row],[Duty
Cycle '[%']]]*'Orbit Parameters'!$C$6</f>
        <v>0</v>
      </c>
      <c r="M79" s="50">
        <f>Table26[[#This Row],[Margined
Power '[W']]]*Table2724[[#This Row],[Duty
Cycle '[%']]]</f>
        <v>0</v>
      </c>
      <c r="O79" s="101">
        <v>0</v>
      </c>
      <c r="P79" s="49">
        <f>Table276[[#This Row],[Duty
Cycle '[%']]]*'Orbit Parameters'!$C$6</f>
        <v>0</v>
      </c>
      <c r="Q79" s="50">
        <f>Table276[[#This Row],[Duty
Cycle '[%']]]*Table26[[#This Row],[Margined
Power '[W']]]</f>
        <v>0</v>
      </c>
      <c r="S79" s="101">
        <v>0</v>
      </c>
      <c r="T79" s="49">
        <f>Table2728[[#This Row],[Duty
Cycle '[%']]]*'Orbit Parameters'!$C$6</f>
        <v>0</v>
      </c>
      <c r="U79" s="50">
        <f>Table26[[#This Row],[Margined
Power '[W']]]*Table2728[[#This Row],[Duty
Cycle '[%']]]</f>
        <v>0</v>
      </c>
      <c r="W79" s="48">
        <v>0</v>
      </c>
      <c r="X79" s="49">
        <f>Table272410[[#This Row],[Duty
Cycle '[%']]]*'Orbit Parameters'!$C$6</f>
        <v>0</v>
      </c>
      <c r="Y79" s="50">
        <f>Table26[[#This Row],[Margined
Power '[W']]]*Table272410[[#This Row],[Duty
Cycle '[%']]]</f>
        <v>0</v>
      </c>
    </row>
    <row r="80" spans="1:25" hidden="1" x14ac:dyDescent="0.25">
      <c r="A80" s="55" t="str">
        <f>'Power Consumption'!A72</f>
        <v>Consumer #68</v>
      </c>
      <c r="B80" s="49">
        <f>'Power Consumption'!N72</f>
        <v>0</v>
      </c>
      <c r="C80" s="48">
        <v>0</v>
      </c>
      <c r="D80" s="49">
        <f>Table27[[#This Row],[Duty
Cycle '[%']]]*'Orbit Parameters'!$C$6</f>
        <v>0</v>
      </c>
      <c r="E80" s="50">
        <f>Table27[[#This Row],[Duty
Cycle '[%']]]*Table26[[#This Row],[Margined
Power '[W']]]</f>
        <v>0</v>
      </c>
      <c r="G80" s="100">
        <v>0</v>
      </c>
      <c r="H80" s="49">
        <f>Table272[[#This Row],[Duty
Cycle '[%']]]*'Orbit Parameters'!$C$6</f>
        <v>0</v>
      </c>
      <c r="I80" s="50">
        <f>Table26[[#This Row],[Margined
Power '[W']]]*Table272[[#This Row],[Duty
Cycle '[%']]]</f>
        <v>0</v>
      </c>
      <c r="K80" s="101">
        <v>0</v>
      </c>
      <c r="L80" s="49">
        <f>Table2724[[#This Row],[Duty
Cycle '[%']]]*'Orbit Parameters'!$C$6</f>
        <v>0</v>
      </c>
      <c r="M80" s="50">
        <f>Table26[[#This Row],[Margined
Power '[W']]]*Table2724[[#This Row],[Duty
Cycle '[%']]]</f>
        <v>0</v>
      </c>
      <c r="O80" s="101">
        <v>0</v>
      </c>
      <c r="P80" s="49">
        <f>Table276[[#This Row],[Duty
Cycle '[%']]]*'Orbit Parameters'!$C$6</f>
        <v>0</v>
      </c>
      <c r="Q80" s="50">
        <f>Table276[[#This Row],[Duty
Cycle '[%']]]*Table26[[#This Row],[Margined
Power '[W']]]</f>
        <v>0</v>
      </c>
      <c r="S80" s="101">
        <v>0</v>
      </c>
      <c r="T80" s="49">
        <f>Table2728[[#This Row],[Duty
Cycle '[%']]]*'Orbit Parameters'!$C$6</f>
        <v>0</v>
      </c>
      <c r="U80" s="50">
        <f>Table26[[#This Row],[Margined
Power '[W']]]*Table2728[[#This Row],[Duty
Cycle '[%']]]</f>
        <v>0</v>
      </c>
      <c r="W80" s="48">
        <v>0</v>
      </c>
      <c r="X80" s="49">
        <f>Table272410[[#This Row],[Duty
Cycle '[%']]]*'Orbit Parameters'!$C$6</f>
        <v>0</v>
      </c>
      <c r="Y80" s="50">
        <f>Table26[[#This Row],[Margined
Power '[W']]]*Table272410[[#This Row],[Duty
Cycle '[%']]]</f>
        <v>0</v>
      </c>
    </row>
    <row r="81" spans="1:25" hidden="1" x14ac:dyDescent="0.25">
      <c r="A81" s="55" t="str">
        <f>'Power Consumption'!A73</f>
        <v>Consumer #69</v>
      </c>
      <c r="B81" s="49">
        <f>'Power Consumption'!N73</f>
        <v>0</v>
      </c>
      <c r="C81" s="48">
        <v>0</v>
      </c>
      <c r="D81" s="49">
        <f>Table27[[#This Row],[Duty
Cycle '[%']]]*'Orbit Parameters'!$C$6</f>
        <v>0</v>
      </c>
      <c r="E81" s="50">
        <f>Table27[[#This Row],[Duty
Cycle '[%']]]*Table26[[#This Row],[Margined
Power '[W']]]</f>
        <v>0</v>
      </c>
      <c r="G81" s="100">
        <v>0</v>
      </c>
      <c r="H81" s="49">
        <f>Table272[[#This Row],[Duty
Cycle '[%']]]*'Orbit Parameters'!$C$6</f>
        <v>0</v>
      </c>
      <c r="I81" s="50">
        <f>Table26[[#This Row],[Margined
Power '[W']]]*Table272[[#This Row],[Duty
Cycle '[%']]]</f>
        <v>0</v>
      </c>
      <c r="K81" s="101">
        <v>0</v>
      </c>
      <c r="L81" s="49">
        <f>Table2724[[#This Row],[Duty
Cycle '[%']]]*'Orbit Parameters'!$C$6</f>
        <v>0</v>
      </c>
      <c r="M81" s="50">
        <f>Table26[[#This Row],[Margined
Power '[W']]]*Table2724[[#This Row],[Duty
Cycle '[%']]]</f>
        <v>0</v>
      </c>
      <c r="O81" s="101">
        <v>0</v>
      </c>
      <c r="P81" s="49">
        <f>Table276[[#This Row],[Duty
Cycle '[%']]]*'Orbit Parameters'!$C$6</f>
        <v>0</v>
      </c>
      <c r="Q81" s="50">
        <f>Table276[[#This Row],[Duty
Cycle '[%']]]*Table26[[#This Row],[Margined
Power '[W']]]</f>
        <v>0</v>
      </c>
      <c r="S81" s="101">
        <v>0</v>
      </c>
      <c r="T81" s="49">
        <f>Table2728[[#This Row],[Duty
Cycle '[%']]]*'Orbit Parameters'!$C$6</f>
        <v>0</v>
      </c>
      <c r="U81" s="50">
        <f>Table26[[#This Row],[Margined
Power '[W']]]*Table2728[[#This Row],[Duty
Cycle '[%']]]</f>
        <v>0</v>
      </c>
      <c r="W81" s="48">
        <v>0</v>
      </c>
      <c r="X81" s="49">
        <f>Table272410[[#This Row],[Duty
Cycle '[%']]]*'Orbit Parameters'!$C$6</f>
        <v>0</v>
      </c>
      <c r="Y81" s="50">
        <f>Table26[[#This Row],[Margined
Power '[W']]]*Table272410[[#This Row],[Duty
Cycle '[%']]]</f>
        <v>0</v>
      </c>
    </row>
    <row r="82" spans="1:25" hidden="1" x14ac:dyDescent="0.25">
      <c r="A82" s="55" t="str">
        <f>'Power Consumption'!A74</f>
        <v>Consumer #70</v>
      </c>
      <c r="B82" s="49">
        <f>'Power Consumption'!N74</f>
        <v>0</v>
      </c>
      <c r="C82" s="48">
        <v>0</v>
      </c>
      <c r="D82" s="49">
        <f>Table27[[#This Row],[Duty
Cycle '[%']]]*'Orbit Parameters'!$C$6</f>
        <v>0</v>
      </c>
      <c r="E82" s="50">
        <f>Table27[[#This Row],[Duty
Cycle '[%']]]*Table26[[#This Row],[Margined
Power '[W']]]</f>
        <v>0</v>
      </c>
      <c r="G82" s="100">
        <v>0</v>
      </c>
      <c r="H82" s="49">
        <f>Table272[[#This Row],[Duty
Cycle '[%']]]*'Orbit Parameters'!$C$6</f>
        <v>0</v>
      </c>
      <c r="I82" s="50">
        <f>Table26[[#This Row],[Margined
Power '[W']]]*Table272[[#This Row],[Duty
Cycle '[%']]]</f>
        <v>0</v>
      </c>
      <c r="K82" s="101">
        <v>0</v>
      </c>
      <c r="L82" s="49">
        <f>Table2724[[#This Row],[Duty
Cycle '[%']]]*'Orbit Parameters'!$C$6</f>
        <v>0</v>
      </c>
      <c r="M82" s="50">
        <f>Table26[[#This Row],[Margined
Power '[W']]]*Table2724[[#This Row],[Duty
Cycle '[%']]]</f>
        <v>0</v>
      </c>
      <c r="O82" s="101">
        <v>0</v>
      </c>
      <c r="P82" s="49">
        <f>Table276[[#This Row],[Duty
Cycle '[%']]]*'Orbit Parameters'!$C$6</f>
        <v>0</v>
      </c>
      <c r="Q82" s="50">
        <f>Table276[[#This Row],[Duty
Cycle '[%']]]*Table26[[#This Row],[Margined
Power '[W']]]</f>
        <v>0</v>
      </c>
      <c r="S82" s="101">
        <v>0</v>
      </c>
      <c r="T82" s="49">
        <f>Table2728[[#This Row],[Duty
Cycle '[%']]]*'Orbit Parameters'!$C$6</f>
        <v>0</v>
      </c>
      <c r="U82" s="50">
        <f>Table26[[#This Row],[Margined
Power '[W']]]*Table2728[[#This Row],[Duty
Cycle '[%']]]</f>
        <v>0</v>
      </c>
      <c r="W82" s="48">
        <v>0</v>
      </c>
      <c r="X82" s="49">
        <f>Table272410[[#This Row],[Duty
Cycle '[%']]]*'Orbit Parameters'!$C$6</f>
        <v>0</v>
      </c>
      <c r="Y82" s="50">
        <f>Table26[[#This Row],[Margined
Power '[W']]]*Table272410[[#This Row],[Duty
Cycle '[%']]]</f>
        <v>0</v>
      </c>
    </row>
    <row r="83" spans="1:25" hidden="1" x14ac:dyDescent="0.25">
      <c r="A83" s="55" t="str">
        <f>'Power Consumption'!A75</f>
        <v>Consumer #71</v>
      </c>
      <c r="B83" s="49">
        <f>'Power Consumption'!N75</f>
        <v>0</v>
      </c>
      <c r="C83" s="48">
        <v>0</v>
      </c>
      <c r="D83" s="49">
        <f>Table27[[#This Row],[Duty
Cycle '[%']]]*'Orbit Parameters'!$C$6</f>
        <v>0</v>
      </c>
      <c r="E83" s="50">
        <f>Table27[[#This Row],[Duty
Cycle '[%']]]*Table26[[#This Row],[Margined
Power '[W']]]</f>
        <v>0</v>
      </c>
      <c r="G83" s="100">
        <v>0</v>
      </c>
      <c r="H83" s="49">
        <f>Table272[[#This Row],[Duty
Cycle '[%']]]*'Orbit Parameters'!$C$6</f>
        <v>0</v>
      </c>
      <c r="I83" s="50">
        <f>Table26[[#This Row],[Margined
Power '[W']]]*Table272[[#This Row],[Duty
Cycle '[%']]]</f>
        <v>0</v>
      </c>
      <c r="K83" s="101">
        <v>0</v>
      </c>
      <c r="L83" s="49">
        <f>Table2724[[#This Row],[Duty
Cycle '[%']]]*'Orbit Parameters'!$C$6</f>
        <v>0</v>
      </c>
      <c r="M83" s="50">
        <f>Table26[[#This Row],[Margined
Power '[W']]]*Table2724[[#This Row],[Duty
Cycle '[%']]]</f>
        <v>0</v>
      </c>
      <c r="O83" s="101">
        <v>0</v>
      </c>
      <c r="P83" s="49">
        <f>Table276[[#This Row],[Duty
Cycle '[%']]]*'Orbit Parameters'!$C$6</f>
        <v>0</v>
      </c>
      <c r="Q83" s="50">
        <f>Table276[[#This Row],[Duty
Cycle '[%']]]*Table26[[#This Row],[Margined
Power '[W']]]</f>
        <v>0</v>
      </c>
      <c r="S83" s="101">
        <v>0</v>
      </c>
      <c r="T83" s="49">
        <f>Table2728[[#This Row],[Duty
Cycle '[%']]]*'Orbit Parameters'!$C$6</f>
        <v>0</v>
      </c>
      <c r="U83" s="50">
        <f>Table26[[#This Row],[Margined
Power '[W']]]*Table2728[[#This Row],[Duty
Cycle '[%']]]</f>
        <v>0</v>
      </c>
      <c r="W83" s="48">
        <v>0</v>
      </c>
      <c r="X83" s="49">
        <f>Table272410[[#This Row],[Duty
Cycle '[%']]]*'Orbit Parameters'!$C$6</f>
        <v>0</v>
      </c>
      <c r="Y83" s="50">
        <f>Table26[[#This Row],[Margined
Power '[W']]]*Table272410[[#This Row],[Duty
Cycle '[%']]]</f>
        <v>0</v>
      </c>
    </row>
    <row r="84" spans="1:25" hidden="1" x14ac:dyDescent="0.25">
      <c r="A84" s="55" t="str">
        <f>'Power Consumption'!A76</f>
        <v>Consumer #72</v>
      </c>
      <c r="B84" s="49">
        <f>'Power Consumption'!N76</f>
        <v>0</v>
      </c>
      <c r="C84" s="48">
        <v>0</v>
      </c>
      <c r="D84" s="49">
        <f>Table27[[#This Row],[Duty
Cycle '[%']]]*'Orbit Parameters'!$C$6</f>
        <v>0</v>
      </c>
      <c r="E84" s="50">
        <f>Table27[[#This Row],[Duty
Cycle '[%']]]*Table26[[#This Row],[Margined
Power '[W']]]</f>
        <v>0</v>
      </c>
      <c r="G84" s="100">
        <v>0</v>
      </c>
      <c r="H84" s="49">
        <f>Table272[[#This Row],[Duty
Cycle '[%']]]*'Orbit Parameters'!$C$6</f>
        <v>0</v>
      </c>
      <c r="I84" s="50">
        <f>Table26[[#This Row],[Margined
Power '[W']]]*Table272[[#This Row],[Duty
Cycle '[%']]]</f>
        <v>0</v>
      </c>
      <c r="K84" s="101">
        <v>0</v>
      </c>
      <c r="L84" s="49">
        <f>Table2724[[#This Row],[Duty
Cycle '[%']]]*'Orbit Parameters'!$C$6</f>
        <v>0</v>
      </c>
      <c r="M84" s="50">
        <f>Table26[[#This Row],[Margined
Power '[W']]]*Table2724[[#This Row],[Duty
Cycle '[%']]]</f>
        <v>0</v>
      </c>
      <c r="O84" s="101">
        <v>0</v>
      </c>
      <c r="P84" s="49">
        <f>Table276[[#This Row],[Duty
Cycle '[%']]]*'Orbit Parameters'!$C$6</f>
        <v>0</v>
      </c>
      <c r="Q84" s="50">
        <f>Table276[[#This Row],[Duty
Cycle '[%']]]*Table26[[#This Row],[Margined
Power '[W']]]</f>
        <v>0</v>
      </c>
      <c r="S84" s="101">
        <v>0</v>
      </c>
      <c r="T84" s="49">
        <f>Table2728[[#This Row],[Duty
Cycle '[%']]]*'Orbit Parameters'!$C$6</f>
        <v>0</v>
      </c>
      <c r="U84" s="50">
        <f>Table26[[#This Row],[Margined
Power '[W']]]*Table2728[[#This Row],[Duty
Cycle '[%']]]</f>
        <v>0</v>
      </c>
      <c r="W84" s="48">
        <v>0</v>
      </c>
      <c r="X84" s="49">
        <f>Table272410[[#This Row],[Duty
Cycle '[%']]]*'Orbit Parameters'!$C$6</f>
        <v>0</v>
      </c>
      <c r="Y84" s="50">
        <f>Table26[[#This Row],[Margined
Power '[W']]]*Table272410[[#This Row],[Duty
Cycle '[%']]]</f>
        <v>0</v>
      </c>
    </row>
    <row r="85" spans="1:25" hidden="1" x14ac:dyDescent="0.25">
      <c r="A85" s="55" t="str">
        <f>'Power Consumption'!A77</f>
        <v>Consumer #73</v>
      </c>
      <c r="B85" s="49">
        <f>'Power Consumption'!N77</f>
        <v>0</v>
      </c>
      <c r="C85" s="48">
        <v>0</v>
      </c>
      <c r="D85" s="49">
        <f>Table27[[#This Row],[Duty
Cycle '[%']]]*'Orbit Parameters'!$C$6</f>
        <v>0</v>
      </c>
      <c r="E85" s="50">
        <f>Table27[[#This Row],[Duty
Cycle '[%']]]*Table26[[#This Row],[Margined
Power '[W']]]</f>
        <v>0</v>
      </c>
      <c r="G85" s="100">
        <v>0</v>
      </c>
      <c r="H85" s="49">
        <f>Table272[[#This Row],[Duty
Cycle '[%']]]*'Orbit Parameters'!$C$6</f>
        <v>0</v>
      </c>
      <c r="I85" s="50">
        <f>Table26[[#This Row],[Margined
Power '[W']]]*Table272[[#This Row],[Duty
Cycle '[%']]]</f>
        <v>0</v>
      </c>
      <c r="K85" s="101">
        <v>0</v>
      </c>
      <c r="L85" s="49">
        <f>Table2724[[#This Row],[Duty
Cycle '[%']]]*'Orbit Parameters'!$C$6</f>
        <v>0</v>
      </c>
      <c r="M85" s="50">
        <f>Table26[[#This Row],[Margined
Power '[W']]]*Table2724[[#This Row],[Duty
Cycle '[%']]]</f>
        <v>0</v>
      </c>
      <c r="O85" s="101">
        <v>0</v>
      </c>
      <c r="P85" s="49">
        <f>Table276[[#This Row],[Duty
Cycle '[%']]]*'Orbit Parameters'!$C$6</f>
        <v>0</v>
      </c>
      <c r="Q85" s="50">
        <f>Table276[[#This Row],[Duty
Cycle '[%']]]*Table26[[#This Row],[Margined
Power '[W']]]</f>
        <v>0</v>
      </c>
      <c r="S85" s="101">
        <v>0</v>
      </c>
      <c r="T85" s="49">
        <f>Table2728[[#This Row],[Duty
Cycle '[%']]]*'Orbit Parameters'!$C$6</f>
        <v>0</v>
      </c>
      <c r="U85" s="50">
        <f>Table26[[#This Row],[Margined
Power '[W']]]*Table2728[[#This Row],[Duty
Cycle '[%']]]</f>
        <v>0</v>
      </c>
      <c r="W85" s="48">
        <v>0</v>
      </c>
      <c r="X85" s="49">
        <f>Table272410[[#This Row],[Duty
Cycle '[%']]]*'Orbit Parameters'!$C$6</f>
        <v>0</v>
      </c>
      <c r="Y85" s="50">
        <f>Table26[[#This Row],[Margined
Power '[W']]]*Table272410[[#This Row],[Duty
Cycle '[%']]]</f>
        <v>0</v>
      </c>
    </row>
    <row r="86" spans="1:25" hidden="1" x14ac:dyDescent="0.25">
      <c r="A86" s="55" t="str">
        <f>'Power Consumption'!A78</f>
        <v>Consumer #74</v>
      </c>
      <c r="B86" s="49">
        <f>'Power Consumption'!N78</f>
        <v>0</v>
      </c>
      <c r="C86" s="48">
        <v>0</v>
      </c>
      <c r="D86" s="49">
        <f>Table27[[#This Row],[Duty
Cycle '[%']]]*'Orbit Parameters'!$C$6</f>
        <v>0</v>
      </c>
      <c r="E86" s="50">
        <f>Table27[[#This Row],[Duty
Cycle '[%']]]*Table26[[#This Row],[Margined
Power '[W']]]</f>
        <v>0</v>
      </c>
      <c r="G86" s="100">
        <v>0</v>
      </c>
      <c r="H86" s="49">
        <f>Table272[[#This Row],[Duty
Cycle '[%']]]*'Orbit Parameters'!$C$6</f>
        <v>0</v>
      </c>
      <c r="I86" s="50">
        <f>Table26[[#This Row],[Margined
Power '[W']]]*Table272[[#This Row],[Duty
Cycle '[%']]]</f>
        <v>0</v>
      </c>
      <c r="K86" s="101">
        <v>0</v>
      </c>
      <c r="L86" s="49">
        <f>Table2724[[#This Row],[Duty
Cycle '[%']]]*'Orbit Parameters'!$C$6</f>
        <v>0</v>
      </c>
      <c r="M86" s="50">
        <f>Table26[[#This Row],[Margined
Power '[W']]]*Table2724[[#This Row],[Duty
Cycle '[%']]]</f>
        <v>0</v>
      </c>
      <c r="O86" s="101">
        <v>0</v>
      </c>
      <c r="P86" s="49">
        <f>Table276[[#This Row],[Duty
Cycle '[%']]]*'Orbit Parameters'!$C$6</f>
        <v>0</v>
      </c>
      <c r="Q86" s="50">
        <f>Table276[[#This Row],[Duty
Cycle '[%']]]*Table26[[#This Row],[Margined
Power '[W']]]</f>
        <v>0</v>
      </c>
      <c r="S86" s="101">
        <v>0</v>
      </c>
      <c r="T86" s="49">
        <f>Table2728[[#This Row],[Duty
Cycle '[%']]]*'Orbit Parameters'!$C$6</f>
        <v>0</v>
      </c>
      <c r="U86" s="50">
        <f>Table26[[#This Row],[Margined
Power '[W']]]*Table2728[[#This Row],[Duty
Cycle '[%']]]</f>
        <v>0</v>
      </c>
      <c r="W86" s="48">
        <v>0</v>
      </c>
      <c r="X86" s="49">
        <f>Table272410[[#This Row],[Duty
Cycle '[%']]]*'Orbit Parameters'!$C$6</f>
        <v>0</v>
      </c>
      <c r="Y86" s="50">
        <f>Table26[[#This Row],[Margined
Power '[W']]]*Table272410[[#This Row],[Duty
Cycle '[%']]]</f>
        <v>0</v>
      </c>
    </row>
    <row r="87" spans="1:25" hidden="1" x14ac:dyDescent="0.25">
      <c r="A87" s="55" t="str">
        <f>'Power Consumption'!A79</f>
        <v>Consumer #75</v>
      </c>
      <c r="B87" s="49">
        <f>'Power Consumption'!N79</f>
        <v>0</v>
      </c>
      <c r="C87" s="48">
        <v>0</v>
      </c>
      <c r="D87" s="49">
        <f>Table27[[#This Row],[Duty
Cycle '[%']]]*'Orbit Parameters'!$C$6</f>
        <v>0</v>
      </c>
      <c r="E87" s="50">
        <f>Table27[[#This Row],[Duty
Cycle '[%']]]*Table26[[#This Row],[Margined
Power '[W']]]</f>
        <v>0</v>
      </c>
      <c r="G87" s="100">
        <v>0</v>
      </c>
      <c r="H87" s="49">
        <f>Table272[[#This Row],[Duty
Cycle '[%']]]*'Orbit Parameters'!$C$6</f>
        <v>0</v>
      </c>
      <c r="I87" s="50">
        <f>Table26[[#This Row],[Margined
Power '[W']]]*Table272[[#This Row],[Duty
Cycle '[%']]]</f>
        <v>0</v>
      </c>
      <c r="K87" s="101">
        <v>0</v>
      </c>
      <c r="L87" s="49">
        <f>Table2724[[#This Row],[Duty
Cycle '[%']]]*'Orbit Parameters'!$C$6</f>
        <v>0</v>
      </c>
      <c r="M87" s="50">
        <f>Table26[[#This Row],[Margined
Power '[W']]]*Table2724[[#This Row],[Duty
Cycle '[%']]]</f>
        <v>0</v>
      </c>
      <c r="O87" s="101">
        <v>0</v>
      </c>
      <c r="P87" s="49">
        <f>Table276[[#This Row],[Duty
Cycle '[%']]]*'Orbit Parameters'!$C$6</f>
        <v>0</v>
      </c>
      <c r="Q87" s="50">
        <f>Table276[[#This Row],[Duty
Cycle '[%']]]*Table26[[#This Row],[Margined
Power '[W']]]</f>
        <v>0</v>
      </c>
      <c r="S87" s="101">
        <v>0</v>
      </c>
      <c r="T87" s="49">
        <f>Table2728[[#This Row],[Duty
Cycle '[%']]]*'Orbit Parameters'!$C$6</f>
        <v>0</v>
      </c>
      <c r="U87" s="50">
        <f>Table26[[#This Row],[Margined
Power '[W']]]*Table2728[[#This Row],[Duty
Cycle '[%']]]</f>
        <v>0</v>
      </c>
      <c r="W87" s="48">
        <v>0</v>
      </c>
      <c r="X87" s="49">
        <f>Table272410[[#This Row],[Duty
Cycle '[%']]]*'Orbit Parameters'!$C$6</f>
        <v>0</v>
      </c>
      <c r="Y87" s="50">
        <f>Table26[[#This Row],[Margined
Power '[W']]]*Table272410[[#This Row],[Duty
Cycle '[%']]]</f>
        <v>0</v>
      </c>
    </row>
    <row r="88" spans="1:25" hidden="1" x14ac:dyDescent="0.25">
      <c r="A88" s="55" t="str">
        <f>'Power Consumption'!A80</f>
        <v>Consumer #76</v>
      </c>
      <c r="B88" s="49">
        <f>'Power Consumption'!N80</f>
        <v>0</v>
      </c>
      <c r="C88" s="48">
        <v>0</v>
      </c>
      <c r="D88" s="49">
        <f>Table27[[#This Row],[Duty
Cycle '[%']]]*'Orbit Parameters'!$C$6</f>
        <v>0</v>
      </c>
      <c r="E88" s="50">
        <f>Table27[[#This Row],[Duty
Cycle '[%']]]*Table26[[#This Row],[Margined
Power '[W']]]</f>
        <v>0</v>
      </c>
      <c r="G88" s="100">
        <v>0</v>
      </c>
      <c r="H88" s="49">
        <f>Table272[[#This Row],[Duty
Cycle '[%']]]*'Orbit Parameters'!$C$6</f>
        <v>0</v>
      </c>
      <c r="I88" s="50">
        <f>Table26[[#This Row],[Margined
Power '[W']]]*Table272[[#This Row],[Duty
Cycle '[%']]]</f>
        <v>0</v>
      </c>
      <c r="K88" s="101">
        <v>0</v>
      </c>
      <c r="L88" s="49">
        <f>Table2724[[#This Row],[Duty
Cycle '[%']]]*'Orbit Parameters'!$C$6</f>
        <v>0</v>
      </c>
      <c r="M88" s="50">
        <f>Table26[[#This Row],[Margined
Power '[W']]]*Table2724[[#This Row],[Duty
Cycle '[%']]]</f>
        <v>0</v>
      </c>
      <c r="O88" s="101">
        <v>0</v>
      </c>
      <c r="P88" s="49">
        <f>Table276[[#This Row],[Duty
Cycle '[%']]]*'Orbit Parameters'!$C$6</f>
        <v>0</v>
      </c>
      <c r="Q88" s="50">
        <f>Table276[[#This Row],[Duty
Cycle '[%']]]*Table26[[#This Row],[Margined
Power '[W']]]</f>
        <v>0</v>
      </c>
      <c r="S88" s="101">
        <v>0</v>
      </c>
      <c r="T88" s="49">
        <f>Table2728[[#This Row],[Duty
Cycle '[%']]]*'Orbit Parameters'!$C$6</f>
        <v>0</v>
      </c>
      <c r="U88" s="50">
        <f>Table26[[#This Row],[Margined
Power '[W']]]*Table2728[[#This Row],[Duty
Cycle '[%']]]</f>
        <v>0</v>
      </c>
      <c r="W88" s="48">
        <v>0</v>
      </c>
      <c r="X88" s="49">
        <f>Table272410[[#This Row],[Duty
Cycle '[%']]]*'Orbit Parameters'!$C$6</f>
        <v>0</v>
      </c>
      <c r="Y88" s="50">
        <f>Table26[[#This Row],[Margined
Power '[W']]]*Table272410[[#This Row],[Duty
Cycle '[%']]]</f>
        <v>0</v>
      </c>
    </row>
    <row r="89" spans="1:25" hidden="1" x14ac:dyDescent="0.25">
      <c r="A89" s="55" t="str">
        <f>'Power Consumption'!A81</f>
        <v>Consumer #77</v>
      </c>
      <c r="B89" s="49">
        <f>'Power Consumption'!N81</f>
        <v>0</v>
      </c>
      <c r="C89" s="48">
        <v>0</v>
      </c>
      <c r="D89" s="49">
        <f>Table27[[#This Row],[Duty
Cycle '[%']]]*'Orbit Parameters'!$C$6</f>
        <v>0</v>
      </c>
      <c r="E89" s="50">
        <f>Table27[[#This Row],[Duty
Cycle '[%']]]*Table26[[#This Row],[Margined
Power '[W']]]</f>
        <v>0</v>
      </c>
      <c r="G89" s="100">
        <v>0</v>
      </c>
      <c r="H89" s="49">
        <f>Table272[[#This Row],[Duty
Cycle '[%']]]*'Orbit Parameters'!$C$6</f>
        <v>0</v>
      </c>
      <c r="I89" s="50">
        <f>Table26[[#This Row],[Margined
Power '[W']]]*Table272[[#This Row],[Duty
Cycle '[%']]]</f>
        <v>0</v>
      </c>
      <c r="K89" s="101">
        <v>0</v>
      </c>
      <c r="L89" s="49">
        <f>Table2724[[#This Row],[Duty
Cycle '[%']]]*'Orbit Parameters'!$C$6</f>
        <v>0</v>
      </c>
      <c r="M89" s="50">
        <f>Table26[[#This Row],[Margined
Power '[W']]]*Table2724[[#This Row],[Duty
Cycle '[%']]]</f>
        <v>0</v>
      </c>
      <c r="O89" s="101">
        <v>0</v>
      </c>
      <c r="P89" s="49">
        <f>Table276[[#This Row],[Duty
Cycle '[%']]]*'Orbit Parameters'!$C$6</f>
        <v>0</v>
      </c>
      <c r="Q89" s="50">
        <f>Table276[[#This Row],[Duty
Cycle '[%']]]*Table26[[#This Row],[Margined
Power '[W']]]</f>
        <v>0</v>
      </c>
      <c r="S89" s="101">
        <v>0</v>
      </c>
      <c r="T89" s="49">
        <f>Table2728[[#This Row],[Duty
Cycle '[%']]]*'Orbit Parameters'!$C$6</f>
        <v>0</v>
      </c>
      <c r="U89" s="50">
        <f>Table26[[#This Row],[Margined
Power '[W']]]*Table2728[[#This Row],[Duty
Cycle '[%']]]</f>
        <v>0</v>
      </c>
      <c r="W89" s="48">
        <v>0</v>
      </c>
      <c r="X89" s="49">
        <f>Table272410[[#This Row],[Duty
Cycle '[%']]]*'Orbit Parameters'!$C$6</f>
        <v>0</v>
      </c>
      <c r="Y89" s="50">
        <f>Table26[[#This Row],[Margined
Power '[W']]]*Table272410[[#This Row],[Duty
Cycle '[%']]]</f>
        <v>0</v>
      </c>
    </row>
    <row r="90" spans="1:25" hidden="1" x14ac:dyDescent="0.25">
      <c r="A90" s="55" t="str">
        <f>'Power Consumption'!A82</f>
        <v>Consumer #78</v>
      </c>
      <c r="B90" s="49">
        <f>'Power Consumption'!N82</f>
        <v>0</v>
      </c>
      <c r="C90" s="48">
        <v>0</v>
      </c>
      <c r="D90" s="49">
        <f>Table27[[#This Row],[Duty
Cycle '[%']]]*'Orbit Parameters'!$C$6</f>
        <v>0</v>
      </c>
      <c r="E90" s="50">
        <f>Table27[[#This Row],[Duty
Cycle '[%']]]*Table26[[#This Row],[Margined
Power '[W']]]</f>
        <v>0</v>
      </c>
      <c r="G90" s="100">
        <v>0</v>
      </c>
      <c r="H90" s="49">
        <f>Table272[[#This Row],[Duty
Cycle '[%']]]*'Orbit Parameters'!$C$6</f>
        <v>0</v>
      </c>
      <c r="I90" s="50">
        <f>Table26[[#This Row],[Margined
Power '[W']]]*Table272[[#This Row],[Duty
Cycle '[%']]]</f>
        <v>0</v>
      </c>
      <c r="K90" s="101">
        <v>0</v>
      </c>
      <c r="L90" s="49">
        <f>Table2724[[#This Row],[Duty
Cycle '[%']]]*'Orbit Parameters'!$C$6</f>
        <v>0</v>
      </c>
      <c r="M90" s="50">
        <f>Table26[[#This Row],[Margined
Power '[W']]]*Table2724[[#This Row],[Duty
Cycle '[%']]]</f>
        <v>0</v>
      </c>
      <c r="O90" s="101">
        <v>0</v>
      </c>
      <c r="P90" s="49">
        <f>Table276[[#This Row],[Duty
Cycle '[%']]]*'Orbit Parameters'!$C$6</f>
        <v>0</v>
      </c>
      <c r="Q90" s="50">
        <f>Table276[[#This Row],[Duty
Cycle '[%']]]*Table26[[#This Row],[Margined
Power '[W']]]</f>
        <v>0</v>
      </c>
      <c r="S90" s="101">
        <v>0</v>
      </c>
      <c r="T90" s="49">
        <f>Table2728[[#This Row],[Duty
Cycle '[%']]]*'Orbit Parameters'!$C$6</f>
        <v>0</v>
      </c>
      <c r="U90" s="50">
        <f>Table26[[#This Row],[Margined
Power '[W']]]*Table2728[[#This Row],[Duty
Cycle '[%']]]</f>
        <v>0</v>
      </c>
      <c r="W90" s="48">
        <v>0</v>
      </c>
      <c r="X90" s="49">
        <f>Table272410[[#This Row],[Duty
Cycle '[%']]]*'Orbit Parameters'!$C$6</f>
        <v>0</v>
      </c>
      <c r="Y90" s="50">
        <f>Table26[[#This Row],[Margined
Power '[W']]]*Table272410[[#This Row],[Duty
Cycle '[%']]]</f>
        <v>0</v>
      </c>
    </row>
    <row r="91" spans="1:25" hidden="1" x14ac:dyDescent="0.25">
      <c r="A91" s="55" t="str">
        <f>'Power Consumption'!A83</f>
        <v>Consumer #79</v>
      </c>
      <c r="B91" s="49">
        <f>'Power Consumption'!N83</f>
        <v>0</v>
      </c>
      <c r="C91" s="48">
        <v>0</v>
      </c>
      <c r="D91" s="49">
        <f>Table27[[#This Row],[Duty
Cycle '[%']]]*'Orbit Parameters'!$C$6</f>
        <v>0</v>
      </c>
      <c r="E91" s="50">
        <f>Table27[[#This Row],[Duty
Cycle '[%']]]*Table26[[#This Row],[Margined
Power '[W']]]</f>
        <v>0</v>
      </c>
      <c r="G91" s="100">
        <v>0</v>
      </c>
      <c r="H91" s="49">
        <f>Table272[[#This Row],[Duty
Cycle '[%']]]*'Orbit Parameters'!$C$6</f>
        <v>0</v>
      </c>
      <c r="I91" s="50">
        <f>Table26[[#This Row],[Margined
Power '[W']]]*Table272[[#This Row],[Duty
Cycle '[%']]]</f>
        <v>0</v>
      </c>
      <c r="K91" s="101">
        <v>0</v>
      </c>
      <c r="L91" s="49">
        <f>Table2724[[#This Row],[Duty
Cycle '[%']]]*'Orbit Parameters'!$C$6</f>
        <v>0</v>
      </c>
      <c r="M91" s="50">
        <f>Table26[[#This Row],[Margined
Power '[W']]]*Table2724[[#This Row],[Duty
Cycle '[%']]]</f>
        <v>0</v>
      </c>
      <c r="O91" s="101">
        <v>0</v>
      </c>
      <c r="P91" s="49">
        <f>Table276[[#This Row],[Duty
Cycle '[%']]]*'Orbit Parameters'!$C$6</f>
        <v>0</v>
      </c>
      <c r="Q91" s="50">
        <f>Table276[[#This Row],[Duty
Cycle '[%']]]*Table26[[#This Row],[Margined
Power '[W']]]</f>
        <v>0</v>
      </c>
      <c r="S91" s="101">
        <v>0</v>
      </c>
      <c r="T91" s="49">
        <f>Table2728[[#This Row],[Duty
Cycle '[%']]]*'Orbit Parameters'!$C$6</f>
        <v>0</v>
      </c>
      <c r="U91" s="50">
        <f>Table26[[#This Row],[Margined
Power '[W']]]*Table2728[[#This Row],[Duty
Cycle '[%']]]</f>
        <v>0</v>
      </c>
      <c r="W91" s="48">
        <v>0</v>
      </c>
      <c r="X91" s="49">
        <f>Table272410[[#This Row],[Duty
Cycle '[%']]]*'Orbit Parameters'!$C$6</f>
        <v>0</v>
      </c>
      <c r="Y91" s="50">
        <f>Table26[[#This Row],[Margined
Power '[W']]]*Table272410[[#This Row],[Duty
Cycle '[%']]]</f>
        <v>0</v>
      </c>
    </row>
    <row r="92" spans="1:25" hidden="1" x14ac:dyDescent="0.25">
      <c r="A92" s="55" t="str">
        <f>'Power Consumption'!A84</f>
        <v>Consumer #80</v>
      </c>
      <c r="B92" s="49">
        <f>'Power Consumption'!N84</f>
        <v>0</v>
      </c>
      <c r="C92" s="48">
        <v>0</v>
      </c>
      <c r="D92" s="49">
        <f>Table27[[#This Row],[Duty
Cycle '[%']]]*'Orbit Parameters'!$C$6</f>
        <v>0</v>
      </c>
      <c r="E92" s="50">
        <f>Table27[[#This Row],[Duty
Cycle '[%']]]*Table26[[#This Row],[Margined
Power '[W']]]</f>
        <v>0</v>
      </c>
      <c r="G92" s="100">
        <v>0</v>
      </c>
      <c r="H92" s="49">
        <f>Table272[[#This Row],[Duty
Cycle '[%']]]*'Orbit Parameters'!$C$6</f>
        <v>0</v>
      </c>
      <c r="I92" s="50">
        <f>Table26[[#This Row],[Margined
Power '[W']]]*Table272[[#This Row],[Duty
Cycle '[%']]]</f>
        <v>0</v>
      </c>
      <c r="K92" s="101">
        <v>0</v>
      </c>
      <c r="L92" s="49">
        <f>Table2724[[#This Row],[Duty
Cycle '[%']]]*'Orbit Parameters'!$C$6</f>
        <v>0</v>
      </c>
      <c r="M92" s="50">
        <f>Table26[[#This Row],[Margined
Power '[W']]]*Table2724[[#This Row],[Duty
Cycle '[%']]]</f>
        <v>0</v>
      </c>
      <c r="O92" s="101">
        <v>0</v>
      </c>
      <c r="P92" s="49">
        <f>Table276[[#This Row],[Duty
Cycle '[%']]]*'Orbit Parameters'!$C$6</f>
        <v>0</v>
      </c>
      <c r="Q92" s="50">
        <f>Table276[[#This Row],[Duty
Cycle '[%']]]*Table26[[#This Row],[Margined
Power '[W']]]</f>
        <v>0</v>
      </c>
      <c r="S92" s="101">
        <v>0</v>
      </c>
      <c r="T92" s="49">
        <f>Table2728[[#This Row],[Duty
Cycle '[%']]]*'Orbit Parameters'!$C$6</f>
        <v>0</v>
      </c>
      <c r="U92" s="50">
        <f>Table26[[#This Row],[Margined
Power '[W']]]*Table2728[[#This Row],[Duty
Cycle '[%']]]</f>
        <v>0</v>
      </c>
      <c r="W92" s="48">
        <v>0</v>
      </c>
      <c r="X92" s="49">
        <f>Table272410[[#This Row],[Duty
Cycle '[%']]]*'Orbit Parameters'!$C$6</f>
        <v>0</v>
      </c>
      <c r="Y92" s="50">
        <f>Table26[[#This Row],[Margined
Power '[W']]]*Table272410[[#This Row],[Duty
Cycle '[%']]]</f>
        <v>0</v>
      </c>
    </row>
    <row r="93" spans="1:25" hidden="1" x14ac:dyDescent="0.25">
      <c r="A93" s="55" t="str">
        <f>'Power Consumption'!A85</f>
        <v>Consumer #81</v>
      </c>
      <c r="B93" s="49">
        <f>'Power Consumption'!N85</f>
        <v>0</v>
      </c>
      <c r="C93" s="48">
        <v>0</v>
      </c>
      <c r="D93" s="49">
        <f>Table27[[#This Row],[Duty
Cycle '[%']]]*'Orbit Parameters'!$C$6</f>
        <v>0</v>
      </c>
      <c r="E93" s="50">
        <f>Table27[[#This Row],[Duty
Cycle '[%']]]*Table26[[#This Row],[Margined
Power '[W']]]</f>
        <v>0</v>
      </c>
      <c r="G93" s="100">
        <v>0</v>
      </c>
      <c r="H93" s="49">
        <f>Table272[[#This Row],[Duty
Cycle '[%']]]*'Orbit Parameters'!$C$6</f>
        <v>0</v>
      </c>
      <c r="I93" s="50">
        <f>Table26[[#This Row],[Margined
Power '[W']]]*Table272[[#This Row],[Duty
Cycle '[%']]]</f>
        <v>0</v>
      </c>
      <c r="K93" s="101">
        <v>0</v>
      </c>
      <c r="L93" s="49">
        <f>Table2724[[#This Row],[Duty
Cycle '[%']]]*'Orbit Parameters'!$C$6</f>
        <v>0</v>
      </c>
      <c r="M93" s="50">
        <f>Table26[[#This Row],[Margined
Power '[W']]]*Table2724[[#This Row],[Duty
Cycle '[%']]]</f>
        <v>0</v>
      </c>
      <c r="O93" s="101">
        <v>0</v>
      </c>
      <c r="P93" s="49">
        <f>Table276[[#This Row],[Duty
Cycle '[%']]]*'Orbit Parameters'!$C$6</f>
        <v>0</v>
      </c>
      <c r="Q93" s="50">
        <f>Table276[[#This Row],[Duty
Cycle '[%']]]*Table26[[#This Row],[Margined
Power '[W']]]</f>
        <v>0</v>
      </c>
      <c r="S93" s="101">
        <v>0</v>
      </c>
      <c r="T93" s="49">
        <f>Table2728[[#This Row],[Duty
Cycle '[%']]]*'Orbit Parameters'!$C$6</f>
        <v>0</v>
      </c>
      <c r="U93" s="50">
        <f>Table26[[#This Row],[Margined
Power '[W']]]*Table2728[[#This Row],[Duty
Cycle '[%']]]</f>
        <v>0</v>
      </c>
      <c r="W93" s="48">
        <v>0</v>
      </c>
      <c r="X93" s="49">
        <f>Table272410[[#This Row],[Duty
Cycle '[%']]]*'Orbit Parameters'!$C$6</f>
        <v>0</v>
      </c>
      <c r="Y93" s="50">
        <f>Table26[[#This Row],[Margined
Power '[W']]]*Table272410[[#This Row],[Duty
Cycle '[%']]]</f>
        <v>0</v>
      </c>
    </row>
    <row r="94" spans="1:25" hidden="1" x14ac:dyDescent="0.25">
      <c r="A94" s="55" t="str">
        <f>'Power Consumption'!A86</f>
        <v>Consumer #82</v>
      </c>
      <c r="B94" s="49">
        <f>'Power Consumption'!N86</f>
        <v>0</v>
      </c>
      <c r="C94" s="48">
        <v>0</v>
      </c>
      <c r="D94" s="49">
        <f>Table27[[#This Row],[Duty
Cycle '[%']]]*'Orbit Parameters'!$C$6</f>
        <v>0</v>
      </c>
      <c r="E94" s="50">
        <f>Table27[[#This Row],[Duty
Cycle '[%']]]*Table26[[#This Row],[Margined
Power '[W']]]</f>
        <v>0</v>
      </c>
      <c r="G94" s="100">
        <v>0</v>
      </c>
      <c r="H94" s="49">
        <f>Table272[[#This Row],[Duty
Cycle '[%']]]*'Orbit Parameters'!$C$6</f>
        <v>0</v>
      </c>
      <c r="I94" s="50">
        <f>Table26[[#This Row],[Margined
Power '[W']]]*Table272[[#This Row],[Duty
Cycle '[%']]]</f>
        <v>0</v>
      </c>
      <c r="K94" s="101">
        <v>0</v>
      </c>
      <c r="L94" s="49">
        <f>Table2724[[#This Row],[Duty
Cycle '[%']]]*'Orbit Parameters'!$C$6</f>
        <v>0</v>
      </c>
      <c r="M94" s="50">
        <f>Table26[[#This Row],[Margined
Power '[W']]]*Table2724[[#This Row],[Duty
Cycle '[%']]]</f>
        <v>0</v>
      </c>
      <c r="O94" s="101">
        <v>0</v>
      </c>
      <c r="P94" s="49">
        <f>Table276[[#This Row],[Duty
Cycle '[%']]]*'Orbit Parameters'!$C$6</f>
        <v>0</v>
      </c>
      <c r="Q94" s="50">
        <f>Table276[[#This Row],[Duty
Cycle '[%']]]*Table26[[#This Row],[Margined
Power '[W']]]</f>
        <v>0</v>
      </c>
      <c r="S94" s="101">
        <v>0</v>
      </c>
      <c r="T94" s="49">
        <f>Table2728[[#This Row],[Duty
Cycle '[%']]]*'Orbit Parameters'!$C$6</f>
        <v>0</v>
      </c>
      <c r="U94" s="50">
        <f>Table26[[#This Row],[Margined
Power '[W']]]*Table2728[[#This Row],[Duty
Cycle '[%']]]</f>
        <v>0</v>
      </c>
      <c r="W94" s="48">
        <v>0</v>
      </c>
      <c r="X94" s="49">
        <f>Table272410[[#This Row],[Duty
Cycle '[%']]]*'Orbit Parameters'!$C$6</f>
        <v>0</v>
      </c>
      <c r="Y94" s="50">
        <f>Table26[[#This Row],[Margined
Power '[W']]]*Table272410[[#This Row],[Duty
Cycle '[%']]]</f>
        <v>0</v>
      </c>
    </row>
    <row r="95" spans="1:25" hidden="1" x14ac:dyDescent="0.25">
      <c r="A95" s="55" t="str">
        <f>'Power Consumption'!A87</f>
        <v>Consumer #83</v>
      </c>
      <c r="B95" s="49">
        <f>'Power Consumption'!N87</f>
        <v>0</v>
      </c>
      <c r="C95" s="48">
        <v>0</v>
      </c>
      <c r="D95" s="49">
        <f>Table27[[#This Row],[Duty
Cycle '[%']]]*'Orbit Parameters'!$C$6</f>
        <v>0</v>
      </c>
      <c r="E95" s="50">
        <f>Table27[[#This Row],[Duty
Cycle '[%']]]*Table26[[#This Row],[Margined
Power '[W']]]</f>
        <v>0</v>
      </c>
      <c r="G95" s="100">
        <v>0</v>
      </c>
      <c r="H95" s="49">
        <f>Table272[[#This Row],[Duty
Cycle '[%']]]*'Orbit Parameters'!$C$6</f>
        <v>0</v>
      </c>
      <c r="I95" s="50">
        <f>Table26[[#This Row],[Margined
Power '[W']]]*Table272[[#This Row],[Duty
Cycle '[%']]]</f>
        <v>0</v>
      </c>
      <c r="K95" s="101">
        <v>0</v>
      </c>
      <c r="L95" s="49">
        <f>Table2724[[#This Row],[Duty
Cycle '[%']]]*'Orbit Parameters'!$C$6</f>
        <v>0</v>
      </c>
      <c r="M95" s="50">
        <f>Table26[[#This Row],[Margined
Power '[W']]]*Table2724[[#This Row],[Duty
Cycle '[%']]]</f>
        <v>0</v>
      </c>
      <c r="O95" s="101">
        <v>0</v>
      </c>
      <c r="P95" s="49">
        <f>Table276[[#This Row],[Duty
Cycle '[%']]]*'Orbit Parameters'!$C$6</f>
        <v>0</v>
      </c>
      <c r="Q95" s="50">
        <f>Table276[[#This Row],[Duty
Cycle '[%']]]*Table26[[#This Row],[Margined
Power '[W']]]</f>
        <v>0</v>
      </c>
      <c r="S95" s="101">
        <v>0</v>
      </c>
      <c r="T95" s="49">
        <f>Table2728[[#This Row],[Duty
Cycle '[%']]]*'Orbit Parameters'!$C$6</f>
        <v>0</v>
      </c>
      <c r="U95" s="50">
        <f>Table26[[#This Row],[Margined
Power '[W']]]*Table2728[[#This Row],[Duty
Cycle '[%']]]</f>
        <v>0</v>
      </c>
      <c r="W95" s="48">
        <v>0</v>
      </c>
      <c r="X95" s="49">
        <f>Table272410[[#This Row],[Duty
Cycle '[%']]]*'Orbit Parameters'!$C$6</f>
        <v>0</v>
      </c>
      <c r="Y95" s="50">
        <f>Table26[[#This Row],[Margined
Power '[W']]]*Table272410[[#This Row],[Duty
Cycle '[%']]]</f>
        <v>0</v>
      </c>
    </row>
    <row r="96" spans="1:25" hidden="1" x14ac:dyDescent="0.25">
      <c r="A96" s="55" t="str">
        <f>'Power Consumption'!A88</f>
        <v>Consumer #84</v>
      </c>
      <c r="B96" s="49">
        <f>'Power Consumption'!N88</f>
        <v>0</v>
      </c>
      <c r="C96" s="48">
        <v>0</v>
      </c>
      <c r="D96" s="49">
        <f>Table27[[#This Row],[Duty
Cycle '[%']]]*'Orbit Parameters'!$C$6</f>
        <v>0</v>
      </c>
      <c r="E96" s="50">
        <f>Table27[[#This Row],[Duty
Cycle '[%']]]*Table26[[#This Row],[Margined
Power '[W']]]</f>
        <v>0</v>
      </c>
      <c r="G96" s="100">
        <v>0</v>
      </c>
      <c r="H96" s="49">
        <f>Table272[[#This Row],[Duty
Cycle '[%']]]*'Orbit Parameters'!$C$6</f>
        <v>0</v>
      </c>
      <c r="I96" s="50">
        <f>Table26[[#This Row],[Margined
Power '[W']]]*Table272[[#This Row],[Duty
Cycle '[%']]]</f>
        <v>0</v>
      </c>
      <c r="K96" s="101">
        <v>0</v>
      </c>
      <c r="L96" s="49">
        <f>Table2724[[#This Row],[Duty
Cycle '[%']]]*'Orbit Parameters'!$C$6</f>
        <v>0</v>
      </c>
      <c r="M96" s="50">
        <f>Table26[[#This Row],[Margined
Power '[W']]]*Table2724[[#This Row],[Duty
Cycle '[%']]]</f>
        <v>0</v>
      </c>
      <c r="O96" s="101">
        <v>0</v>
      </c>
      <c r="P96" s="49">
        <f>Table276[[#This Row],[Duty
Cycle '[%']]]*'Orbit Parameters'!$C$6</f>
        <v>0</v>
      </c>
      <c r="Q96" s="50">
        <f>Table276[[#This Row],[Duty
Cycle '[%']]]*Table26[[#This Row],[Margined
Power '[W']]]</f>
        <v>0</v>
      </c>
      <c r="S96" s="101">
        <v>0</v>
      </c>
      <c r="T96" s="49">
        <f>Table2728[[#This Row],[Duty
Cycle '[%']]]*'Orbit Parameters'!$C$6</f>
        <v>0</v>
      </c>
      <c r="U96" s="50">
        <f>Table26[[#This Row],[Margined
Power '[W']]]*Table2728[[#This Row],[Duty
Cycle '[%']]]</f>
        <v>0</v>
      </c>
      <c r="W96" s="48">
        <v>0</v>
      </c>
      <c r="X96" s="49">
        <f>Table272410[[#This Row],[Duty
Cycle '[%']]]*'Orbit Parameters'!$C$6</f>
        <v>0</v>
      </c>
      <c r="Y96" s="50">
        <f>Table26[[#This Row],[Margined
Power '[W']]]*Table272410[[#This Row],[Duty
Cycle '[%']]]</f>
        <v>0</v>
      </c>
    </row>
    <row r="97" spans="1:25" hidden="1" x14ac:dyDescent="0.25">
      <c r="A97" s="55" t="str">
        <f>'Power Consumption'!A89</f>
        <v>Consumer #85</v>
      </c>
      <c r="B97" s="49">
        <f>'Power Consumption'!N89</f>
        <v>0</v>
      </c>
      <c r="C97" s="48">
        <v>0</v>
      </c>
      <c r="D97" s="49">
        <f>Table27[[#This Row],[Duty
Cycle '[%']]]*'Orbit Parameters'!$C$6</f>
        <v>0</v>
      </c>
      <c r="E97" s="50">
        <f>Table27[[#This Row],[Duty
Cycle '[%']]]*Table26[[#This Row],[Margined
Power '[W']]]</f>
        <v>0</v>
      </c>
      <c r="G97" s="100">
        <v>0</v>
      </c>
      <c r="H97" s="49">
        <f>Table272[[#This Row],[Duty
Cycle '[%']]]*'Orbit Parameters'!$C$6</f>
        <v>0</v>
      </c>
      <c r="I97" s="50">
        <f>Table26[[#This Row],[Margined
Power '[W']]]*Table272[[#This Row],[Duty
Cycle '[%']]]</f>
        <v>0</v>
      </c>
      <c r="K97" s="101">
        <v>0</v>
      </c>
      <c r="L97" s="49">
        <f>Table2724[[#This Row],[Duty
Cycle '[%']]]*'Orbit Parameters'!$C$6</f>
        <v>0</v>
      </c>
      <c r="M97" s="50">
        <f>Table26[[#This Row],[Margined
Power '[W']]]*Table2724[[#This Row],[Duty
Cycle '[%']]]</f>
        <v>0</v>
      </c>
      <c r="O97" s="101">
        <v>0</v>
      </c>
      <c r="P97" s="49">
        <f>Table276[[#This Row],[Duty
Cycle '[%']]]*'Orbit Parameters'!$C$6</f>
        <v>0</v>
      </c>
      <c r="Q97" s="50">
        <f>Table276[[#This Row],[Duty
Cycle '[%']]]*Table26[[#This Row],[Margined
Power '[W']]]</f>
        <v>0</v>
      </c>
      <c r="S97" s="101">
        <v>0</v>
      </c>
      <c r="T97" s="49">
        <f>Table2728[[#This Row],[Duty
Cycle '[%']]]*'Orbit Parameters'!$C$6</f>
        <v>0</v>
      </c>
      <c r="U97" s="50">
        <f>Table26[[#This Row],[Margined
Power '[W']]]*Table2728[[#This Row],[Duty
Cycle '[%']]]</f>
        <v>0</v>
      </c>
      <c r="W97" s="48">
        <v>0</v>
      </c>
      <c r="X97" s="49">
        <f>Table272410[[#This Row],[Duty
Cycle '[%']]]*'Orbit Parameters'!$C$6</f>
        <v>0</v>
      </c>
      <c r="Y97" s="50">
        <f>Table26[[#This Row],[Margined
Power '[W']]]*Table272410[[#This Row],[Duty
Cycle '[%']]]</f>
        <v>0</v>
      </c>
    </row>
    <row r="98" spans="1:25" hidden="1" x14ac:dyDescent="0.25">
      <c r="A98" s="55" t="str">
        <f>'Power Consumption'!A90</f>
        <v>Consumer #86</v>
      </c>
      <c r="B98" s="49">
        <f>'Power Consumption'!N90</f>
        <v>0</v>
      </c>
      <c r="C98" s="48">
        <v>0</v>
      </c>
      <c r="D98" s="49">
        <f>Table27[[#This Row],[Duty
Cycle '[%']]]*'Orbit Parameters'!$C$6</f>
        <v>0</v>
      </c>
      <c r="E98" s="50">
        <f>Table27[[#This Row],[Duty
Cycle '[%']]]*Table26[[#This Row],[Margined
Power '[W']]]</f>
        <v>0</v>
      </c>
      <c r="G98" s="100">
        <v>0</v>
      </c>
      <c r="H98" s="49">
        <f>Table272[[#This Row],[Duty
Cycle '[%']]]*'Orbit Parameters'!$C$6</f>
        <v>0</v>
      </c>
      <c r="I98" s="50">
        <f>Table26[[#This Row],[Margined
Power '[W']]]*Table272[[#This Row],[Duty
Cycle '[%']]]</f>
        <v>0</v>
      </c>
      <c r="K98" s="101">
        <v>0</v>
      </c>
      <c r="L98" s="49">
        <f>Table2724[[#This Row],[Duty
Cycle '[%']]]*'Orbit Parameters'!$C$6</f>
        <v>0</v>
      </c>
      <c r="M98" s="50">
        <f>Table26[[#This Row],[Margined
Power '[W']]]*Table2724[[#This Row],[Duty
Cycle '[%']]]</f>
        <v>0</v>
      </c>
      <c r="O98" s="101">
        <v>0</v>
      </c>
      <c r="P98" s="49">
        <f>Table276[[#This Row],[Duty
Cycle '[%']]]*'Orbit Parameters'!$C$6</f>
        <v>0</v>
      </c>
      <c r="Q98" s="50">
        <f>Table276[[#This Row],[Duty
Cycle '[%']]]*Table26[[#This Row],[Margined
Power '[W']]]</f>
        <v>0</v>
      </c>
      <c r="S98" s="101">
        <v>0</v>
      </c>
      <c r="T98" s="49">
        <f>Table2728[[#This Row],[Duty
Cycle '[%']]]*'Orbit Parameters'!$C$6</f>
        <v>0</v>
      </c>
      <c r="U98" s="50">
        <f>Table26[[#This Row],[Margined
Power '[W']]]*Table2728[[#This Row],[Duty
Cycle '[%']]]</f>
        <v>0</v>
      </c>
      <c r="W98" s="48">
        <v>0</v>
      </c>
      <c r="X98" s="49">
        <f>Table272410[[#This Row],[Duty
Cycle '[%']]]*'Orbit Parameters'!$C$6</f>
        <v>0</v>
      </c>
      <c r="Y98" s="50">
        <f>Table26[[#This Row],[Margined
Power '[W']]]*Table272410[[#This Row],[Duty
Cycle '[%']]]</f>
        <v>0</v>
      </c>
    </row>
    <row r="99" spans="1:25" hidden="1" x14ac:dyDescent="0.25">
      <c r="A99" s="55" t="str">
        <f>'Power Consumption'!A91</f>
        <v>Consumer #87</v>
      </c>
      <c r="B99" s="49">
        <f>'Power Consumption'!N91</f>
        <v>0</v>
      </c>
      <c r="C99" s="48">
        <v>0</v>
      </c>
      <c r="D99" s="49">
        <f>Table27[[#This Row],[Duty
Cycle '[%']]]*'Orbit Parameters'!$C$6</f>
        <v>0</v>
      </c>
      <c r="E99" s="50">
        <f>Table27[[#This Row],[Duty
Cycle '[%']]]*Table26[[#This Row],[Margined
Power '[W']]]</f>
        <v>0</v>
      </c>
      <c r="G99" s="100">
        <v>0</v>
      </c>
      <c r="H99" s="49">
        <f>Table272[[#This Row],[Duty
Cycle '[%']]]*'Orbit Parameters'!$C$6</f>
        <v>0</v>
      </c>
      <c r="I99" s="50">
        <f>Table26[[#This Row],[Margined
Power '[W']]]*Table272[[#This Row],[Duty
Cycle '[%']]]</f>
        <v>0</v>
      </c>
      <c r="K99" s="101">
        <v>0</v>
      </c>
      <c r="L99" s="49">
        <f>Table2724[[#This Row],[Duty
Cycle '[%']]]*'Orbit Parameters'!$C$6</f>
        <v>0</v>
      </c>
      <c r="M99" s="50">
        <f>Table26[[#This Row],[Margined
Power '[W']]]*Table2724[[#This Row],[Duty
Cycle '[%']]]</f>
        <v>0</v>
      </c>
      <c r="O99" s="101">
        <v>0</v>
      </c>
      <c r="P99" s="49">
        <f>Table276[[#This Row],[Duty
Cycle '[%']]]*'Orbit Parameters'!$C$6</f>
        <v>0</v>
      </c>
      <c r="Q99" s="50">
        <f>Table276[[#This Row],[Duty
Cycle '[%']]]*Table26[[#This Row],[Margined
Power '[W']]]</f>
        <v>0</v>
      </c>
      <c r="S99" s="101">
        <v>0</v>
      </c>
      <c r="T99" s="49">
        <f>Table2728[[#This Row],[Duty
Cycle '[%']]]*'Orbit Parameters'!$C$6</f>
        <v>0</v>
      </c>
      <c r="U99" s="50">
        <f>Table26[[#This Row],[Margined
Power '[W']]]*Table2728[[#This Row],[Duty
Cycle '[%']]]</f>
        <v>0</v>
      </c>
      <c r="W99" s="48">
        <v>0</v>
      </c>
      <c r="X99" s="49">
        <f>Table272410[[#This Row],[Duty
Cycle '[%']]]*'Orbit Parameters'!$C$6</f>
        <v>0</v>
      </c>
      <c r="Y99" s="50">
        <f>Table26[[#This Row],[Margined
Power '[W']]]*Table272410[[#This Row],[Duty
Cycle '[%']]]</f>
        <v>0</v>
      </c>
    </row>
    <row r="100" spans="1:25" hidden="1" x14ac:dyDescent="0.25">
      <c r="A100" s="55" t="str">
        <f>'Power Consumption'!A92</f>
        <v>Consumer #88</v>
      </c>
      <c r="B100" s="49">
        <f>'Power Consumption'!N92</f>
        <v>0</v>
      </c>
      <c r="C100" s="48">
        <v>0</v>
      </c>
      <c r="D100" s="49">
        <f>Table27[[#This Row],[Duty
Cycle '[%']]]*'Orbit Parameters'!$C$6</f>
        <v>0</v>
      </c>
      <c r="E100" s="50">
        <f>Table27[[#This Row],[Duty
Cycle '[%']]]*Table26[[#This Row],[Margined
Power '[W']]]</f>
        <v>0</v>
      </c>
      <c r="G100" s="100">
        <v>0</v>
      </c>
      <c r="H100" s="49">
        <f>Table272[[#This Row],[Duty
Cycle '[%']]]*'Orbit Parameters'!$C$6</f>
        <v>0</v>
      </c>
      <c r="I100" s="50">
        <f>Table26[[#This Row],[Margined
Power '[W']]]*Table272[[#This Row],[Duty
Cycle '[%']]]</f>
        <v>0</v>
      </c>
      <c r="K100" s="101">
        <v>0</v>
      </c>
      <c r="L100" s="49">
        <f>Table2724[[#This Row],[Duty
Cycle '[%']]]*'Orbit Parameters'!$C$6</f>
        <v>0</v>
      </c>
      <c r="M100" s="50">
        <f>Table26[[#This Row],[Margined
Power '[W']]]*Table2724[[#This Row],[Duty
Cycle '[%']]]</f>
        <v>0</v>
      </c>
      <c r="O100" s="101">
        <v>0</v>
      </c>
      <c r="P100" s="49">
        <f>Table276[[#This Row],[Duty
Cycle '[%']]]*'Orbit Parameters'!$C$6</f>
        <v>0</v>
      </c>
      <c r="Q100" s="50">
        <f>Table276[[#This Row],[Duty
Cycle '[%']]]*Table26[[#This Row],[Margined
Power '[W']]]</f>
        <v>0</v>
      </c>
      <c r="S100" s="101">
        <v>0</v>
      </c>
      <c r="T100" s="49">
        <f>Table2728[[#This Row],[Duty
Cycle '[%']]]*'Orbit Parameters'!$C$6</f>
        <v>0</v>
      </c>
      <c r="U100" s="50">
        <f>Table26[[#This Row],[Margined
Power '[W']]]*Table2728[[#This Row],[Duty
Cycle '[%']]]</f>
        <v>0</v>
      </c>
      <c r="W100" s="48">
        <v>0</v>
      </c>
      <c r="X100" s="49">
        <f>Table272410[[#This Row],[Duty
Cycle '[%']]]*'Orbit Parameters'!$C$6</f>
        <v>0</v>
      </c>
      <c r="Y100" s="50">
        <f>Table26[[#This Row],[Margined
Power '[W']]]*Table272410[[#This Row],[Duty
Cycle '[%']]]</f>
        <v>0</v>
      </c>
    </row>
    <row r="101" spans="1:25" hidden="1" x14ac:dyDescent="0.25">
      <c r="A101" s="55" t="str">
        <f>'Power Consumption'!A93</f>
        <v>Consumer #89</v>
      </c>
      <c r="B101" s="49">
        <f>'Power Consumption'!N93</f>
        <v>0</v>
      </c>
      <c r="C101" s="48">
        <v>0</v>
      </c>
      <c r="D101" s="49">
        <f>Table27[[#This Row],[Duty
Cycle '[%']]]*'Orbit Parameters'!$C$6</f>
        <v>0</v>
      </c>
      <c r="E101" s="50">
        <f>Table27[[#This Row],[Duty
Cycle '[%']]]*Table26[[#This Row],[Margined
Power '[W']]]</f>
        <v>0</v>
      </c>
      <c r="G101" s="100">
        <v>0</v>
      </c>
      <c r="H101" s="49">
        <f>Table272[[#This Row],[Duty
Cycle '[%']]]*'Orbit Parameters'!$C$6</f>
        <v>0</v>
      </c>
      <c r="I101" s="50">
        <f>Table26[[#This Row],[Margined
Power '[W']]]*Table272[[#This Row],[Duty
Cycle '[%']]]</f>
        <v>0</v>
      </c>
      <c r="K101" s="101">
        <v>0</v>
      </c>
      <c r="L101" s="49">
        <f>Table2724[[#This Row],[Duty
Cycle '[%']]]*'Orbit Parameters'!$C$6</f>
        <v>0</v>
      </c>
      <c r="M101" s="50">
        <f>Table26[[#This Row],[Margined
Power '[W']]]*Table2724[[#This Row],[Duty
Cycle '[%']]]</f>
        <v>0</v>
      </c>
      <c r="O101" s="101">
        <v>0</v>
      </c>
      <c r="P101" s="49">
        <f>Table276[[#This Row],[Duty
Cycle '[%']]]*'Orbit Parameters'!$C$6</f>
        <v>0</v>
      </c>
      <c r="Q101" s="50">
        <f>Table276[[#This Row],[Duty
Cycle '[%']]]*Table26[[#This Row],[Margined
Power '[W']]]</f>
        <v>0</v>
      </c>
      <c r="S101" s="101">
        <v>0</v>
      </c>
      <c r="T101" s="49">
        <f>Table2728[[#This Row],[Duty
Cycle '[%']]]*'Orbit Parameters'!$C$6</f>
        <v>0</v>
      </c>
      <c r="U101" s="50">
        <f>Table26[[#This Row],[Margined
Power '[W']]]*Table2728[[#This Row],[Duty
Cycle '[%']]]</f>
        <v>0</v>
      </c>
      <c r="W101" s="48">
        <v>0</v>
      </c>
      <c r="X101" s="49">
        <f>Table272410[[#This Row],[Duty
Cycle '[%']]]*'Orbit Parameters'!$C$6</f>
        <v>0</v>
      </c>
      <c r="Y101" s="50">
        <f>Table26[[#This Row],[Margined
Power '[W']]]*Table272410[[#This Row],[Duty
Cycle '[%']]]</f>
        <v>0</v>
      </c>
    </row>
    <row r="102" spans="1:25" hidden="1" x14ac:dyDescent="0.25">
      <c r="A102" s="55" t="str">
        <f>'Power Consumption'!A94</f>
        <v>Consumer #90</v>
      </c>
      <c r="B102" s="49">
        <f>'Power Consumption'!N94</f>
        <v>0</v>
      </c>
      <c r="C102" s="48">
        <v>0</v>
      </c>
      <c r="D102" s="49">
        <f>Table27[[#This Row],[Duty
Cycle '[%']]]*'Orbit Parameters'!$C$6</f>
        <v>0</v>
      </c>
      <c r="E102" s="50">
        <f>Table27[[#This Row],[Duty
Cycle '[%']]]*Table26[[#This Row],[Margined
Power '[W']]]</f>
        <v>0</v>
      </c>
      <c r="G102" s="100">
        <v>0</v>
      </c>
      <c r="H102" s="49">
        <f>Table272[[#This Row],[Duty
Cycle '[%']]]*'Orbit Parameters'!$C$6</f>
        <v>0</v>
      </c>
      <c r="I102" s="50">
        <f>Table26[[#This Row],[Margined
Power '[W']]]*Table272[[#This Row],[Duty
Cycle '[%']]]</f>
        <v>0</v>
      </c>
      <c r="K102" s="101">
        <v>0</v>
      </c>
      <c r="L102" s="49">
        <f>Table2724[[#This Row],[Duty
Cycle '[%']]]*'Orbit Parameters'!$C$6</f>
        <v>0</v>
      </c>
      <c r="M102" s="50">
        <f>Table26[[#This Row],[Margined
Power '[W']]]*Table2724[[#This Row],[Duty
Cycle '[%']]]</f>
        <v>0</v>
      </c>
      <c r="O102" s="101">
        <v>0</v>
      </c>
      <c r="P102" s="49">
        <f>Table276[[#This Row],[Duty
Cycle '[%']]]*'Orbit Parameters'!$C$6</f>
        <v>0</v>
      </c>
      <c r="Q102" s="50">
        <f>Table276[[#This Row],[Duty
Cycle '[%']]]*Table26[[#This Row],[Margined
Power '[W']]]</f>
        <v>0</v>
      </c>
      <c r="S102" s="101">
        <v>0</v>
      </c>
      <c r="T102" s="49">
        <f>Table2728[[#This Row],[Duty
Cycle '[%']]]*'Orbit Parameters'!$C$6</f>
        <v>0</v>
      </c>
      <c r="U102" s="50">
        <f>Table26[[#This Row],[Margined
Power '[W']]]*Table2728[[#This Row],[Duty
Cycle '[%']]]</f>
        <v>0</v>
      </c>
      <c r="W102" s="48">
        <v>0</v>
      </c>
      <c r="X102" s="49">
        <f>Table272410[[#This Row],[Duty
Cycle '[%']]]*'Orbit Parameters'!$C$6</f>
        <v>0</v>
      </c>
      <c r="Y102" s="50">
        <f>Table26[[#This Row],[Margined
Power '[W']]]*Table272410[[#This Row],[Duty
Cycle '[%']]]</f>
        <v>0</v>
      </c>
    </row>
    <row r="103" spans="1:25" hidden="1" x14ac:dyDescent="0.25">
      <c r="A103" s="55" t="str">
        <f>'Power Consumption'!A95</f>
        <v>Consumer #91</v>
      </c>
      <c r="B103" s="49">
        <f>'Power Consumption'!N95</f>
        <v>0</v>
      </c>
      <c r="C103" s="48">
        <v>0</v>
      </c>
      <c r="D103" s="49">
        <f>Table27[[#This Row],[Duty
Cycle '[%']]]*'Orbit Parameters'!$C$6</f>
        <v>0</v>
      </c>
      <c r="E103" s="50">
        <f>Table27[[#This Row],[Duty
Cycle '[%']]]*Table26[[#This Row],[Margined
Power '[W']]]</f>
        <v>0</v>
      </c>
      <c r="G103" s="100">
        <v>0</v>
      </c>
      <c r="H103" s="49">
        <f>Table272[[#This Row],[Duty
Cycle '[%']]]*'Orbit Parameters'!$C$6</f>
        <v>0</v>
      </c>
      <c r="I103" s="50">
        <f>Table26[[#This Row],[Margined
Power '[W']]]*Table272[[#This Row],[Duty
Cycle '[%']]]</f>
        <v>0</v>
      </c>
      <c r="K103" s="101">
        <v>0</v>
      </c>
      <c r="L103" s="49">
        <f>Table2724[[#This Row],[Duty
Cycle '[%']]]*'Orbit Parameters'!$C$6</f>
        <v>0</v>
      </c>
      <c r="M103" s="50">
        <f>Table26[[#This Row],[Margined
Power '[W']]]*Table2724[[#This Row],[Duty
Cycle '[%']]]</f>
        <v>0</v>
      </c>
      <c r="O103" s="101">
        <v>0</v>
      </c>
      <c r="P103" s="49">
        <f>Table276[[#This Row],[Duty
Cycle '[%']]]*'Orbit Parameters'!$C$6</f>
        <v>0</v>
      </c>
      <c r="Q103" s="50">
        <f>Table276[[#This Row],[Duty
Cycle '[%']]]*Table26[[#This Row],[Margined
Power '[W']]]</f>
        <v>0</v>
      </c>
      <c r="S103" s="101">
        <v>0</v>
      </c>
      <c r="T103" s="49">
        <f>Table2728[[#This Row],[Duty
Cycle '[%']]]*'Orbit Parameters'!$C$6</f>
        <v>0</v>
      </c>
      <c r="U103" s="50">
        <f>Table26[[#This Row],[Margined
Power '[W']]]*Table2728[[#This Row],[Duty
Cycle '[%']]]</f>
        <v>0</v>
      </c>
      <c r="W103" s="48">
        <v>0</v>
      </c>
      <c r="X103" s="49">
        <f>Table272410[[#This Row],[Duty
Cycle '[%']]]*'Orbit Parameters'!$C$6</f>
        <v>0</v>
      </c>
      <c r="Y103" s="50">
        <f>Table26[[#This Row],[Margined
Power '[W']]]*Table272410[[#This Row],[Duty
Cycle '[%']]]</f>
        <v>0</v>
      </c>
    </row>
    <row r="104" spans="1:25" hidden="1" x14ac:dyDescent="0.25">
      <c r="A104" s="55" t="str">
        <f>'Power Consumption'!A96</f>
        <v>Consumer #92</v>
      </c>
      <c r="B104" s="49">
        <f>'Power Consumption'!N96</f>
        <v>0</v>
      </c>
      <c r="C104" s="48">
        <v>0</v>
      </c>
      <c r="D104" s="49">
        <f>Table27[[#This Row],[Duty
Cycle '[%']]]*'Orbit Parameters'!$C$6</f>
        <v>0</v>
      </c>
      <c r="E104" s="50">
        <f>Table27[[#This Row],[Duty
Cycle '[%']]]*Table26[[#This Row],[Margined
Power '[W']]]</f>
        <v>0</v>
      </c>
      <c r="G104" s="100">
        <v>0</v>
      </c>
      <c r="H104" s="49">
        <f>Table272[[#This Row],[Duty
Cycle '[%']]]*'Orbit Parameters'!$C$6</f>
        <v>0</v>
      </c>
      <c r="I104" s="50">
        <f>Table26[[#This Row],[Margined
Power '[W']]]*Table272[[#This Row],[Duty
Cycle '[%']]]</f>
        <v>0</v>
      </c>
      <c r="K104" s="101">
        <v>0</v>
      </c>
      <c r="L104" s="49">
        <f>Table2724[[#This Row],[Duty
Cycle '[%']]]*'Orbit Parameters'!$C$6</f>
        <v>0</v>
      </c>
      <c r="M104" s="50">
        <f>Table26[[#This Row],[Margined
Power '[W']]]*Table2724[[#This Row],[Duty
Cycle '[%']]]</f>
        <v>0</v>
      </c>
      <c r="O104" s="101">
        <v>0</v>
      </c>
      <c r="P104" s="49">
        <f>Table276[[#This Row],[Duty
Cycle '[%']]]*'Orbit Parameters'!$C$6</f>
        <v>0</v>
      </c>
      <c r="Q104" s="50">
        <f>Table276[[#This Row],[Duty
Cycle '[%']]]*Table26[[#This Row],[Margined
Power '[W']]]</f>
        <v>0</v>
      </c>
      <c r="S104" s="101">
        <v>0</v>
      </c>
      <c r="T104" s="49">
        <f>Table2728[[#This Row],[Duty
Cycle '[%']]]*'Orbit Parameters'!$C$6</f>
        <v>0</v>
      </c>
      <c r="U104" s="50">
        <f>Table26[[#This Row],[Margined
Power '[W']]]*Table2728[[#This Row],[Duty
Cycle '[%']]]</f>
        <v>0</v>
      </c>
      <c r="W104" s="48">
        <v>0</v>
      </c>
      <c r="X104" s="49">
        <f>Table272410[[#This Row],[Duty
Cycle '[%']]]*'Orbit Parameters'!$C$6</f>
        <v>0</v>
      </c>
      <c r="Y104" s="50">
        <f>Table26[[#This Row],[Margined
Power '[W']]]*Table272410[[#This Row],[Duty
Cycle '[%']]]</f>
        <v>0</v>
      </c>
    </row>
    <row r="105" spans="1:25" hidden="1" x14ac:dyDescent="0.25">
      <c r="A105" s="55" t="str">
        <f>'Power Consumption'!A97</f>
        <v>Consumer #93</v>
      </c>
      <c r="B105" s="49">
        <f>'Power Consumption'!N97</f>
        <v>0</v>
      </c>
      <c r="C105" s="48">
        <v>0</v>
      </c>
      <c r="D105" s="49">
        <f>Table27[[#This Row],[Duty
Cycle '[%']]]*'Orbit Parameters'!$C$6</f>
        <v>0</v>
      </c>
      <c r="E105" s="50">
        <f>Table27[[#This Row],[Duty
Cycle '[%']]]*Table26[[#This Row],[Margined
Power '[W']]]</f>
        <v>0</v>
      </c>
      <c r="G105" s="100">
        <v>0</v>
      </c>
      <c r="H105" s="49">
        <f>Table272[[#This Row],[Duty
Cycle '[%']]]*'Orbit Parameters'!$C$6</f>
        <v>0</v>
      </c>
      <c r="I105" s="50">
        <f>Table26[[#This Row],[Margined
Power '[W']]]*Table272[[#This Row],[Duty
Cycle '[%']]]</f>
        <v>0</v>
      </c>
      <c r="K105" s="101">
        <v>0</v>
      </c>
      <c r="L105" s="49">
        <f>Table2724[[#This Row],[Duty
Cycle '[%']]]*'Orbit Parameters'!$C$6</f>
        <v>0</v>
      </c>
      <c r="M105" s="50">
        <f>Table26[[#This Row],[Margined
Power '[W']]]*Table2724[[#This Row],[Duty
Cycle '[%']]]</f>
        <v>0</v>
      </c>
      <c r="O105" s="101">
        <v>0</v>
      </c>
      <c r="P105" s="49">
        <f>Table276[[#This Row],[Duty
Cycle '[%']]]*'Orbit Parameters'!$C$6</f>
        <v>0</v>
      </c>
      <c r="Q105" s="50">
        <f>Table276[[#This Row],[Duty
Cycle '[%']]]*Table26[[#This Row],[Margined
Power '[W']]]</f>
        <v>0</v>
      </c>
      <c r="S105" s="101">
        <v>0</v>
      </c>
      <c r="T105" s="49">
        <f>Table2728[[#This Row],[Duty
Cycle '[%']]]*'Orbit Parameters'!$C$6</f>
        <v>0</v>
      </c>
      <c r="U105" s="50">
        <f>Table26[[#This Row],[Margined
Power '[W']]]*Table2728[[#This Row],[Duty
Cycle '[%']]]</f>
        <v>0</v>
      </c>
      <c r="W105" s="48">
        <v>0</v>
      </c>
      <c r="X105" s="49">
        <f>Table272410[[#This Row],[Duty
Cycle '[%']]]*'Orbit Parameters'!$C$6</f>
        <v>0</v>
      </c>
      <c r="Y105" s="50">
        <f>Table26[[#This Row],[Margined
Power '[W']]]*Table272410[[#This Row],[Duty
Cycle '[%']]]</f>
        <v>0</v>
      </c>
    </row>
    <row r="106" spans="1:25" hidden="1" x14ac:dyDescent="0.25">
      <c r="A106" s="55" t="str">
        <f>'Power Consumption'!A98</f>
        <v>Consumer #94</v>
      </c>
      <c r="B106" s="49">
        <f>'Power Consumption'!N98</f>
        <v>0</v>
      </c>
      <c r="C106" s="48">
        <v>0</v>
      </c>
      <c r="D106" s="49">
        <f>Table27[[#This Row],[Duty
Cycle '[%']]]*'Orbit Parameters'!$C$6</f>
        <v>0</v>
      </c>
      <c r="E106" s="50">
        <f>Table27[[#This Row],[Duty
Cycle '[%']]]*Table26[[#This Row],[Margined
Power '[W']]]</f>
        <v>0</v>
      </c>
      <c r="G106" s="100">
        <v>0</v>
      </c>
      <c r="H106" s="49">
        <f>Table272[[#This Row],[Duty
Cycle '[%']]]*'Orbit Parameters'!$C$6</f>
        <v>0</v>
      </c>
      <c r="I106" s="50">
        <f>Table26[[#This Row],[Margined
Power '[W']]]*Table272[[#This Row],[Duty
Cycle '[%']]]</f>
        <v>0</v>
      </c>
      <c r="K106" s="101">
        <v>0</v>
      </c>
      <c r="L106" s="49">
        <f>Table2724[[#This Row],[Duty
Cycle '[%']]]*'Orbit Parameters'!$C$6</f>
        <v>0</v>
      </c>
      <c r="M106" s="50">
        <f>Table26[[#This Row],[Margined
Power '[W']]]*Table2724[[#This Row],[Duty
Cycle '[%']]]</f>
        <v>0</v>
      </c>
      <c r="O106" s="101">
        <v>0</v>
      </c>
      <c r="P106" s="49">
        <f>Table276[[#This Row],[Duty
Cycle '[%']]]*'Orbit Parameters'!$C$6</f>
        <v>0</v>
      </c>
      <c r="Q106" s="50">
        <f>Table276[[#This Row],[Duty
Cycle '[%']]]*Table26[[#This Row],[Margined
Power '[W']]]</f>
        <v>0</v>
      </c>
      <c r="S106" s="101">
        <v>0</v>
      </c>
      <c r="T106" s="49">
        <f>Table2728[[#This Row],[Duty
Cycle '[%']]]*'Orbit Parameters'!$C$6</f>
        <v>0</v>
      </c>
      <c r="U106" s="50">
        <f>Table26[[#This Row],[Margined
Power '[W']]]*Table2728[[#This Row],[Duty
Cycle '[%']]]</f>
        <v>0</v>
      </c>
      <c r="W106" s="48">
        <v>0</v>
      </c>
      <c r="X106" s="49">
        <f>Table272410[[#This Row],[Duty
Cycle '[%']]]*'Orbit Parameters'!$C$6</f>
        <v>0</v>
      </c>
      <c r="Y106" s="50">
        <f>Table26[[#This Row],[Margined
Power '[W']]]*Table272410[[#This Row],[Duty
Cycle '[%']]]</f>
        <v>0</v>
      </c>
    </row>
    <row r="107" spans="1:25" hidden="1" x14ac:dyDescent="0.25">
      <c r="A107" s="55" t="str">
        <f>'Power Consumption'!A99</f>
        <v>Consumer #95</v>
      </c>
      <c r="B107" s="49">
        <f>'Power Consumption'!N99</f>
        <v>0</v>
      </c>
      <c r="C107" s="48">
        <v>0</v>
      </c>
      <c r="D107" s="49">
        <f>Table27[[#This Row],[Duty
Cycle '[%']]]*'Orbit Parameters'!$C$6</f>
        <v>0</v>
      </c>
      <c r="E107" s="50">
        <f>Table27[[#This Row],[Duty
Cycle '[%']]]*Table26[[#This Row],[Margined
Power '[W']]]</f>
        <v>0</v>
      </c>
      <c r="G107" s="100">
        <v>0</v>
      </c>
      <c r="H107" s="49">
        <f>Table272[[#This Row],[Duty
Cycle '[%']]]*'Orbit Parameters'!$C$6</f>
        <v>0</v>
      </c>
      <c r="I107" s="50">
        <f>Table26[[#This Row],[Margined
Power '[W']]]*Table272[[#This Row],[Duty
Cycle '[%']]]</f>
        <v>0</v>
      </c>
      <c r="K107" s="101">
        <v>0</v>
      </c>
      <c r="L107" s="49">
        <f>Table2724[[#This Row],[Duty
Cycle '[%']]]*'Orbit Parameters'!$C$6</f>
        <v>0</v>
      </c>
      <c r="M107" s="50">
        <f>Table26[[#This Row],[Margined
Power '[W']]]*Table2724[[#This Row],[Duty
Cycle '[%']]]</f>
        <v>0</v>
      </c>
      <c r="O107" s="101">
        <v>0</v>
      </c>
      <c r="P107" s="49">
        <f>Table276[[#This Row],[Duty
Cycle '[%']]]*'Orbit Parameters'!$C$6</f>
        <v>0</v>
      </c>
      <c r="Q107" s="50">
        <f>Table276[[#This Row],[Duty
Cycle '[%']]]*Table26[[#This Row],[Margined
Power '[W']]]</f>
        <v>0</v>
      </c>
      <c r="S107" s="101">
        <v>0</v>
      </c>
      <c r="T107" s="49">
        <f>Table2728[[#This Row],[Duty
Cycle '[%']]]*'Orbit Parameters'!$C$6</f>
        <v>0</v>
      </c>
      <c r="U107" s="50">
        <f>Table26[[#This Row],[Margined
Power '[W']]]*Table2728[[#This Row],[Duty
Cycle '[%']]]</f>
        <v>0</v>
      </c>
      <c r="W107" s="48">
        <v>0</v>
      </c>
      <c r="X107" s="49">
        <f>Table272410[[#This Row],[Duty
Cycle '[%']]]*'Orbit Parameters'!$C$6</f>
        <v>0</v>
      </c>
      <c r="Y107" s="50">
        <f>Table26[[#This Row],[Margined
Power '[W']]]*Table272410[[#This Row],[Duty
Cycle '[%']]]</f>
        <v>0</v>
      </c>
    </row>
    <row r="108" spans="1:25" hidden="1" x14ac:dyDescent="0.25">
      <c r="A108" s="55" t="str">
        <f>'Power Consumption'!A100</f>
        <v>Consumer #96</v>
      </c>
      <c r="B108" s="49">
        <f>'Power Consumption'!N100</f>
        <v>0</v>
      </c>
      <c r="C108" s="48">
        <v>0</v>
      </c>
      <c r="D108" s="49">
        <f>Table27[[#This Row],[Duty
Cycle '[%']]]*'Orbit Parameters'!$C$6</f>
        <v>0</v>
      </c>
      <c r="E108" s="50">
        <f>Table27[[#This Row],[Duty
Cycle '[%']]]*Table26[[#This Row],[Margined
Power '[W']]]</f>
        <v>0</v>
      </c>
      <c r="G108" s="100">
        <v>0</v>
      </c>
      <c r="H108" s="49">
        <f>Table272[[#This Row],[Duty
Cycle '[%']]]*'Orbit Parameters'!$C$6</f>
        <v>0</v>
      </c>
      <c r="I108" s="50">
        <f>Table26[[#This Row],[Margined
Power '[W']]]*Table272[[#This Row],[Duty
Cycle '[%']]]</f>
        <v>0</v>
      </c>
      <c r="K108" s="101">
        <v>0</v>
      </c>
      <c r="L108" s="49">
        <f>Table2724[[#This Row],[Duty
Cycle '[%']]]*'Orbit Parameters'!$C$6</f>
        <v>0</v>
      </c>
      <c r="M108" s="50">
        <f>Table26[[#This Row],[Margined
Power '[W']]]*Table2724[[#This Row],[Duty
Cycle '[%']]]</f>
        <v>0</v>
      </c>
      <c r="O108" s="101">
        <v>0</v>
      </c>
      <c r="P108" s="49">
        <f>Table276[[#This Row],[Duty
Cycle '[%']]]*'Orbit Parameters'!$C$6</f>
        <v>0</v>
      </c>
      <c r="Q108" s="50">
        <f>Table276[[#This Row],[Duty
Cycle '[%']]]*Table26[[#This Row],[Margined
Power '[W']]]</f>
        <v>0</v>
      </c>
      <c r="S108" s="101">
        <v>0</v>
      </c>
      <c r="T108" s="49">
        <f>Table2728[[#This Row],[Duty
Cycle '[%']]]*'Orbit Parameters'!$C$6</f>
        <v>0</v>
      </c>
      <c r="U108" s="50">
        <f>Table26[[#This Row],[Margined
Power '[W']]]*Table2728[[#This Row],[Duty
Cycle '[%']]]</f>
        <v>0</v>
      </c>
      <c r="W108" s="48">
        <v>0</v>
      </c>
      <c r="X108" s="49">
        <f>Table272410[[#This Row],[Duty
Cycle '[%']]]*'Orbit Parameters'!$C$6</f>
        <v>0</v>
      </c>
      <c r="Y108" s="50">
        <f>Table26[[#This Row],[Margined
Power '[W']]]*Table272410[[#This Row],[Duty
Cycle '[%']]]</f>
        <v>0</v>
      </c>
    </row>
    <row r="109" spans="1:25" hidden="1" x14ac:dyDescent="0.25">
      <c r="A109" s="55" t="str">
        <f>'Power Consumption'!A101</f>
        <v>Consumer #97</v>
      </c>
      <c r="B109" s="49">
        <f>'Power Consumption'!N101</f>
        <v>0</v>
      </c>
      <c r="C109" s="48">
        <v>0</v>
      </c>
      <c r="D109" s="49">
        <f>Table27[[#This Row],[Duty
Cycle '[%']]]*'Orbit Parameters'!$C$6</f>
        <v>0</v>
      </c>
      <c r="E109" s="50">
        <f>Table27[[#This Row],[Duty
Cycle '[%']]]*Table26[[#This Row],[Margined
Power '[W']]]</f>
        <v>0</v>
      </c>
      <c r="G109" s="100">
        <v>0</v>
      </c>
      <c r="H109" s="49">
        <f>Table272[[#This Row],[Duty
Cycle '[%']]]*'Orbit Parameters'!$C$6</f>
        <v>0</v>
      </c>
      <c r="I109" s="50">
        <f>Table26[[#This Row],[Margined
Power '[W']]]*Table272[[#This Row],[Duty
Cycle '[%']]]</f>
        <v>0</v>
      </c>
      <c r="K109" s="101">
        <v>0</v>
      </c>
      <c r="L109" s="49">
        <f>Table2724[[#This Row],[Duty
Cycle '[%']]]*'Orbit Parameters'!$C$6</f>
        <v>0</v>
      </c>
      <c r="M109" s="50">
        <f>Table26[[#This Row],[Margined
Power '[W']]]*Table2724[[#This Row],[Duty
Cycle '[%']]]</f>
        <v>0</v>
      </c>
      <c r="O109" s="101">
        <v>0</v>
      </c>
      <c r="P109" s="49">
        <f>Table276[[#This Row],[Duty
Cycle '[%']]]*'Orbit Parameters'!$C$6</f>
        <v>0</v>
      </c>
      <c r="Q109" s="50">
        <f>Table276[[#This Row],[Duty
Cycle '[%']]]*Table26[[#This Row],[Margined
Power '[W']]]</f>
        <v>0</v>
      </c>
      <c r="S109" s="101">
        <v>0</v>
      </c>
      <c r="T109" s="49">
        <f>Table2728[[#This Row],[Duty
Cycle '[%']]]*'Orbit Parameters'!$C$6</f>
        <v>0</v>
      </c>
      <c r="U109" s="50">
        <f>Table26[[#This Row],[Margined
Power '[W']]]*Table2728[[#This Row],[Duty
Cycle '[%']]]</f>
        <v>0</v>
      </c>
      <c r="W109" s="48">
        <v>0</v>
      </c>
      <c r="X109" s="49">
        <f>Table272410[[#This Row],[Duty
Cycle '[%']]]*'Orbit Parameters'!$C$6</f>
        <v>0</v>
      </c>
      <c r="Y109" s="50">
        <f>Table26[[#This Row],[Margined
Power '[W']]]*Table272410[[#This Row],[Duty
Cycle '[%']]]</f>
        <v>0</v>
      </c>
    </row>
    <row r="110" spans="1:25" hidden="1" x14ac:dyDescent="0.25">
      <c r="A110" s="55" t="str">
        <f>'Power Consumption'!A102</f>
        <v>Consumer #98</v>
      </c>
      <c r="B110" s="49">
        <f>'Power Consumption'!N102</f>
        <v>0</v>
      </c>
      <c r="C110" s="48">
        <v>0</v>
      </c>
      <c r="D110" s="49">
        <f>Table27[[#This Row],[Duty
Cycle '[%']]]*'Orbit Parameters'!$C$6</f>
        <v>0</v>
      </c>
      <c r="E110" s="50">
        <f>Table27[[#This Row],[Duty
Cycle '[%']]]*Table26[[#This Row],[Margined
Power '[W']]]</f>
        <v>0</v>
      </c>
      <c r="G110" s="100">
        <v>0</v>
      </c>
      <c r="H110" s="49">
        <f>Table272[[#This Row],[Duty
Cycle '[%']]]*'Orbit Parameters'!$C$6</f>
        <v>0</v>
      </c>
      <c r="I110" s="50">
        <f>Table26[[#This Row],[Margined
Power '[W']]]*Table272[[#This Row],[Duty
Cycle '[%']]]</f>
        <v>0</v>
      </c>
      <c r="K110" s="101">
        <v>0</v>
      </c>
      <c r="L110" s="49">
        <f>Table2724[[#This Row],[Duty
Cycle '[%']]]*'Orbit Parameters'!$C$6</f>
        <v>0</v>
      </c>
      <c r="M110" s="50">
        <f>Table26[[#This Row],[Margined
Power '[W']]]*Table2724[[#This Row],[Duty
Cycle '[%']]]</f>
        <v>0</v>
      </c>
      <c r="O110" s="101">
        <v>0</v>
      </c>
      <c r="P110" s="49">
        <f>Table276[[#This Row],[Duty
Cycle '[%']]]*'Orbit Parameters'!$C$6</f>
        <v>0</v>
      </c>
      <c r="Q110" s="50">
        <f>Table276[[#This Row],[Duty
Cycle '[%']]]*Table26[[#This Row],[Margined
Power '[W']]]</f>
        <v>0</v>
      </c>
      <c r="S110" s="101">
        <v>0</v>
      </c>
      <c r="T110" s="49">
        <f>Table2728[[#This Row],[Duty
Cycle '[%']]]*'Orbit Parameters'!$C$6</f>
        <v>0</v>
      </c>
      <c r="U110" s="50">
        <f>Table26[[#This Row],[Margined
Power '[W']]]*Table2728[[#This Row],[Duty
Cycle '[%']]]</f>
        <v>0</v>
      </c>
      <c r="W110" s="48">
        <v>0</v>
      </c>
      <c r="X110" s="49">
        <f>Table272410[[#This Row],[Duty
Cycle '[%']]]*'Orbit Parameters'!$C$6</f>
        <v>0</v>
      </c>
      <c r="Y110" s="50">
        <f>Table26[[#This Row],[Margined
Power '[W']]]*Table272410[[#This Row],[Duty
Cycle '[%']]]</f>
        <v>0</v>
      </c>
    </row>
    <row r="111" spans="1:25" hidden="1" x14ac:dyDescent="0.25">
      <c r="A111" s="55" t="str">
        <f>'Power Consumption'!A103</f>
        <v>Consumer #99</v>
      </c>
      <c r="B111" s="49">
        <f>'Power Consumption'!N103</f>
        <v>0</v>
      </c>
      <c r="C111" s="48">
        <v>0</v>
      </c>
      <c r="D111" s="49">
        <f>Table27[[#This Row],[Duty
Cycle '[%']]]*'Orbit Parameters'!$C$6</f>
        <v>0</v>
      </c>
      <c r="E111" s="50">
        <f>Table27[[#This Row],[Duty
Cycle '[%']]]*Table26[[#This Row],[Margined
Power '[W']]]</f>
        <v>0</v>
      </c>
      <c r="G111" s="100">
        <v>0</v>
      </c>
      <c r="H111" s="49">
        <f>Table272[[#This Row],[Duty
Cycle '[%']]]*'Orbit Parameters'!$C$6</f>
        <v>0</v>
      </c>
      <c r="I111" s="50">
        <f>Table26[[#This Row],[Margined
Power '[W']]]*Table272[[#This Row],[Duty
Cycle '[%']]]</f>
        <v>0</v>
      </c>
      <c r="K111" s="101">
        <v>0</v>
      </c>
      <c r="L111" s="49">
        <f>Table2724[[#This Row],[Duty
Cycle '[%']]]*'Orbit Parameters'!$C$6</f>
        <v>0</v>
      </c>
      <c r="M111" s="50">
        <f>Table26[[#This Row],[Margined
Power '[W']]]*Table2724[[#This Row],[Duty
Cycle '[%']]]</f>
        <v>0</v>
      </c>
      <c r="O111" s="101">
        <v>0</v>
      </c>
      <c r="P111" s="49">
        <f>Table276[[#This Row],[Duty
Cycle '[%']]]*'Orbit Parameters'!$C$6</f>
        <v>0</v>
      </c>
      <c r="Q111" s="50">
        <f>Table276[[#This Row],[Duty
Cycle '[%']]]*Table26[[#This Row],[Margined
Power '[W']]]</f>
        <v>0</v>
      </c>
      <c r="S111" s="101">
        <v>0</v>
      </c>
      <c r="T111" s="49">
        <f>Table2728[[#This Row],[Duty
Cycle '[%']]]*'Orbit Parameters'!$C$6</f>
        <v>0</v>
      </c>
      <c r="U111" s="50">
        <f>Table26[[#This Row],[Margined
Power '[W']]]*Table2728[[#This Row],[Duty
Cycle '[%']]]</f>
        <v>0</v>
      </c>
      <c r="W111" s="48">
        <v>0</v>
      </c>
      <c r="X111" s="49">
        <f>Table272410[[#This Row],[Duty
Cycle '[%']]]*'Orbit Parameters'!$C$6</f>
        <v>0</v>
      </c>
      <c r="Y111" s="50">
        <f>Table26[[#This Row],[Margined
Power '[W']]]*Table272410[[#This Row],[Duty
Cycle '[%']]]</f>
        <v>0</v>
      </c>
    </row>
    <row r="112" spans="1:25" ht="15.75" hidden="1" thickBot="1" x14ac:dyDescent="0.3">
      <c r="A112" s="55" t="str">
        <f>'Power Consumption'!A104</f>
        <v>Consumer #100</v>
      </c>
      <c r="B112" s="49">
        <f>'Power Consumption'!N104</f>
        <v>0</v>
      </c>
      <c r="C112" s="48">
        <v>0</v>
      </c>
      <c r="D112" s="51">
        <f>C112*'Orbit Parameters'!$C$6</f>
        <v>0</v>
      </c>
      <c r="E112" s="52">
        <f t="shared" ref="E112" si="0">B112*C112</f>
        <v>0</v>
      </c>
      <c r="G112" s="100">
        <v>0</v>
      </c>
      <c r="H112" s="49">
        <f>Table272[[#This Row],[Duty
Cycle '[%']]]*'Orbit Parameters'!$C$6</f>
        <v>0</v>
      </c>
      <c r="I112" s="50">
        <f>Table26[[#This Row],[Margined
Power '[W']]]*Table272[[#This Row],[Duty
Cycle '[%']]]</f>
        <v>0</v>
      </c>
      <c r="K112" s="101">
        <v>0</v>
      </c>
      <c r="L112" s="49">
        <f>Table2724[[#This Row],[Duty
Cycle '[%']]]*'Orbit Parameters'!$C$6</f>
        <v>0</v>
      </c>
      <c r="M112" s="50">
        <f>Table26[[#This Row],[Margined
Power '[W']]]*Table2724[[#This Row],[Duty
Cycle '[%']]]</f>
        <v>0</v>
      </c>
      <c r="O112" s="101">
        <v>0</v>
      </c>
      <c r="P112" s="49">
        <f>Table276[[#This Row],[Duty
Cycle '[%']]]*'Orbit Parameters'!$C$6</f>
        <v>0</v>
      </c>
      <c r="Q112" s="52">
        <f t="shared" ref="Q112" si="1">N112*O112</f>
        <v>0</v>
      </c>
      <c r="S112" s="101">
        <v>0</v>
      </c>
      <c r="T112" s="49">
        <f>Table2728[[#This Row],[Duty
Cycle '[%']]]*'Orbit Parameters'!$C$6</f>
        <v>0</v>
      </c>
      <c r="U112" s="50">
        <f>Table26[[#This Row],[Margined
Power '[W']]]*Table2728[[#This Row],[Duty
Cycle '[%']]]</f>
        <v>0</v>
      </c>
      <c r="W112" s="48">
        <v>0</v>
      </c>
      <c r="X112" s="49">
        <f>Table272410[[#This Row],[Duty
Cycle '[%']]]*'Orbit Parameters'!$C$6</f>
        <v>0</v>
      </c>
      <c r="Y112" s="50">
        <f>Table26[[#This Row],[Margined
Power '[W']]]*Table272410[[#This Row],[Duty
Cycle '[%']]]</f>
        <v>0</v>
      </c>
    </row>
    <row r="113" spans="1:25" ht="15.75" thickBot="1" x14ac:dyDescent="0.3">
      <c r="K113" s="64"/>
      <c r="L113" s="64"/>
      <c r="M113" s="64"/>
      <c r="O113" s="64"/>
      <c r="P113" s="64"/>
      <c r="Q113" s="64"/>
      <c r="S113" s="64"/>
      <c r="T113" s="64"/>
      <c r="U113" s="64"/>
      <c r="W113" s="64"/>
      <c r="X113" s="64"/>
      <c r="Y113" s="64"/>
    </row>
    <row r="114" spans="1:25" ht="15.75" thickBot="1" x14ac:dyDescent="0.3">
      <c r="B114" s="85" t="s">
        <v>88</v>
      </c>
      <c r="C114" s="197">
        <v>0.2</v>
      </c>
      <c r="D114" s="191"/>
      <c r="E114" s="56"/>
      <c r="F114" s="105"/>
      <c r="G114" s="191">
        <v>0.2</v>
      </c>
      <c r="H114" s="191"/>
      <c r="I114" s="56"/>
      <c r="J114" s="105"/>
      <c r="K114" s="191">
        <v>0.2</v>
      </c>
      <c r="L114" s="191"/>
      <c r="M114" s="56"/>
      <c r="N114" s="105"/>
      <c r="O114" s="191">
        <v>0.2</v>
      </c>
      <c r="P114" s="191"/>
      <c r="Q114" s="56"/>
      <c r="R114" s="105"/>
      <c r="S114" s="191">
        <v>0.2</v>
      </c>
      <c r="T114" s="191"/>
      <c r="U114" s="56"/>
      <c r="V114" s="105"/>
      <c r="W114" s="197">
        <v>0</v>
      </c>
      <c r="X114" s="191"/>
      <c r="Y114" s="56"/>
    </row>
    <row r="115" spans="1:25" ht="30.75" thickBot="1" x14ac:dyDescent="0.3">
      <c r="B115" s="84" t="s">
        <v>60</v>
      </c>
      <c r="C115" s="195">
        <f>(1+C114)*SUM(E13:E112)</f>
        <v>15.570179680567879</v>
      </c>
      <c r="D115" s="196"/>
      <c r="E115" s="89" t="s">
        <v>61</v>
      </c>
      <c r="F115" s="106"/>
      <c r="G115" s="196">
        <f>(1+G114)*SUM(I13:I112)</f>
        <v>13.973019077196096</v>
      </c>
      <c r="H115" s="196"/>
      <c r="I115" s="89" t="s">
        <v>61</v>
      </c>
      <c r="J115" s="106"/>
      <c r="K115" s="196">
        <f>(1+K114)*SUM(M13:M112)</f>
        <v>9.1815372670807456</v>
      </c>
      <c r="L115" s="196"/>
      <c r="M115" s="89" t="s">
        <v>61</v>
      </c>
      <c r="N115" s="106"/>
      <c r="O115" s="196">
        <f>(1+O114)*SUM(Q13:Q112)</f>
        <v>6.2691149068322982</v>
      </c>
      <c r="P115" s="196"/>
      <c r="Q115" s="89" t="s">
        <v>61</v>
      </c>
      <c r="R115" s="106"/>
      <c r="S115" s="196">
        <f>(1+S114)*SUM(U13:U112)</f>
        <v>6.4316571428571431E-2</v>
      </c>
      <c r="T115" s="196"/>
      <c r="U115" s="89" t="s">
        <v>61</v>
      </c>
      <c r="V115" s="106"/>
      <c r="W115" s="195">
        <f>(1+W114)*SUM(Y13:Y112)</f>
        <v>0</v>
      </c>
      <c r="X115" s="196"/>
      <c r="Y115" s="89" t="s">
        <v>61</v>
      </c>
    </row>
    <row r="116" spans="1:25" ht="15.75" thickBot="1" x14ac:dyDescent="0.3">
      <c r="B116" s="81"/>
      <c r="C116" s="55"/>
      <c r="D116" s="49"/>
      <c r="E116" s="49"/>
      <c r="G116" s="55"/>
      <c r="H116" s="49"/>
      <c r="I116" s="49"/>
      <c r="K116" s="55"/>
      <c r="L116" s="49"/>
      <c r="M116" s="49"/>
      <c r="O116" s="55"/>
      <c r="P116" s="49"/>
      <c r="Q116" s="49"/>
      <c r="S116" s="55"/>
      <c r="T116" s="49"/>
      <c r="U116" s="49"/>
      <c r="W116" s="55"/>
      <c r="X116" s="49"/>
      <c r="Y116" s="49"/>
    </row>
    <row r="117" spans="1:25" x14ac:dyDescent="0.25">
      <c r="B117" s="93" t="s">
        <v>68</v>
      </c>
      <c r="C117" s="86"/>
      <c r="D117" s="86"/>
      <c r="E117" s="87"/>
      <c r="F117" s="103"/>
      <c r="G117" s="98"/>
      <c r="H117" s="86"/>
      <c r="I117" s="87"/>
      <c r="J117" s="103"/>
      <c r="K117" s="98"/>
      <c r="L117" s="86"/>
      <c r="M117" s="87"/>
      <c r="N117" s="103"/>
      <c r="O117" s="98"/>
      <c r="P117" s="86"/>
      <c r="Q117" s="87"/>
      <c r="R117" s="103"/>
      <c r="S117" s="98"/>
      <c r="T117" s="86"/>
      <c r="U117" s="87"/>
      <c r="V117" s="103"/>
      <c r="W117" s="96"/>
      <c r="X117" s="86"/>
      <c r="Y117" s="87"/>
    </row>
    <row r="118" spans="1:25" ht="15" customHeight="1" x14ac:dyDescent="0.25">
      <c r="B118" s="24" t="s">
        <v>190</v>
      </c>
      <c r="C118" s="198">
        <v>21</v>
      </c>
      <c r="D118" s="193"/>
      <c r="E118" s="90" t="s">
        <v>61</v>
      </c>
      <c r="F118" s="107"/>
      <c r="G118" s="192">
        <v>8.5299999999999994</v>
      </c>
      <c r="H118" s="193"/>
      <c r="I118" s="90" t="s">
        <v>61</v>
      </c>
      <c r="J118" s="107"/>
      <c r="K118" s="192">
        <v>8.5299999999999994</v>
      </c>
      <c r="L118" s="193"/>
      <c r="M118" s="90" t="s">
        <v>61</v>
      </c>
      <c r="N118" s="107"/>
      <c r="O118" s="192">
        <v>8.5299999999999994</v>
      </c>
      <c r="P118" s="193"/>
      <c r="Q118" s="90" t="s">
        <v>61</v>
      </c>
      <c r="R118" s="107"/>
      <c r="S118" s="192">
        <v>8</v>
      </c>
      <c r="T118" s="193"/>
      <c r="U118" s="90" t="s">
        <v>61</v>
      </c>
      <c r="V118" s="107"/>
      <c r="W118" s="203">
        <v>0</v>
      </c>
      <c r="X118" s="193"/>
      <c r="Y118" s="90" t="s">
        <v>61</v>
      </c>
    </row>
    <row r="119" spans="1:25" x14ac:dyDescent="0.25">
      <c r="B119" s="24" t="s">
        <v>59</v>
      </c>
      <c r="C119" s="187">
        <f>$C118/'Orbit Parameters'!$C$10*'Orbit Parameters'!$C$6*'EPS Parameters'!$C$7</f>
        <v>25.074626865671643</v>
      </c>
      <c r="D119" s="188"/>
      <c r="E119" s="90" t="s">
        <v>61</v>
      </c>
      <c r="F119" s="107"/>
      <c r="G119" s="194">
        <f>G118/'Orbit Parameters'!$C$10*'Orbit Parameters'!$C$6*'EPS Parameters'!$C$7</f>
        <v>10.185074626865672</v>
      </c>
      <c r="H119" s="188"/>
      <c r="I119" s="90" t="s">
        <v>61</v>
      </c>
      <c r="J119" s="107"/>
      <c r="K119" s="194">
        <f>K118/'Orbit Parameters'!$C$10*'Orbit Parameters'!$C$6*'EPS Parameters'!$C$7</f>
        <v>10.185074626865672</v>
      </c>
      <c r="L119" s="188"/>
      <c r="M119" s="90" t="s">
        <v>61</v>
      </c>
      <c r="N119" s="107"/>
      <c r="O119" s="194">
        <f>$O118/'Orbit Parameters'!$C$10*'Orbit Parameters'!$C$6*'EPS Parameters'!$C$7</f>
        <v>10.185074626865672</v>
      </c>
      <c r="P119" s="188"/>
      <c r="Q119" s="90" t="s">
        <v>61</v>
      </c>
      <c r="R119" s="107"/>
      <c r="S119" s="194">
        <f>S118/'Orbit Parameters'!$C$10*'Orbit Parameters'!$C$6*'EPS Parameters'!$C$7</f>
        <v>9.5522388059701502</v>
      </c>
      <c r="T119" s="188"/>
      <c r="U119" s="90" t="s">
        <v>61</v>
      </c>
      <c r="V119" s="107"/>
      <c r="W119" s="204">
        <f>W118/'Orbit Parameters'!$C$10*'Orbit Parameters'!$C$6*'EPS Parameters'!$C$7</f>
        <v>0</v>
      </c>
      <c r="X119" s="188"/>
      <c r="Y119" s="90" t="s">
        <v>61</v>
      </c>
    </row>
    <row r="120" spans="1:25" x14ac:dyDescent="0.25">
      <c r="B120" s="24" t="s">
        <v>63</v>
      </c>
      <c r="C120" s="187">
        <f>$C119-$C115</f>
        <v>9.5044471851037642</v>
      </c>
      <c r="D120" s="188"/>
      <c r="E120" s="91" t="s">
        <v>61</v>
      </c>
      <c r="F120" s="107"/>
      <c r="G120" s="194">
        <f>G119-G115</f>
        <v>-3.7879444503304232</v>
      </c>
      <c r="H120" s="188"/>
      <c r="I120" s="91" t="s">
        <v>61</v>
      </c>
      <c r="J120" s="107"/>
      <c r="K120" s="194">
        <f>K119-K115</f>
        <v>1.0035373597849269</v>
      </c>
      <c r="L120" s="188"/>
      <c r="M120" s="91" t="s">
        <v>61</v>
      </c>
      <c r="N120" s="107"/>
      <c r="O120" s="194">
        <f>$O119-$O115</f>
        <v>3.9159597200333742</v>
      </c>
      <c r="P120" s="188"/>
      <c r="Q120" s="91" t="s">
        <v>61</v>
      </c>
      <c r="R120" s="107"/>
      <c r="S120" s="194">
        <f>S119-S115</f>
        <v>9.4879222345415783</v>
      </c>
      <c r="T120" s="188"/>
      <c r="U120" s="91" t="s">
        <v>61</v>
      </c>
      <c r="V120" s="107"/>
      <c r="W120" s="204">
        <f>W119-W115</f>
        <v>0</v>
      </c>
      <c r="X120" s="188"/>
      <c r="Y120" s="91" t="s">
        <v>61</v>
      </c>
    </row>
    <row r="121" spans="1:25" x14ac:dyDescent="0.25">
      <c r="B121" s="24" t="s">
        <v>66</v>
      </c>
      <c r="C121" s="187">
        <f>$C120*'Orbit Parameters'!$C$10/3600</f>
        <v>10.151307092236433</v>
      </c>
      <c r="D121" s="188"/>
      <c r="E121" s="90" t="s">
        <v>43</v>
      </c>
      <c r="F121" s="108"/>
      <c r="G121" s="194">
        <f>G120*'Orbit Parameters'!$C$10/3600</f>
        <v>-4.0457468608908957</v>
      </c>
      <c r="H121" s="188"/>
      <c r="I121" s="90" t="s">
        <v>43</v>
      </c>
      <c r="J121" s="108"/>
      <c r="K121" s="194">
        <f>K120*'Orbit Parameters'!$C$10/3600</f>
        <v>1.0718367643386231</v>
      </c>
      <c r="L121" s="188"/>
      <c r="M121" s="90" t="s">
        <v>43</v>
      </c>
      <c r="N121" s="108"/>
      <c r="O121" s="194">
        <f>$O120*'Orbit Parameters'!$C$10/3600</f>
        <v>4.1824746778739659</v>
      </c>
      <c r="P121" s="188"/>
      <c r="Q121" s="90" t="s">
        <v>43</v>
      </c>
      <c r="R121" s="108"/>
      <c r="S121" s="194">
        <f>S120*'Orbit Parameters'!$C$10/3600</f>
        <v>10.133657475738623</v>
      </c>
      <c r="T121" s="188"/>
      <c r="U121" s="90" t="s">
        <v>43</v>
      </c>
      <c r="V121" s="108"/>
      <c r="W121" s="204">
        <f>W120*'Orbit Parameters'!$C$10/3600</f>
        <v>0</v>
      </c>
      <c r="X121" s="188"/>
      <c r="Y121" s="90" t="s">
        <v>43</v>
      </c>
    </row>
    <row r="122" spans="1:25" x14ac:dyDescent="0.25">
      <c r="B122" s="24" t="s">
        <v>54</v>
      </c>
      <c r="C122" s="189">
        <f>$C121/'EPS Parameters'!$C$23</f>
        <v>4.6659804615905645E-2</v>
      </c>
      <c r="D122" s="190"/>
      <c r="E122" s="90"/>
      <c r="F122" s="108"/>
      <c r="G122" s="200">
        <f>G121/'EPS Parameters'!$C$23</f>
        <v>-1.8596005060171426E-2</v>
      </c>
      <c r="H122" s="190"/>
      <c r="I122" s="90"/>
      <c r="J122" s="108"/>
      <c r="K122" s="200">
        <f>K121/'EPS Parameters'!$C$23</f>
        <v>4.9266260541396536E-3</v>
      </c>
      <c r="L122" s="190"/>
      <c r="M122" s="90"/>
      <c r="N122" s="108"/>
      <c r="O122" s="200">
        <f>$O121/'EPS Parameters'!$C$23</f>
        <v>1.9224465333121742E-2</v>
      </c>
      <c r="P122" s="190"/>
      <c r="Q122" s="90"/>
      <c r="R122" s="108"/>
      <c r="S122" s="200">
        <f>S121/'EPS Parameters'!$C$23</f>
        <v>4.6578679333235076E-2</v>
      </c>
      <c r="T122" s="190"/>
      <c r="U122" s="90"/>
      <c r="V122" s="108"/>
      <c r="W122" s="205">
        <f>W121/'EPS Parameters'!$C$23</f>
        <v>0</v>
      </c>
      <c r="X122" s="190"/>
      <c r="Y122" s="90"/>
    </row>
    <row r="123" spans="1:25" x14ac:dyDescent="0.25">
      <c r="B123" s="24" t="s">
        <v>67</v>
      </c>
      <c r="C123" s="187">
        <f>-$C115*'Orbit Parameters'!$C$9/3600</f>
        <v>-8.1908291247280545</v>
      </c>
      <c r="D123" s="188"/>
      <c r="E123" s="90" t="s">
        <v>43</v>
      </c>
      <c r="F123" s="108"/>
      <c r="G123" s="194">
        <f>-G115*'Orbit Parameters'!$C$9/3600</f>
        <v>-7.3506288280485821</v>
      </c>
      <c r="H123" s="188"/>
      <c r="I123" s="90" t="s">
        <v>43</v>
      </c>
      <c r="J123" s="108"/>
      <c r="K123" s="194">
        <f>-K115*'Orbit Parameters'!$C$9/3600</f>
        <v>-4.8300279380101632</v>
      </c>
      <c r="L123" s="188"/>
      <c r="M123" s="90" t="s">
        <v>43</v>
      </c>
      <c r="N123" s="108"/>
      <c r="O123" s="194">
        <f>-$O115*'Orbit Parameters'!$C$9/3600</f>
        <v>-3.2979226970151432</v>
      </c>
      <c r="P123" s="188"/>
      <c r="Q123" s="90" t="s">
        <v>43</v>
      </c>
      <c r="R123" s="108"/>
      <c r="S123" s="194">
        <f>-S115*'Orbit Parameters'!$C$9/3600</f>
        <v>-3.3834294611080645E-2</v>
      </c>
      <c r="T123" s="188"/>
      <c r="U123" s="90" t="s">
        <v>43</v>
      </c>
      <c r="V123" s="108"/>
      <c r="W123" s="204">
        <f>-W115*'Orbit Parameters'!$C$9/3600</f>
        <v>0</v>
      </c>
      <c r="X123" s="188"/>
      <c r="Y123" s="90" t="s">
        <v>43</v>
      </c>
    </row>
    <row r="124" spans="1:25" x14ac:dyDescent="0.25">
      <c r="B124" s="24" t="s">
        <v>54</v>
      </c>
      <c r="C124" s="189">
        <f>$C123/'EPS Parameters'!$C$19</f>
        <v>-3.6895626687964207E-2</v>
      </c>
      <c r="D124" s="190"/>
      <c r="E124" s="90"/>
      <c r="F124" s="108"/>
      <c r="G124" s="200">
        <f>G123/'EPS Parameters'!$C$19</f>
        <v>-3.3110940666885504E-2</v>
      </c>
      <c r="H124" s="190"/>
      <c r="I124" s="90"/>
      <c r="J124" s="108"/>
      <c r="K124" s="200">
        <f>K123/'EPS Parameters'!$C$19</f>
        <v>-2.1756882603649382E-2</v>
      </c>
      <c r="L124" s="190"/>
      <c r="M124" s="90"/>
      <c r="N124" s="108"/>
      <c r="O124" s="200">
        <f>$O123/'EPS Parameters'!$C$19</f>
        <v>-1.4855507644212358E-2</v>
      </c>
      <c r="P124" s="190"/>
      <c r="Q124" s="90"/>
      <c r="R124" s="108"/>
      <c r="S124" s="200">
        <f>S123/'EPS Parameters'!$C$19</f>
        <v>-1.5240673248234524E-4</v>
      </c>
      <c r="T124" s="190"/>
      <c r="U124" s="90"/>
      <c r="V124" s="108"/>
      <c r="W124" s="205">
        <f>W123/'EPS Parameters'!$C$19</f>
        <v>0</v>
      </c>
      <c r="X124" s="190"/>
      <c r="Y124" s="90"/>
    </row>
    <row r="125" spans="1:25" x14ac:dyDescent="0.25">
      <c r="B125" s="183" t="s">
        <v>65</v>
      </c>
      <c r="C125" s="187">
        <f>IF(C$120&gt;0, C123,C121+C123)</f>
        <v>-8.1908291247280545</v>
      </c>
      <c r="D125" s="188"/>
      <c r="E125" s="90" t="s">
        <v>43</v>
      </c>
      <c r="F125" s="108"/>
      <c r="G125" s="194">
        <f>IF(G120&gt;0, G123,G121+G123)</f>
        <v>-11.396375688939479</v>
      </c>
      <c r="H125" s="188"/>
      <c r="I125" s="90" t="s">
        <v>43</v>
      </c>
      <c r="J125" s="108"/>
      <c r="K125" s="194">
        <f>IF(K120&gt;0, K123,K121+K123)</f>
        <v>-4.8300279380101632</v>
      </c>
      <c r="L125" s="188"/>
      <c r="M125" s="90" t="s">
        <v>43</v>
      </c>
      <c r="N125" s="108"/>
      <c r="O125" s="194">
        <f>IF(O$120&gt;0, O123,O121+O123)</f>
        <v>-3.2979226970151432</v>
      </c>
      <c r="P125" s="188"/>
      <c r="Q125" s="90" t="s">
        <v>43</v>
      </c>
      <c r="R125" s="108"/>
      <c r="S125" s="194">
        <f>IF(S120&gt;0, S123,S121+S123)</f>
        <v>-3.3834294611080645E-2</v>
      </c>
      <c r="T125" s="188"/>
      <c r="U125" s="90" t="s">
        <v>43</v>
      </c>
      <c r="V125" s="108"/>
      <c r="W125" s="204">
        <f>IF(W120&gt;0, W123,W121+W123)</f>
        <v>0</v>
      </c>
      <c r="X125" s="188"/>
      <c r="Y125" s="90" t="s">
        <v>43</v>
      </c>
    </row>
    <row r="126" spans="1:25" ht="15.75" thickBot="1" x14ac:dyDescent="0.3">
      <c r="B126" s="184"/>
      <c r="C126" s="185">
        <f>C125/'EPS Parameters'!$C$23</f>
        <v>-3.7648598661187971E-2</v>
      </c>
      <c r="D126" s="186"/>
      <c r="E126" s="92"/>
      <c r="F126" s="109"/>
      <c r="G126" s="199">
        <f>G125/'EPS Parameters'!$C$23</f>
        <v>-5.23826792100546E-2</v>
      </c>
      <c r="H126" s="186"/>
      <c r="I126" s="92"/>
      <c r="J126" s="109"/>
      <c r="K126" s="199">
        <f>K125/'EPS Parameters'!$C$23</f>
        <v>-2.2200900615968758E-2</v>
      </c>
      <c r="L126" s="186"/>
      <c r="M126" s="92"/>
      <c r="N126" s="109"/>
      <c r="O126" s="199">
        <f>O125/'EPS Parameters'!$C$23</f>
        <v>-1.5158681269604445E-2</v>
      </c>
      <c r="P126" s="186"/>
      <c r="Q126" s="92"/>
      <c r="R126" s="109"/>
      <c r="S126" s="199">
        <f>S125/'EPS Parameters'!$C$23</f>
        <v>-1.5551707396157678E-4</v>
      </c>
      <c r="T126" s="186"/>
      <c r="U126" s="92"/>
      <c r="V126" s="109"/>
      <c r="W126" s="206">
        <f>W125/'EPS Parameters'!$C$23</f>
        <v>0</v>
      </c>
      <c r="X126" s="186"/>
      <c r="Y126" s="92"/>
    </row>
    <row r="127" spans="1:25" ht="15.75" thickBot="1" x14ac:dyDescent="0.3">
      <c r="A127" s="55"/>
      <c r="C127" s="61"/>
      <c r="D127" s="61"/>
      <c r="E127" s="55"/>
      <c r="G127" s="63"/>
      <c r="H127" s="63"/>
      <c r="I127" s="55"/>
      <c r="K127" s="63"/>
      <c r="L127" s="63"/>
      <c r="M127" s="55"/>
      <c r="O127" s="63"/>
      <c r="P127" s="63"/>
      <c r="Q127" s="55"/>
      <c r="S127" s="63"/>
      <c r="T127" s="63"/>
      <c r="U127" s="55"/>
      <c r="W127" s="63"/>
      <c r="X127" s="63"/>
      <c r="Y127" s="55"/>
    </row>
    <row r="128" spans="1:25" ht="15" customHeight="1" x14ac:dyDescent="0.25">
      <c r="B128" s="93" t="s">
        <v>89</v>
      </c>
      <c r="C128" s="86"/>
      <c r="D128" s="88"/>
      <c r="E128" s="87"/>
      <c r="F128" s="104"/>
      <c r="G128" s="98"/>
      <c r="H128" s="88"/>
      <c r="I128" s="87"/>
      <c r="J128" s="104"/>
      <c r="K128" s="98"/>
      <c r="L128" s="88"/>
      <c r="M128" s="87"/>
      <c r="N128" s="104"/>
      <c r="O128" s="98"/>
      <c r="P128" s="88"/>
      <c r="Q128" s="87"/>
      <c r="R128" s="104"/>
      <c r="S128" s="98"/>
      <c r="T128" s="88"/>
      <c r="U128" s="87"/>
      <c r="V128" s="104"/>
      <c r="W128" s="96"/>
      <c r="X128" s="88"/>
      <c r="Y128" s="87"/>
    </row>
    <row r="129" spans="2:25" ht="15" customHeight="1" x14ac:dyDescent="0.25">
      <c r="B129" s="24" t="s">
        <v>190</v>
      </c>
      <c r="C129" s="187">
        <f>C118*(1-'EPS Parameters'!$C$9)</f>
        <v>20.684999999999999</v>
      </c>
      <c r="D129" s="188"/>
      <c r="E129" s="90" t="s">
        <v>61</v>
      </c>
      <c r="F129" s="107"/>
      <c r="G129" s="194">
        <f>G118*(1-'EPS Parameters'!$C$9)</f>
        <v>8.4020499999999991</v>
      </c>
      <c r="H129" s="188"/>
      <c r="I129" s="90" t="s">
        <v>61</v>
      </c>
      <c r="J129" s="107"/>
      <c r="K129" s="194">
        <f>K118*(1-'EPS Parameters'!$C$9)</f>
        <v>8.4020499999999991</v>
      </c>
      <c r="L129" s="188"/>
      <c r="M129" s="90" t="s">
        <v>61</v>
      </c>
      <c r="N129" s="107"/>
      <c r="O129" s="194">
        <f>O118*(1-'EPS Parameters'!$C$9)</f>
        <v>8.4020499999999991</v>
      </c>
      <c r="P129" s="188"/>
      <c r="Q129" s="90" t="s">
        <v>61</v>
      </c>
      <c r="R129" s="107"/>
      <c r="S129" s="194">
        <f>S118*(1-'EPS Parameters'!$C$9)</f>
        <v>7.88</v>
      </c>
      <c r="T129" s="188"/>
      <c r="U129" s="90" t="s">
        <v>61</v>
      </c>
      <c r="V129" s="107"/>
      <c r="W129" s="204">
        <f>W118*(1-'EPS Parameters'!$C$9)</f>
        <v>0</v>
      </c>
      <c r="X129" s="188"/>
      <c r="Y129" s="90" t="s">
        <v>61</v>
      </c>
    </row>
    <row r="130" spans="2:25" x14ac:dyDescent="0.25">
      <c r="B130" s="24" t="s">
        <v>59</v>
      </c>
      <c r="C130" s="187">
        <f>C129/'Orbit Parameters'!$C$10*'Orbit Parameters'!$C$6*'EPS Parameters'!$C$7</f>
        <v>24.698507462686567</v>
      </c>
      <c r="D130" s="188"/>
      <c r="E130" s="90" t="s">
        <v>61</v>
      </c>
      <c r="F130" s="107"/>
      <c r="G130" s="194">
        <f>G129/'Orbit Parameters'!$C$10*'Orbit Parameters'!$C$6*'EPS Parameters'!$C$7</f>
        <v>10.032298507462686</v>
      </c>
      <c r="H130" s="188"/>
      <c r="I130" s="90" t="s">
        <v>61</v>
      </c>
      <c r="J130" s="107"/>
      <c r="K130" s="194">
        <f>K129/'Orbit Parameters'!$C$10*'Orbit Parameters'!$C$6*'EPS Parameters'!$C$7</f>
        <v>10.032298507462686</v>
      </c>
      <c r="L130" s="188"/>
      <c r="M130" s="90" t="s">
        <v>61</v>
      </c>
      <c r="N130" s="107"/>
      <c r="O130" s="194">
        <f>O129/'Orbit Parameters'!$C$10*'Orbit Parameters'!$C$6*'EPS Parameters'!$C$7</f>
        <v>10.032298507462686</v>
      </c>
      <c r="P130" s="188"/>
      <c r="Q130" s="90" t="s">
        <v>61</v>
      </c>
      <c r="R130" s="107"/>
      <c r="S130" s="194">
        <f>S129/'Orbit Parameters'!$C$10*'Orbit Parameters'!$C$6*'EPS Parameters'!$C$7</f>
        <v>9.4089552238805982</v>
      </c>
      <c r="T130" s="188"/>
      <c r="U130" s="90" t="s">
        <v>61</v>
      </c>
      <c r="V130" s="107"/>
      <c r="W130" s="204">
        <f>W129/'Orbit Parameters'!$C$10*'Orbit Parameters'!$C$6*'EPS Parameters'!$C$7</f>
        <v>0</v>
      </c>
      <c r="X130" s="188"/>
      <c r="Y130" s="90" t="s">
        <v>61</v>
      </c>
    </row>
    <row r="131" spans="2:25" x14ac:dyDescent="0.25">
      <c r="B131" s="24" t="s">
        <v>63</v>
      </c>
      <c r="C131" s="187">
        <f>$C130-$C115</f>
        <v>9.1283277821186886</v>
      </c>
      <c r="D131" s="188"/>
      <c r="E131" s="91" t="s">
        <v>61</v>
      </c>
      <c r="F131" s="107"/>
      <c r="G131" s="194">
        <f>G130-G115</f>
        <v>-3.9407205697334096</v>
      </c>
      <c r="H131" s="188"/>
      <c r="I131" s="91" t="s">
        <v>61</v>
      </c>
      <c r="J131" s="107"/>
      <c r="K131" s="194">
        <f>K130-K115</f>
        <v>0.85076124038194045</v>
      </c>
      <c r="L131" s="188"/>
      <c r="M131" s="91" t="s">
        <v>61</v>
      </c>
      <c r="N131" s="107"/>
      <c r="O131" s="194">
        <f>$O130-$O115</f>
        <v>3.7631836006303878</v>
      </c>
      <c r="P131" s="188"/>
      <c r="Q131" s="91" t="s">
        <v>61</v>
      </c>
      <c r="R131" s="107"/>
      <c r="S131" s="194">
        <f>S130-S115</f>
        <v>9.3446386524520264</v>
      </c>
      <c r="T131" s="188"/>
      <c r="U131" s="91" t="s">
        <v>61</v>
      </c>
      <c r="V131" s="107"/>
      <c r="W131" s="204">
        <f>W130-W115</f>
        <v>0</v>
      </c>
      <c r="X131" s="188"/>
      <c r="Y131" s="91" t="s">
        <v>61</v>
      </c>
    </row>
    <row r="132" spans="2:25" x14ac:dyDescent="0.25">
      <c r="B132" s="24" t="s">
        <v>66</v>
      </c>
      <c r="C132" s="187">
        <f>C131*'Orbit Parameters'!$C$10/3600</f>
        <v>9.7495895079634405</v>
      </c>
      <c r="D132" s="188"/>
      <c r="E132" s="90" t="s">
        <v>43</v>
      </c>
      <c r="F132" s="107"/>
      <c r="G132" s="194">
        <f>G131*'Orbit Parameters'!$C$10/3600</f>
        <v>-4.2089207177408312</v>
      </c>
      <c r="H132" s="188"/>
      <c r="I132" s="90" t="s">
        <v>43</v>
      </c>
      <c r="J132" s="107"/>
      <c r="K132" s="194">
        <f>K131*'Orbit Parameters'!$C$10/3600</f>
        <v>0.90866290748868728</v>
      </c>
      <c r="L132" s="188"/>
      <c r="M132" s="90" t="s">
        <v>43</v>
      </c>
      <c r="N132" s="107"/>
      <c r="O132" s="194">
        <f>O131*'Orbit Parameters'!$C$10/3600</f>
        <v>4.0193008210240304</v>
      </c>
      <c r="P132" s="188"/>
      <c r="Q132" s="90" t="s">
        <v>43</v>
      </c>
      <c r="R132" s="107"/>
      <c r="S132" s="194">
        <f>S131*'Orbit Parameters'!$C$10/3600</f>
        <v>9.9806222055393867</v>
      </c>
      <c r="T132" s="188"/>
      <c r="U132" s="90" t="s">
        <v>43</v>
      </c>
      <c r="V132" s="107"/>
      <c r="W132" s="204">
        <f>W131*'Orbit Parameters'!$C$10/3600</f>
        <v>0</v>
      </c>
      <c r="X132" s="188"/>
      <c r="Y132" s="90" t="s">
        <v>43</v>
      </c>
    </row>
    <row r="133" spans="2:25" x14ac:dyDescent="0.25">
      <c r="B133" s="24" t="s">
        <v>54</v>
      </c>
      <c r="C133" s="189">
        <f>C132/'EPS Parameters'!$C$26</f>
        <v>4.574694776634497E-2</v>
      </c>
      <c r="D133" s="190"/>
      <c r="E133" s="90"/>
      <c r="F133" s="107"/>
      <c r="G133" s="200">
        <f>G132/'EPS Parameters'!$C$26</f>
        <v>-1.9749064929339484E-2</v>
      </c>
      <c r="H133" s="190"/>
      <c r="I133" s="90"/>
      <c r="J133" s="107"/>
      <c r="K133" s="200">
        <f>K132/'EPS Parameters'!$C$26</f>
        <v>4.2636209998530746E-3</v>
      </c>
      <c r="L133" s="190"/>
      <c r="M133" s="90"/>
      <c r="N133" s="107"/>
      <c r="O133" s="200">
        <f>O132/'EPS Parameters'!$C$26</f>
        <v>1.8859331930480623E-2</v>
      </c>
      <c r="P133" s="190"/>
      <c r="Q133" s="90"/>
      <c r="R133" s="107"/>
      <c r="S133" s="200">
        <f>S132/'EPS Parameters'!$C$26</f>
        <v>4.6830997586051928E-2</v>
      </c>
      <c r="T133" s="190"/>
      <c r="U133" s="90"/>
      <c r="V133" s="107"/>
      <c r="W133" s="205">
        <f>W132/'EPS Parameters'!$C$26</f>
        <v>0</v>
      </c>
      <c r="X133" s="190"/>
      <c r="Y133" s="90"/>
    </row>
    <row r="134" spans="2:25" x14ac:dyDescent="0.25">
      <c r="B134" s="24" t="s">
        <v>67</v>
      </c>
      <c r="C134" s="187">
        <f>-C115*'Orbit Parameters'!$C$9/3600</f>
        <v>-8.1908291247280545</v>
      </c>
      <c r="D134" s="188"/>
      <c r="E134" s="90" t="s">
        <v>43</v>
      </c>
      <c r="F134" s="107"/>
      <c r="G134" s="194">
        <f>-G115*'Orbit Parameters'!$C$9/3600</f>
        <v>-7.3506288280485821</v>
      </c>
      <c r="H134" s="188"/>
      <c r="I134" s="90" t="s">
        <v>43</v>
      </c>
      <c r="J134" s="107"/>
      <c r="K134" s="194">
        <f>-K115*'Orbit Parameters'!$C$9/3600</f>
        <v>-4.8300279380101632</v>
      </c>
      <c r="L134" s="188"/>
      <c r="M134" s="90" t="s">
        <v>43</v>
      </c>
      <c r="N134" s="107"/>
      <c r="O134" s="194">
        <f>-O115*'Orbit Parameters'!$C$9/3600</f>
        <v>-3.2979226970151432</v>
      </c>
      <c r="P134" s="188"/>
      <c r="Q134" s="90" t="s">
        <v>43</v>
      </c>
      <c r="R134" s="107"/>
      <c r="S134" s="194">
        <f>-S115*'Orbit Parameters'!$C$9/3600</f>
        <v>-3.3834294611080645E-2</v>
      </c>
      <c r="T134" s="188"/>
      <c r="U134" s="90" t="s">
        <v>43</v>
      </c>
      <c r="V134" s="107"/>
      <c r="W134" s="204">
        <f>-W115*'Orbit Parameters'!$C$9/3600</f>
        <v>0</v>
      </c>
      <c r="X134" s="188"/>
      <c r="Y134" s="90" t="s">
        <v>43</v>
      </c>
    </row>
    <row r="135" spans="2:25" x14ac:dyDescent="0.25">
      <c r="B135" s="24" t="s">
        <v>54</v>
      </c>
      <c r="C135" s="189">
        <f>C134/'EPS Parameters'!$C$26</f>
        <v>-3.8432944466629385E-2</v>
      </c>
      <c r="D135" s="190"/>
      <c r="E135" s="90"/>
      <c r="F135" s="107"/>
      <c r="G135" s="200">
        <f>G134/'EPS Parameters'!$C$26</f>
        <v>-3.4490563194672398E-2</v>
      </c>
      <c r="H135" s="190"/>
      <c r="I135" s="90"/>
      <c r="J135" s="107"/>
      <c r="K135" s="200">
        <f>K134/'EPS Parameters'!$C$26</f>
        <v>-2.2663419378801442E-2</v>
      </c>
      <c r="L135" s="190"/>
      <c r="M135" s="90"/>
      <c r="N135" s="107"/>
      <c r="O135" s="200">
        <f>O134/'EPS Parameters'!$C$26</f>
        <v>-1.5474487129387871E-2</v>
      </c>
      <c r="P135" s="190"/>
      <c r="Q135" s="90"/>
      <c r="R135" s="107"/>
      <c r="S135" s="200">
        <f>S134/'EPS Parameters'!$C$26</f>
        <v>-1.5875701300244297E-4</v>
      </c>
      <c r="T135" s="190"/>
      <c r="U135" s="90"/>
      <c r="V135" s="107"/>
      <c r="W135" s="205">
        <f>W134/'EPS Parameters'!$C$26</f>
        <v>0</v>
      </c>
      <c r="X135" s="190"/>
      <c r="Y135" s="90"/>
    </row>
    <row r="136" spans="2:25" x14ac:dyDescent="0.25">
      <c r="B136" s="183" t="s">
        <v>65</v>
      </c>
      <c r="C136" s="187">
        <f>IF(C$120&gt;0, C134,C132+C134)</f>
        <v>-8.1908291247280545</v>
      </c>
      <c r="D136" s="188"/>
      <c r="E136" s="90" t="s">
        <v>43</v>
      </c>
      <c r="F136" s="107"/>
      <c r="G136" s="194">
        <f>IF(G120&gt;0, G134,G132+G134)</f>
        <v>-11.559549545789412</v>
      </c>
      <c r="H136" s="188"/>
      <c r="I136" s="90" t="s">
        <v>43</v>
      </c>
      <c r="J136" s="107"/>
      <c r="K136" s="194">
        <f>IF(K120&gt;0, K134,K132+K134)</f>
        <v>-4.8300279380101632</v>
      </c>
      <c r="L136" s="188"/>
      <c r="M136" s="90" t="s">
        <v>43</v>
      </c>
      <c r="N136" s="107"/>
      <c r="O136" s="194">
        <f>IF(O$120&gt;0, O134,O132+O134)</f>
        <v>-3.2979226970151432</v>
      </c>
      <c r="P136" s="188"/>
      <c r="Q136" s="90" t="s">
        <v>43</v>
      </c>
      <c r="R136" s="107"/>
      <c r="S136" s="194">
        <f>IF(S120&gt;0, S134,S132+S134)</f>
        <v>-3.3834294611080645E-2</v>
      </c>
      <c r="T136" s="188"/>
      <c r="U136" s="90" t="s">
        <v>43</v>
      </c>
      <c r="V136" s="107"/>
      <c r="W136" s="204">
        <f>IF(W120&gt;0, W134,W132+W134)</f>
        <v>0</v>
      </c>
      <c r="X136" s="188"/>
      <c r="Y136" s="90" t="s">
        <v>43</v>
      </c>
    </row>
    <row r="137" spans="2:25" ht="15.75" thickBot="1" x14ac:dyDescent="0.3">
      <c r="B137" s="184"/>
      <c r="C137" s="185">
        <f>C136/'EPS Parameters'!$C$26</f>
        <v>-3.8432944466629385E-2</v>
      </c>
      <c r="D137" s="186"/>
      <c r="E137" s="92"/>
      <c r="F137" s="106"/>
      <c r="G137" s="199">
        <f>G136/'EPS Parameters'!$C$26</f>
        <v>-5.4239628124011882E-2</v>
      </c>
      <c r="H137" s="186"/>
      <c r="I137" s="92"/>
      <c r="J137" s="106"/>
      <c r="K137" s="199">
        <f>K136/'EPS Parameters'!$C$26</f>
        <v>-2.2663419378801442E-2</v>
      </c>
      <c r="L137" s="186"/>
      <c r="M137" s="92"/>
      <c r="N137" s="106"/>
      <c r="O137" s="199">
        <f>O136/'EPS Parameters'!$C$26</f>
        <v>-1.5474487129387871E-2</v>
      </c>
      <c r="P137" s="186"/>
      <c r="Q137" s="92"/>
      <c r="R137" s="106"/>
      <c r="S137" s="199">
        <f>S136/'EPS Parameters'!$C$26</f>
        <v>-1.5875701300244297E-4</v>
      </c>
      <c r="T137" s="186"/>
      <c r="U137" s="92"/>
      <c r="V137" s="106"/>
      <c r="W137" s="206">
        <f>W136/'EPS Parameters'!$C$26</f>
        <v>0</v>
      </c>
      <c r="X137" s="186"/>
      <c r="Y137" s="92"/>
    </row>
  </sheetData>
  <mergeCells count="128">
    <mergeCell ref="S137:T137"/>
    <mergeCell ref="W137:X137"/>
    <mergeCell ref="S135:T135"/>
    <mergeCell ref="W135:X135"/>
    <mergeCell ref="O136:P136"/>
    <mergeCell ref="S136:T136"/>
    <mergeCell ref="W136:X136"/>
    <mergeCell ref="S133:T133"/>
    <mergeCell ref="W133:X133"/>
    <mergeCell ref="O134:P134"/>
    <mergeCell ref="S134:T134"/>
    <mergeCell ref="W134:X134"/>
    <mergeCell ref="S131:T131"/>
    <mergeCell ref="W131:X131"/>
    <mergeCell ref="O132:P132"/>
    <mergeCell ref="S132:T132"/>
    <mergeCell ref="W132:X132"/>
    <mergeCell ref="S129:T129"/>
    <mergeCell ref="W129:X129"/>
    <mergeCell ref="O130:P130"/>
    <mergeCell ref="S130:T130"/>
    <mergeCell ref="W130:X130"/>
    <mergeCell ref="S125:T125"/>
    <mergeCell ref="W125:X125"/>
    <mergeCell ref="O126:P126"/>
    <mergeCell ref="S126:T126"/>
    <mergeCell ref="W126:X126"/>
    <mergeCell ref="S123:T123"/>
    <mergeCell ref="W123:X123"/>
    <mergeCell ref="O124:P124"/>
    <mergeCell ref="S124:T124"/>
    <mergeCell ref="W124:X124"/>
    <mergeCell ref="S121:T121"/>
    <mergeCell ref="W121:X121"/>
    <mergeCell ref="O122:P122"/>
    <mergeCell ref="S122:T122"/>
    <mergeCell ref="W122:X122"/>
    <mergeCell ref="S119:T119"/>
    <mergeCell ref="W119:X119"/>
    <mergeCell ref="O120:P120"/>
    <mergeCell ref="S120:T120"/>
    <mergeCell ref="W120:X120"/>
    <mergeCell ref="S115:T115"/>
    <mergeCell ref="W115:X115"/>
    <mergeCell ref="O118:P118"/>
    <mergeCell ref="S118:T118"/>
    <mergeCell ref="W118:X118"/>
    <mergeCell ref="T11:U11"/>
    <mergeCell ref="X11:Y11"/>
    <mergeCell ref="O114:P114"/>
    <mergeCell ref="S114:T114"/>
    <mergeCell ref="W114:X114"/>
    <mergeCell ref="K137:L137"/>
    <mergeCell ref="L11:M11"/>
    <mergeCell ref="H11:I11"/>
    <mergeCell ref="D11:E11"/>
    <mergeCell ref="P11:Q11"/>
    <mergeCell ref="O115:P115"/>
    <mergeCell ref="O119:P119"/>
    <mergeCell ref="O121:P121"/>
    <mergeCell ref="O123:P123"/>
    <mergeCell ref="O125:P125"/>
    <mergeCell ref="O129:P129"/>
    <mergeCell ref="O131:P131"/>
    <mergeCell ref="O133:P133"/>
    <mergeCell ref="O135:P135"/>
    <mergeCell ref="O137:P137"/>
    <mergeCell ref="K132:L132"/>
    <mergeCell ref="K133:L133"/>
    <mergeCell ref="K134:L134"/>
    <mergeCell ref="K135:L135"/>
    <mergeCell ref="K136:L136"/>
    <mergeCell ref="G136:H136"/>
    <mergeCell ref="G137:H137"/>
    <mergeCell ref="K114:L114"/>
    <mergeCell ref="K115:L115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9:L129"/>
    <mergeCell ref="K130:L130"/>
    <mergeCell ref="K131:L131"/>
    <mergeCell ref="G125:H125"/>
    <mergeCell ref="G126:H126"/>
    <mergeCell ref="G133:H133"/>
    <mergeCell ref="G134:H134"/>
    <mergeCell ref="G135:H135"/>
    <mergeCell ref="G120:H120"/>
    <mergeCell ref="G121:H121"/>
    <mergeCell ref="G122:H122"/>
    <mergeCell ref="G123:H123"/>
    <mergeCell ref="G124:H124"/>
    <mergeCell ref="G114:H114"/>
    <mergeCell ref="G118:H118"/>
    <mergeCell ref="G119:H119"/>
    <mergeCell ref="G131:H131"/>
    <mergeCell ref="C133:D133"/>
    <mergeCell ref="G132:H132"/>
    <mergeCell ref="C126:D126"/>
    <mergeCell ref="G129:H129"/>
    <mergeCell ref="G130:H130"/>
    <mergeCell ref="C131:D131"/>
    <mergeCell ref="C115:D115"/>
    <mergeCell ref="C114:D114"/>
    <mergeCell ref="C119:D119"/>
    <mergeCell ref="C118:D118"/>
    <mergeCell ref="C121:D121"/>
    <mergeCell ref="C120:D120"/>
    <mergeCell ref="C124:D124"/>
    <mergeCell ref="C125:D125"/>
    <mergeCell ref="C122:D122"/>
    <mergeCell ref="C123:D123"/>
    <mergeCell ref="G115:H115"/>
    <mergeCell ref="B136:B137"/>
    <mergeCell ref="B125:B126"/>
    <mergeCell ref="C137:D137"/>
    <mergeCell ref="C132:D132"/>
    <mergeCell ref="C130:D130"/>
    <mergeCell ref="C129:D129"/>
    <mergeCell ref="C136:D136"/>
    <mergeCell ref="C134:D134"/>
    <mergeCell ref="C135:D135"/>
  </mergeCells>
  <conditionalFormatting sqref="C120">
    <cfRule type="cellIs" dxfId="103" priority="34" operator="between">
      <formula>1</formula>
      <formula>0</formula>
    </cfRule>
    <cfRule type="cellIs" dxfId="102" priority="35" operator="lessThan">
      <formula>0</formula>
    </cfRule>
    <cfRule type="cellIs" dxfId="101" priority="36" operator="greaterThanOrEqual">
      <formula>1</formula>
    </cfRule>
  </conditionalFormatting>
  <conditionalFormatting sqref="C131">
    <cfRule type="cellIs" dxfId="100" priority="31" operator="between">
      <formula>1</formula>
      <formula>0</formula>
    </cfRule>
    <cfRule type="cellIs" dxfId="99" priority="32" operator="lessThan">
      <formula>0</formula>
    </cfRule>
    <cfRule type="cellIs" dxfId="98" priority="33" operator="greaterThanOrEqual">
      <formula>1</formula>
    </cfRule>
  </conditionalFormatting>
  <conditionalFormatting sqref="W131">
    <cfRule type="cellIs" dxfId="97" priority="1" operator="between">
      <formula>1</formula>
      <formula>0</formula>
    </cfRule>
    <cfRule type="cellIs" dxfId="96" priority="2" operator="lessThan">
      <formula>0</formula>
    </cfRule>
    <cfRule type="cellIs" dxfId="95" priority="3" operator="greaterThanOrEqual">
      <formula>1</formula>
    </cfRule>
  </conditionalFormatting>
  <conditionalFormatting sqref="G120">
    <cfRule type="cellIs" dxfId="94" priority="28" operator="between">
      <formula>1</formula>
      <formula>0</formula>
    </cfRule>
    <cfRule type="cellIs" dxfId="93" priority="29" operator="lessThan">
      <formula>0</formula>
    </cfRule>
    <cfRule type="cellIs" dxfId="92" priority="30" operator="greaterThanOrEqual">
      <formula>1</formula>
    </cfRule>
  </conditionalFormatting>
  <conditionalFormatting sqref="G131">
    <cfRule type="cellIs" dxfId="91" priority="25" operator="between">
      <formula>1</formula>
      <formula>0</formula>
    </cfRule>
    <cfRule type="cellIs" dxfId="90" priority="26" operator="lessThan">
      <formula>0</formula>
    </cfRule>
    <cfRule type="cellIs" dxfId="89" priority="27" operator="greaterThanOrEqual">
      <formula>1</formula>
    </cfRule>
  </conditionalFormatting>
  <conditionalFormatting sqref="K120">
    <cfRule type="cellIs" dxfId="88" priority="22" operator="between">
      <formula>1</formula>
      <formula>0</formula>
    </cfRule>
    <cfRule type="cellIs" dxfId="87" priority="23" operator="lessThan">
      <formula>0</formula>
    </cfRule>
    <cfRule type="cellIs" dxfId="86" priority="24" operator="greaterThanOrEqual">
      <formula>1</formula>
    </cfRule>
  </conditionalFormatting>
  <conditionalFormatting sqref="K131">
    <cfRule type="cellIs" dxfId="85" priority="19" operator="between">
      <formula>1</formula>
      <formula>0</formula>
    </cfRule>
    <cfRule type="cellIs" dxfId="84" priority="20" operator="lessThan">
      <formula>0</formula>
    </cfRule>
    <cfRule type="cellIs" dxfId="83" priority="21" operator="greaterThanOrEqual">
      <formula>1</formula>
    </cfRule>
  </conditionalFormatting>
  <conditionalFormatting sqref="O120">
    <cfRule type="cellIs" dxfId="82" priority="16" operator="between">
      <formula>1</formula>
      <formula>0</formula>
    </cfRule>
    <cfRule type="cellIs" dxfId="81" priority="17" operator="lessThan">
      <formula>0</formula>
    </cfRule>
    <cfRule type="cellIs" dxfId="80" priority="18" operator="greaterThanOrEqual">
      <formula>1</formula>
    </cfRule>
  </conditionalFormatting>
  <conditionalFormatting sqref="O131">
    <cfRule type="cellIs" dxfId="79" priority="13" operator="between">
      <formula>1</formula>
      <formula>0</formula>
    </cfRule>
    <cfRule type="cellIs" dxfId="78" priority="14" operator="lessThan">
      <formula>0</formula>
    </cfRule>
    <cfRule type="cellIs" dxfId="77" priority="15" operator="greaterThanOrEqual">
      <formula>1</formula>
    </cfRule>
  </conditionalFormatting>
  <conditionalFormatting sqref="S120">
    <cfRule type="cellIs" dxfId="76" priority="10" operator="between">
      <formula>1</formula>
      <formula>0</formula>
    </cfRule>
    <cfRule type="cellIs" dxfId="75" priority="11" operator="lessThan">
      <formula>0</formula>
    </cfRule>
    <cfRule type="cellIs" dxfId="74" priority="12" operator="greaterThanOrEqual">
      <formula>1</formula>
    </cfRule>
  </conditionalFormatting>
  <conditionalFormatting sqref="S131">
    <cfRule type="cellIs" dxfId="73" priority="7" operator="between">
      <formula>1</formula>
      <formula>0</formula>
    </cfRule>
    <cfRule type="cellIs" dxfId="72" priority="8" operator="lessThan">
      <formula>0</formula>
    </cfRule>
    <cfRule type="cellIs" dxfId="71" priority="9" operator="greaterThanOrEqual">
      <formula>1</formula>
    </cfRule>
  </conditionalFormatting>
  <conditionalFormatting sqref="W120">
    <cfRule type="cellIs" dxfId="70" priority="4" operator="between">
      <formula>1</formula>
      <formula>0</formula>
    </cfRule>
    <cfRule type="cellIs" dxfId="69" priority="5" operator="lessThan">
      <formula>0</formula>
    </cfRule>
    <cfRule type="cellIs" dxfId="68" priority="6" operator="greaterThanOrEqual">
      <formula>1</formula>
    </cfRule>
  </conditionalFormatting>
  <pageMargins left="0.7" right="0.7" top="0.75" bottom="0.75" header="0.3" footer="0.3"/>
  <legacy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6098-A731-4675-83CC-EA8557ED4A65}">
  <dimension ref="A4:I16"/>
  <sheetViews>
    <sheetView workbookViewId="0">
      <selection activeCell="D26" sqref="D26"/>
    </sheetView>
  </sheetViews>
  <sheetFormatPr baseColWidth="10" defaultColWidth="9.140625" defaultRowHeight="15" x14ac:dyDescent="0.25"/>
  <cols>
    <col min="2" max="2" width="13.5703125" bestFit="1" customWidth="1"/>
    <col min="3" max="3" width="19.42578125" bestFit="1" customWidth="1"/>
    <col min="4" max="4" width="10.42578125" bestFit="1" customWidth="1"/>
    <col min="5" max="5" width="12.5703125" customWidth="1"/>
    <col min="6" max="6" width="12.28515625" customWidth="1"/>
    <col min="7" max="7" width="12.7109375" customWidth="1"/>
    <col min="8" max="8" width="14.42578125" customWidth="1"/>
    <col min="9" max="9" width="15.42578125" customWidth="1"/>
  </cols>
  <sheetData>
    <row r="4" spans="1:9" x14ac:dyDescent="0.25">
      <c r="D4" t="s">
        <v>191</v>
      </c>
      <c r="E4" s="64" t="s">
        <v>192</v>
      </c>
      <c r="F4" s="64" t="s">
        <v>193</v>
      </c>
      <c r="G4" s="64" t="s">
        <v>195</v>
      </c>
      <c r="H4" s="64" t="s">
        <v>196</v>
      </c>
      <c r="I4" s="64" t="s">
        <v>194</v>
      </c>
    </row>
    <row r="5" spans="1:9" x14ac:dyDescent="0.25">
      <c r="D5" t="str">
        <f>'Power Modes'!D11</f>
        <v>PAY (Sun)</v>
      </c>
      <c r="E5" s="64" t="str">
        <f>'Power Modes'!H11</f>
        <v>Pay (Eclipse)</v>
      </c>
      <c r="F5" s="64" t="str">
        <f>'Power Modes'!L11</f>
        <v>DL</v>
      </c>
      <c r="G5" s="64" t="str">
        <f>'Power Modes'!P11</f>
        <v>PG</v>
      </c>
      <c r="H5" s="64" t="str">
        <f>'Power Modes'!T11</f>
        <v>SAFE</v>
      </c>
      <c r="I5" s="64" t="str">
        <f>'Power Modes'!X11</f>
        <v>M6</v>
      </c>
    </row>
    <row r="6" spans="1:9" s="64" customFormat="1" x14ac:dyDescent="0.25">
      <c r="B6" s="64" t="s">
        <v>211</v>
      </c>
    </row>
    <row r="7" spans="1:9" ht="30" x14ac:dyDescent="0.25">
      <c r="B7" t="s">
        <v>14</v>
      </c>
      <c r="C7" s="111" t="s">
        <v>200</v>
      </c>
      <c r="D7" s="112">
        <f>'Power Modes'!C115</f>
        <v>15.570179680567879</v>
      </c>
      <c r="E7" s="112">
        <f>'Power Modes'!G115</f>
        <v>13.973019077196096</v>
      </c>
      <c r="F7" s="112">
        <f>'Power Modes'!K115</f>
        <v>9.1815372670807456</v>
      </c>
      <c r="G7" s="112">
        <f>'Power Modes'!O115</f>
        <v>6.2691149068322982</v>
      </c>
      <c r="H7" s="112">
        <f>'Power Modes'!S115</f>
        <v>6.4316571428571431E-2</v>
      </c>
      <c r="I7" s="112">
        <f>'Power Modes'!W115</f>
        <v>0</v>
      </c>
    </row>
    <row r="8" spans="1:9" ht="30" x14ac:dyDescent="0.25">
      <c r="C8" s="111" t="s">
        <v>208</v>
      </c>
      <c r="D8" s="112">
        <f>'Power Modes'!C129</f>
        <v>20.684999999999999</v>
      </c>
      <c r="E8" s="112">
        <f>'Power Modes'!G129</f>
        <v>8.4020499999999991</v>
      </c>
      <c r="F8" s="112">
        <f>'Power Modes'!K129</f>
        <v>8.4020499999999991</v>
      </c>
      <c r="G8" s="112">
        <f>'Power Modes'!O129</f>
        <v>8.4020499999999991</v>
      </c>
      <c r="H8" s="112">
        <f>'Power Modes'!S129</f>
        <v>7.88</v>
      </c>
      <c r="I8" s="112">
        <f>'Power Modes'!W129</f>
        <v>0</v>
      </c>
    </row>
    <row r="9" spans="1:9" x14ac:dyDescent="0.25">
      <c r="C9" s="18" t="s">
        <v>201</v>
      </c>
      <c r="D9" s="112">
        <f>D8-D7</f>
        <v>5.1148203194321198</v>
      </c>
      <c r="E9" s="112">
        <f t="shared" ref="E9:I9" si="0">E8-E7</f>
        <v>-5.5709690771960965</v>
      </c>
      <c r="F9" s="112">
        <f t="shared" si="0"/>
        <v>-0.77948726708074645</v>
      </c>
      <c r="G9" s="112">
        <f t="shared" si="0"/>
        <v>2.1329350931677009</v>
      </c>
      <c r="H9" s="112">
        <f t="shared" si="0"/>
        <v>7.8156834285714281</v>
      </c>
      <c r="I9" s="112">
        <f t="shared" si="0"/>
        <v>0</v>
      </c>
    </row>
    <row r="10" spans="1:9" x14ac:dyDescent="0.25">
      <c r="C10" s="18" t="s">
        <v>203</v>
      </c>
      <c r="D10" s="113">
        <f>'Power Modes'!C137</f>
        <v>-3.8432944466629385E-2</v>
      </c>
      <c r="E10" s="113">
        <f>'Power Modes'!G137</f>
        <v>-5.4239628124011882E-2</v>
      </c>
      <c r="F10" s="113">
        <f>'Power Modes'!K137</f>
        <v>-2.2663419378801442E-2</v>
      </c>
      <c r="G10" s="113">
        <f>'Power Modes'!O137</f>
        <v>-1.5474487129387871E-2</v>
      </c>
      <c r="H10" s="113">
        <f>'Power Modes'!S137</f>
        <v>-1.5875701300244297E-4</v>
      </c>
      <c r="I10" s="113">
        <f>'Power Modes'!W137</f>
        <v>0</v>
      </c>
    </row>
    <row r="11" spans="1:9" s="64" customFormat="1" x14ac:dyDescent="0.25"/>
    <row r="12" spans="1:9" x14ac:dyDescent="0.25">
      <c r="B12" t="s">
        <v>204</v>
      </c>
      <c r="C12" s="18" t="s">
        <v>202</v>
      </c>
      <c r="D12" s="152">
        <f>BoH!A245*(1+$B$13)</f>
        <v>0</v>
      </c>
      <c r="E12" s="152">
        <f>BoH!B245*(1+$B$13)</f>
        <v>0</v>
      </c>
      <c r="F12" s="152">
        <f>BoH!C245*(1+$B$13)</f>
        <v>0</v>
      </c>
      <c r="G12" s="152">
        <f>BoH!D245*(1+$B$13)</f>
        <v>0</v>
      </c>
      <c r="H12" s="152">
        <f>BoH!E245*(1+$B$13)</f>
        <v>202.79999999999998</v>
      </c>
      <c r="I12" s="152">
        <f>BoH!F245*(1+$B$13)</f>
        <v>0</v>
      </c>
    </row>
    <row r="13" spans="1:9" x14ac:dyDescent="0.25">
      <c r="A13" t="s">
        <v>224</v>
      </c>
      <c r="B13" s="151">
        <v>0.2</v>
      </c>
      <c r="C13" s="18" t="s">
        <v>205</v>
      </c>
      <c r="D13" s="152">
        <f>BoH!A246*(1+$B$13)</f>
        <v>0</v>
      </c>
      <c r="E13" s="152">
        <f>BoH!B246*(1+$B$13)</f>
        <v>0</v>
      </c>
      <c r="F13" s="152">
        <f>BoH!C246*(1+$B$13)</f>
        <v>0</v>
      </c>
      <c r="G13" s="152">
        <f>BoH!D246*(1+$B$13)</f>
        <v>0</v>
      </c>
      <c r="H13" s="152">
        <f>BoH!E246*(1+$B$13)</f>
        <v>0</v>
      </c>
      <c r="I13" s="152">
        <f>BoH!F246*(1+$B$13)</f>
        <v>0</v>
      </c>
    </row>
    <row r="14" spans="1:9" x14ac:dyDescent="0.25">
      <c r="C14" s="18" t="s">
        <v>206</v>
      </c>
      <c r="D14" s="152">
        <f>BoH!A247*(1+$B$13)</f>
        <v>2120.4</v>
      </c>
      <c r="E14" s="152">
        <f>BoH!B247*(1+$B$13)</f>
        <v>1880.3999999999999</v>
      </c>
      <c r="F14" s="152">
        <f>BoH!C247*(1+$B$13)</f>
        <v>1160.3999999999999</v>
      </c>
      <c r="G14" s="152">
        <f>BoH!D247*(1+$B$13)</f>
        <v>824.4</v>
      </c>
      <c r="H14" s="152">
        <f>BoH!E247*(1+$B$13)</f>
        <v>0</v>
      </c>
      <c r="I14" s="152">
        <f>BoH!F247*(1+$B$13)</f>
        <v>0</v>
      </c>
    </row>
    <row r="15" spans="1:9" x14ac:dyDescent="0.25">
      <c r="C15" s="18" t="s">
        <v>207</v>
      </c>
      <c r="D15" s="152">
        <f>BoH!A248*(1+$B$13)</f>
        <v>956.4</v>
      </c>
      <c r="E15" s="152">
        <f>BoH!B248*(1+$B$13)</f>
        <v>956.4</v>
      </c>
      <c r="F15" s="152">
        <f>BoH!C248*(1+$B$13)</f>
        <v>956.4</v>
      </c>
      <c r="G15" s="152">
        <f>BoH!D248*(1+$B$13)</f>
        <v>788.4</v>
      </c>
      <c r="H15" s="152">
        <f>BoH!E248*(1+$B$13)</f>
        <v>0</v>
      </c>
      <c r="I15" s="152">
        <f>BoH!F248*(1+$B$13)</f>
        <v>0</v>
      </c>
    </row>
    <row r="16" spans="1:9" x14ac:dyDescent="0.25">
      <c r="E16" s="8"/>
    </row>
  </sheetData>
  <phoneticPr fontId="8" type="noConversion"/>
  <pageMargins left="0.7" right="0.7" top="0.75" bottom="0.75" header="0.3" footer="0.3"/>
  <pageSetup orientation="portrait" horizontalDpi="360" verticalDpi="36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E65173D3-46CA-494B-9C4F-D818305DDBA8}">
            <xm:f>'EPS Parameters'!$D$3</xm:f>
            <x14:dxf>
              <fill>
                <patternFill>
                  <bgColor rgb="FFFF7C80"/>
                </patternFill>
              </fill>
            </x14:dxf>
          </x14:cfRule>
          <xm:sqref>D12:I12</xm:sqref>
        </x14:conditionalFormatting>
        <x14:conditionalFormatting xmlns:xm="http://schemas.microsoft.com/office/excel/2006/main">
          <x14:cfRule type="cellIs" priority="2" operator="between" id="{A3A83BFA-C866-485D-865E-616CB0A4A6E0}">
            <xm:f>'EPS Parameters'!$D$3</xm:f>
            <xm:f>'EPS Parameters'!$D$3-500</xm:f>
            <x14:dxf>
              <fill>
                <patternFill>
                  <bgColor rgb="FFFFFFCC"/>
                </patternFill>
              </fill>
            </x14:dxf>
          </x14:cfRule>
          <xm:sqref>D12:I12</xm:sqref>
        </x14:conditionalFormatting>
        <x14:conditionalFormatting xmlns:xm="http://schemas.microsoft.com/office/excel/2006/main">
          <x14:cfRule type="cellIs" priority="3" operator="lessThan" id="{A00BB9AC-D32C-415A-B76D-F599B347463F}">
            <xm:f>'EPS Parameters'!$D$3</xm:f>
            <x14:dxf>
              <fill>
                <patternFill>
                  <bgColor theme="9" tint="0.39994506668294322"/>
                </patternFill>
              </fill>
            </x14:dxf>
          </x14:cfRule>
          <xm:sqref>D12:I12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6945-0D38-4FDD-832A-4B858F7A2872}">
  <dimension ref="A3:U20"/>
  <sheetViews>
    <sheetView workbookViewId="0">
      <selection activeCell="N14" sqref="N14"/>
    </sheetView>
  </sheetViews>
  <sheetFormatPr baseColWidth="10" defaultColWidth="9.140625" defaultRowHeight="15" x14ac:dyDescent="0.25"/>
  <cols>
    <col min="1" max="1" width="14.7109375" style="64" bestFit="1" customWidth="1"/>
    <col min="2" max="3" width="9.140625" style="64"/>
    <col min="4" max="4" width="19.42578125" style="64" bestFit="1" customWidth="1"/>
    <col min="5" max="7" width="9.140625" style="64"/>
    <col min="8" max="8" width="13.28515625" style="64" bestFit="1" customWidth="1"/>
    <col min="9" max="9" width="12.85546875" style="64" bestFit="1" customWidth="1"/>
    <col min="10" max="10" width="16" style="64" bestFit="1" customWidth="1"/>
    <col min="11" max="11" width="13" style="64" customWidth="1"/>
    <col min="12" max="13" width="9.140625" style="64"/>
    <col min="14" max="14" width="13.42578125" style="64" bestFit="1" customWidth="1"/>
    <col min="15" max="15" width="9.140625" style="64"/>
    <col min="16" max="16" width="17.7109375" bestFit="1" customWidth="1"/>
    <col min="17" max="17" width="13.85546875" bestFit="1" customWidth="1"/>
    <col min="18" max="18" width="13.85546875" style="64" customWidth="1"/>
    <col min="19" max="19" width="12.42578125" bestFit="1" customWidth="1"/>
    <col min="20" max="20" width="12.28515625" bestFit="1" customWidth="1"/>
  </cols>
  <sheetData>
    <row r="3" spans="1:21" s="64" customFormat="1" x14ac:dyDescent="0.25">
      <c r="A3" s="8" t="s">
        <v>304</v>
      </c>
      <c r="B3" s="8"/>
      <c r="C3" s="8"/>
      <c r="D3" s="8" t="s">
        <v>306</v>
      </c>
      <c r="E3" s="8"/>
      <c r="F3" s="8"/>
      <c r="G3" s="8"/>
      <c r="H3" s="8" t="s">
        <v>310</v>
      </c>
      <c r="I3" s="8"/>
      <c r="J3" s="8"/>
      <c r="K3" s="8"/>
      <c r="L3" s="8"/>
      <c r="M3" s="8"/>
      <c r="N3" s="8" t="s">
        <v>311</v>
      </c>
    </row>
    <row r="5" spans="1:21" ht="30" x14ac:dyDescent="0.25">
      <c r="A5" s="18" t="s">
        <v>305</v>
      </c>
      <c r="B5" s="18">
        <f>BoH!$C$5</f>
        <v>5738.8226324713114</v>
      </c>
      <c r="D5" s="18" t="s">
        <v>307</v>
      </c>
      <c r="E5" s="18">
        <f>BoH!C9</f>
        <v>217.56</v>
      </c>
      <c r="I5" s="174" t="s">
        <v>323</v>
      </c>
      <c r="J5" s="174" t="s">
        <v>313</v>
      </c>
      <c r="K5" s="174" t="s">
        <v>314</v>
      </c>
      <c r="L5" s="174" t="s">
        <v>315</v>
      </c>
      <c r="N5" s="18" t="s">
        <v>312</v>
      </c>
      <c r="O5" s="27"/>
    </row>
    <row r="6" spans="1:21" s="64" customFormat="1" x14ac:dyDescent="0.25">
      <c r="A6" s="156" t="s">
        <v>322</v>
      </c>
      <c r="B6" s="156">
        <f>'Orbit Parameters'!$C$9</f>
        <v>1893.8114687155328</v>
      </c>
      <c r="D6" s="18" t="s">
        <v>308</v>
      </c>
      <c r="E6" s="18">
        <f>BoH!C10</f>
        <v>213.12</v>
      </c>
      <c r="G6" s="18" t="s">
        <v>316</v>
      </c>
      <c r="H6" s="114" t="s">
        <v>294</v>
      </c>
      <c r="I6" s="76">
        <f>BoH!B124</f>
        <v>15.570179680567879</v>
      </c>
      <c r="J6" s="76">
        <f>BoH!C124</f>
        <v>9.5044471851037642</v>
      </c>
      <c r="K6" s="76">
        <f>BoH!D124</f>
        <v>9.1283277821186886</v>
      </c>
      <c r="L6" s="28"/>
      <c r="U6"/>
    </row>
    <row r="7" spans="1:21" s="64" customFormat="1" x14ac:dyDescent="0.25">
      <c r="D7" s="18" t="s">
        <v>309</v>
      </c>
      <c r="E7" s="18">
        <f>BoH!C11</f>
        <v>0.2</v>
      </c>
      <c r="G7" s="18" t="s">
        <v>317</v>
      </c>
      <c r="H7" s="114" t="s">
        <v>295</v>
      </c>
      <c r="I7" s="76">
        <f>BoH!B125</f>
        <v>13.973019077196096</v>
      </c>
      <c r="J7" s="76">
        <f>BoH!C125</f>
        <v>-3.7879444503304232</v>
      </c>
      <c r="K7" s="76">
        <f>BoH!D125</f>
        <v>-3.9407205697334096</v>
      </c>
      <c r="L7" s="28"/>
    </row>
    <row r="8" spans="1:21" s="64" customFormat="1" x14ac:dyDescent="0.25">
      <c r="G8" s="18" t="s">
        <v>318</v>
      </c>
      <c r="H8" s="114" t="s">
        <v>296</v>
      </c>
      <c r="I8" s="76">
        <f>BoH!B126</f>
        <v>9.1815372670807456</v>
      </c>
      <c r="J8" s="76">
        <f>BoH!C126</f>
        <v>1.0035373597849269</v>
      </c>
      <c r="K8" s="76">
        <f>BoH!D126</f>
        <v>0.85076124038194045</v>
      </c>
      <c r="L8" s="28"/>
    </row>
    <row r="9" spans="1:21" s="64" customFormat="1" x14ac:dyDescent="0.25">
      <c r="G9" s="18" t="s">
        <v>319</v>
      </c>
      <c r="H9" s="114" t="s">
        <v>297</v>
      </c>
      <c r="I9" s="76">
        <f>BoH!B127</f>
        <v>6.2691149068322982</v>
      </c>
      <c r="J9" s="76">
        <f>BoH!C127</f>
        <v>3.9159597200333742</v>
      </c>
      <c r="K9" s="76">
        <f>BoH!D127</f>
        <v>3.7631836006303878</v>
      </c>
      <c r="L9" s="28"/>
    </row>
    <row r="10" spans="1:21" x14ac:dyDescent="0.25">
      <c r="G10" s="18" t="s">
        <v>320</v>
      </c>
      <c r="H10" s="114" t="s">
        <v>298</v>
      </c>
      <c r="I10" s="76">
        <f>BoH!B128</f>
        <v>6.4316571428571431E-2</v>
      </c>
      <c r="J10" s="76">
        <f>BoH!C128</f>
        <v>9.4879222345415783</v>
      </c>
      <c r="K10" s="76">
        <f>BoH!D128</f>
        <v>9.3446386524520264</v>
      </c>
      <c r="L10" s="28"/>
    </row>
    <row r="11" spans="1:21" s="64" customFormat="1" x14ac:dyDescent="0.25">
      <c r="G11" s="18" t="s">
        <v>321</v>
      </c>
      <c r="H11" s="114" t="s">
        <v>252</v>
      </c>
      <c r="I11" s="76">
        <f>BoH!B129</f>
        <v>0</v>
      </c>
      <c r="J11" s="76">
        <f>BoH!C129</f>
        <v>0</v>
      </c>
      <c r="K11" s="76">
        <f>BoH!D129</f>
        <v>0</v>
      </c>
      <c r="L11" s="28"/>
    </row>
    <row r="13" spans="1:21" x14ac:dyDescent="0.25">
      <c r="J13" s="64" t="s">
        <v>324</v>
      </c>
    </row>
    <row r="14" spans="1:21" x14ac:dyDescent="0.25">
      <c r="J14" s="64" t="s">
        <v>68</v>
      </c>
      <c r="K14" s="64" t="s">
        <v>89</v>
      </c>
    </row>
    <row r="15" spans="1:21" x14ac:dyDescent="0.25">
      <c r="J15" s="110">
        <f>J6+$I6</f>
        <v>25.074626865671643</v>
      </c>
      <c r="K15" s="110">
        <f>K6+$I6</f>
        <v>24.698507462686567</v>
      </c>
    </row>
    <row r="16" spans="1:21" x14ac:dyDescent="0.25">
      <c r="J16" s="110">
        <f t="shared" ref="J16:K20" si="0">J7+$I7</f>
        <v>10.185074626865672</v>
      </c>
      <c r="K16" s="110">
        <f t="shared" si="0"/>
        <v>10.032298507462686</v>
      </c>
    </row>
    <row r="17" spans="10:11" x14ac:dyDescent="0.25">
      <c r="J17" s="110">
        <f t="shared" si="0"/>
        <v>10.185074626865672</v>
      </c>
      <c r="K17" s="110">
        <f t="shared" si="0"/>
        <v>10.032298507462686</v>
      </c>
    </row>
    <row r="18" spans="10:11" x14ac:dyDescent="0.25">
      <c r="J18" s="110">
        <f t="shared" si="0"/>
        <v>10.185074626865672</v>
      </c>
      <c r="K18" s="110">
        <f t="shared" si="0"/>
        <v>10.032298507462686</v>
      </c>
    </row>
    <row r="19" spans="10:11" x14ac:dyDescent="0.25">
      <c r="J19" s="110">
        <f t="shared" si="0"/>
        <v>9.5522388059701502</v>
      </c>
      <c r="K19" s="110">
        <f t="shared" si="0"/>
        <v>9.4089552238805982</v>
      </c>
    </row>
    <row r="20" spans="10:11" x14ac:dyDescent="0.25">
      <c r="J20" s="110">
        <f t="shared" si="0"/>
        <v>0</v>
      </c>
      <c r="K20" s="110">
        <f t="shared" si="0"/>
        <v>0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4EAF-2EAA-4777-9274-47F4984874A2}">
  <dimension ref="A2:O49"/>
  <sheetViews>
    <sheetView topLeftCell="B3" zoomScaleNormal="100" workbookViewId="0">
      <selection activeCell="M11" sqref="M11"/>
    </sheetView>
  </sheetViews>
  <sheetFormatPr baseColWidth="10" defaultColWidth="9.140625" defaultRowHeight="15" x14ac:dyDescent="0.25"/>
  <cols>
    <col min="1" max="1" width="18.42578125" style="64" bestFit="1" customWidth="1"/>
    <col min="2" max="2" width="17.28515625" style="64" bestFit="1" customWidth="1"/>
    <col min="3" max="3" width="19.85546875" style="64" bestFit="1" customWidth="1"/>
    <col min="4" max="9" width="18.28515625" style="64" bestFit="1" customWidth="1"/>
    <col min="10" max="11" width="20" style="64" bestFit="1" customWidth="1"/>
    <col min="12" max="16384" width="9.140625" style="64"/>
  </cols>
  <sheetData>
    <row r="2" spans="1:12" x14ac:dyDescent="0.25">
      <c r="B2" s="64" t="s">
        <v>230</v>
      </c>
      <c r="C2" s="64" t="s">
        <v>231</v>
      </c>
    </row>
    <row r="3" spans="1:12" x14ac:dyDescent="0.25">
      <c r="A3" s="18"/>
      <c r="B3" s="28">
        <v>7</v>
      </c>
      <c r="C3" s="28">
        <v>2</v>
      </c>
      <c r="D3" s="18"/>
      <c r="E3" s="18"/>
      <c r="F3" s="18"/>
      <c r="G3" s="18"/>
      <c r="H3" s="18"/>
      <c r="I3" s="18"/>
      <c r="J3" s="18"/>
      <c r="K3" s="18"/>
      <c r="L3" s="64" t="s">
        <v>254</v>
      </c>
    </row>
    <row r="4" spans="1:12" x14ac:dyDescent="0.25">
      <c r="A4" s="156" t="s">
        <v>232</v>
      </c>
      <c r="B4" s="18">
        <v>1</v>
      </c>
      <c r="C4" s="18">
        <v>1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0</v>
      </c>
      <c r="K4" s="18">
        <v>0</v>
      </c>
    </row>
    <row r="5" spans="1:12" x14ac:dyDescent="0.25">
      <c r="A5" s="18"/>
      <c r="B5" s="18">
        <v>0</v>
      </c>
      <c r="C5" s="18"/>
      <c r="D5" s="18"/>
      <c r="E5" s="18"/>
      <c r="F5" s="18"/>
      <c r="G5" s="18"/>
      <c r="H5" s="18"/>
      <c r="I5" s="30">
        <f>'Orbit Parameters'!$C$10</f>
        <v>3845.0111637557784</v>
      </c>
      <c r="J5" s="18"/>
      <c r="K5" s="30">
        <f>'Orbit Parameters'!$C$9</f>
        <v>1893.8114687155328</v>
      </c>
    </row>
    <row r="6" spans="1:12" x14ac:dyDescent="0.25">
      <c r="A6" s="156" t="s">
        <v>251</v>
      </c>
      <c r="B6" s="166"/>
      <c r="C6" s="168" t="s">
        <v>328</v>
      </c>
      <c r="D6" s="168" t="s">
        <v>328</v>
      </c>
      <c r="E6" s="168" t="s">
        <v>328</v>
      </c>
      <c r="F6" s="168" t="s">
        <v>328</v>
      </c>
      <c r="G6" s="168" t="s">
        <v>328</v>
      </c>
      <c r="H6" s="168" t="s">
        <v>328</v>
      </c>
      <c r="I6" s="168" t="s">
        <v>328</v>
      </c>
      <c r="J6" s="168" t="s">
        <v>327</v>
      </c>
      <c r="K6" s="168" t="s">
        <v>327</v>
      </c>
    </row>
    <row r="7" spans="1:12" x14ac:dyDescent="0.25">
      <c r="A7" s="156" t="s">
        <v>255</v>
      </c>
      <c r="B7" s="167"/>
      <c r="C7" s="18">
        <f>INDEX(BoH!$B$124:$B$129,MATCH(C$6,BoH!$A$124:$A$129,0),0)</f>
        <v>9.1815372670807456</v>
      </c>
      <c r="D7" s="18">
        <f>INDEX(BoH!$B$124:$B$129,MATCH(D$6,BoH!$A$124:$A$129,0),0)</f>
        <v>9.1815372670807456</v>
      </c>
      <c r="E7" s="18">
        <f>INDEX(BoH!$B$124:$B$129,MATCH(E$6,BoH!$A$124:$A$129,0),0)</f>
        <v>9.1815372670807456</v>
      </c>
      <c r="F7" s="18">
        <f>INDEX(BoH!$B$124:$B$129,MATCH(F$6,BoH!$A$124:$A$129,0),0)</f>
        <v>9.1815372670807456</v>
      </c>
      <c r="G7" s="18">
        <f>INDEX(BoH!$B$124:$B$129,MATCH(G$6,BoH!$A$124:$A$129,0),0)</f>
        <v>9.1815372670807456</v>
      </c>
      <c r="H7" s="18">
        <f>INDEX(BoH!$B$124:$B$129,MATCH(H$6,BoH!$A$124:$A$129,0),0)</f>
        <v>9.1815372670807456</v>
      </c>
      <c r="I7" s="18">
        <f>INDEX(BoH!$B$124:$B$129,MATCH(I$6,BoH!$A$124:$A$129,0),0)</f>
        <v>9.1815372670807456</v>
      </c>
      <c r="J7" s="18">
        <f>INDEX(BoH!$B$124:$B$129,MATCH(J$6,BoH!$A$124:$A$129,0),0)</f>
        <v>13.973019077196096</v>
      </c>
      <c r="K7" s="18">
        <f>INDEX(BoH!$B$124:$B$129,MATCH(K$6,BoH!$A$124:$A$129,0),0)</f>
        <v>13.973019077196096</v>
      </c>
    </row>
    <row r="8" spans="1:12" x14ac:dyDescent="0.25">
      <c r="A8" s="156" t="s">
        <v>256</v>
      </c>
      <c r="B8" s="167"/>
      <c r="C8" s="18">
        <f>INDEX(BoH!$C$124:$C$129,MATCH(C$6,BoH!$A$124:$A$129,0),0)</f>
        <v>1.0035373597849269</v>
      </c>
      <c r="D8" s="18">
        <f>INDEX(BoH!$C$124:$C$129,MATCH(D$6,BoH!$A$124:$A$129,0),0)</f>
        <v>1.0035373597849269</v>
      </c>
      <c r="E8" s="18">
        <f>INDEX(BoH!$C$124:$C$129,MATCH(E$6,BoH!$A$124:$A$129,0),0)</f>
        <v>1.0035373597849269</v>
      </c>
      <c r="F8" s="18">
        <f>INDEX(BoH!$C$124:$C$129,MATCH(F$6,BoH!$A$124:$A$129,0),0)</f>
        <v>1.0035373597849269</v>
      </c>
      <c r="G8" s="18">
        <f>INDEX(BoH!$C$124:$C$129,MATCH(G$6,BoH!$A$124:$A$129,0),0)</f>
        <v>1.0035373597849269</v>
      </c>
      <c r="H8" s="18">
        <f>INDEX(BoH!$C$124:$C$129,MATCH(H$6,BoH!$A$124:$A$129,0),0)</f>
        <v>1.0035373597849269</v>
      </c>
      <c r="I8" s="18">
        <f>INDEX(BoH!$C$124:$C$129,MATCH(I$6,BoH!$A$124:$A$129,0),0)</f>
        <v>1.0035373597849269</v>
      </c>
      <c r="J8" s="18">
        <f>INDEX(BoH!$C$124:$C$129,MATCH(J$6,BoH!$A$124:$A$129,0),0)</f>
        <v>-3.7879444503304232</v>
      </c>
      <c r="K8" s="18">
        <f>INDEX(BoH!$C$124:$C$129,MATCH(K$6,BoH!$A$124:$A$129,0),0)</f>
        <v>-3.7879444503304232</v>
      </c>
    </row>
    <row r="9" spans="1:12" x14ac:dyDescent="0.25">
      <c r="A9" s="156" t="s">
        <v>257</v>
      </c>
      <c r="B9" s="167"/>
      <c r="C9" s="18">
        <f>INDEX(BoH!$D$124:$D$129,MATCH(C$6,BoH!$A$124:$A$129,0),0)</f>
        <v>0.85076124038194045</v>
      </c>
      <c r="D9" s="18">
        <f>INDEX(BoH!$D$124:$D$129,MATCH(D$6,BoH!$A$124:$A$129,0),0)</f>
        <v>0.85076124038194045</v>
      </c>
      <c r="E9" s="18">
        <f>INDEX(BoH!$D$124:$D$129,MATCH(E$6,BoH!$A$124:$A$129,0),0)</f>
        <v>0.85076124038194045</v>
      </c>
      <c r="F9" s="18">
        <f>INDEX(BoH!$D$124:$D$129,MATCH(F$6,BoH!$A$124:$A$129,0),0)</f>
        <v>0.85076124038194045</v>
      </c>
      <c r="G9" s="18">
        <f>INDEX(BoH!$D$124:$D$129,MATCH(G$6,BoH!$A$124:$A$129,0),0)</f>
        <v>0.85076124038194045</v>
      </c>
      <c r="H9" s="18">
        <f>INDEX(BoH!$D$124:$D$129,MATCH(H$6,BoH!$A$124:$A$129,0),0)</f>
        <v>0.85076124038194045</v>
      </c>
      <c r="I9" s="18">
        <f>INDEX(BoH!$D$124:$D$129,MATCH(I$6,BoH!$A$124:$A$129,0),0)</f>
        <v>0.85076124038194045</v>
      </c>
      <c r="J9" s="18">
        <f>INDEX(BoH!$D$124:$D$129,MATCH(J$6,BoH!$A$124:$A$129,0),0)</f>
        <v>-3.9407205697334096</v>
      </c>
      <c r="K9" s="18">
        <f>INDEX(BoH!$D$124:$D$129,MATCH(K$6,BoH!$A$124:$A$129,0),0)</f>
        <v>-3.9407205697334096</v>
      </c>
    </row>
    <row r="10" spans="1:12" x14ac:dyDescent="0.25">
      <c r="A10" s="156" t="s">
        <v>233</v>
      </c>
      <c r="B10" s="18">
        <v>0</v>
      </c>
      <c r="C10" s="18">
        <f t="shared" ref="C10:I10" si="0">$I$5/$B$3</f>
        <v>549.28730910796833</v>
      </c>
      <c r="D10" s="18">
        <f t="shared" si="0"/>
        <v>549.28730910796833</v>
      </c>
      <c r="E10" s="18">
        <f t="shared" si="0"/>
        <v>549.28730910796833</v>
      </c>
      <c r="F10" s="18">
        <f t="shared" si="0"/>
        <v>549.28730910796833</v>
      </c>
      <c r="G10" s="18">
        <f t="shared" si="0"/>
        <v>549.28730910796833</v>
      </c>
      <c r="H10" s="18">
        <f t="shared" si="0"/>
        <v>549.28730910796833</v>
      </c>
      <c r="I10" s="18">
        <f t="shared" si="0"/>
        <v>549.28730910796833</v>
      </c>
      <c r="J10" s="18">
        <f>$K$5/$C$3</f>
        <v>946.90573435776639</v>
      </c>
      <c r="K10" s="18">
        <f>$K$5/$C$3</f>
        <v>946.90573435776639</v>
      </c>
    </row>
    <row r="11" spans="1:12" x14ac:dyDescent="0.25">
      <c r="A11" s="156" t="s">
        <v>58</v>
      </c>
      <c r="B11" s="18">
        <v>0</v>
      </c>
      <c r="C11" s="18">
        <f t="shared" ref="C11:I11" si="1">B11+ $I$5/$B$3</f>
        <v>549.28730910796833</v>
      </c>
      <c r="D11" s="18">
        <f t="shared" si="1"/>
        <v>1098.5746182159367</v>
      </c>
      <c r="E11" s="18">
        <f t="shared" si="1"/>
        <v>1647.8619273239051</v>
      </c>
      <c r="F11" s="18">
        <f t="shared" si="1"/>
        <v>2197.1492364318733</v>
      </c>
      <c r="G11" s="18">
        <f t="shared" si="1"/>
        <v>2746.4365455398415</v>
      </c>
      <c r="H11" s="18">
        <f t="shared" si="1"/>
        <v>3295.7238546478097</v>
      </c>
      <c r="I11" s="18">
        <f t="shared" si="1"/>
        <v>3845.0111637557779</v>
      </c>
      <c r="J11" s="18">
        <f>I11+ $K$5/$C$3</f>
        <v>4791.9168981135444</v>
      </c>
      <c r="K11" s="18">
        <f>J11+ $K$5/$C$3</f>
        <v>5738.8226324713105</v>
      </c>
    </row>
    <row r="12" spans="1:12" x14ac:dyDescent="0.25">
      <c r="A12" s="156" t="s">
        <v>234</v>
      </c>
      <c r="B12" s="18">
        <f>B11/'[1]Orbit Parameters'!$C$6</f>
        <v>0</v>
      </c>
      <c r="C12" s="18">
        <f>C11/'[1]Orbit Parameters'!$C$6</f>
        <v>9.4687387356913663E-2</v>
      </c>
      <c r="D12" s="18">
        <f>D11/'[1]Orbit Parameters'!$C$6</f>
        <v>0.18937477471382733</v>
      </c>
      <c r="E12" s="18">
        <f>E11/'[1]Orbit Parameters'!$C$6</f>
        <v>0.28406216207074098</v>
      </c>
      <c r="F12" s="18">
        <f>F11/'[1]Orbit Parameters'!$C$6</f>
        <v>0.37874954942765465</v>
      </c>
      <c r="G12" s="18">
        <f>G11/'[1]Orbit Parameters'!$C$6</f>
        <v>0.47343693678456827</v>
      </c>
      <c r="H12" s="18">
        <f>H11/'[1]Orbit Parameters'!$C$6</f>
        <v>0.56812432414148195</v>
      </c>
      <c r="I12" s="18">
        <f>I11/'[1]Orbit Parameters'!$C$6</f>
        <v>0.66281171149839557</v>
      </c>
      <c r="J12" s="18">
        <f>J11/'[1]Orbit Parameters'!$C$6</f>
        <v>0.82604146134501544</v>
      </c>
      <c r="K12" s="18">
        <f>K11/'[1]Orbit Parameters'!$C$6</f>
        <v>0.98927121119163519</v>
      </c>
    </row>
    <row r="14" spans="1:12" x14ac:dyDescent="0.25">
      <c r="A14" s="64" t="s">
        <v>233</v>
      </c>
      <c r="B14" s="64">
        <f>B10</f>
        <v>0</v>
      </c>
      <c r="C14" s="64">
        <f>C10</f>
        <v>549.28730910796833</v>
      </c>
      <c r="D14" s="64">
        <f t="shared" ref="D14:K14" si="2">D10</f>
        <v>549.28730910796833</v>
      </c>
      <c r="E14" s="64">
        <f t="shared" si="2"/>
        <v>549.28730910796833</v>
      </c>
      <c r="F14" s="64">
        <f t="shared" si="2"/>
        <v>549.28730910796833</v>
      </c>
      <c r="G14" s="64">
        <f t="shared" si="2"/>
        <v>549.28730910796833</v>
      </c>
      <c r="H14" s="64">
        <f t="shared" si="2"/>
        <v>549.28730910796833</v>
      </c>
      <c r="I14" s="64">
        <f t="shared" si="2"/>
        <v>549.28730910796833</v>
      </c>
      <c r="J14" s="64">
        <f t="shared" si="2"/>
        <v>946.90573435776639</v>
      </c>
      <c r="K14" s="64">
        <f t="shared" si="2"/>
        <v>946.90573435776639</v>
      </c>
      <c r="L14" s="64" t="s">
        <v>235</v>
      </c>
    </row>
    <row r="15" spans="1:12" x14ac:dyDescent="0.25">
      <c r="A15" s="64" t="s">
        <v>236</v>
      </c>
      <c r="B15" s="157">
        <f>B31</f>
        <v>0.95</v>
      </c>
      <c r="C15" s="157">
        <f t="shared" ref="C15:K15" si="3">C31</f>
        <v>0.95070380372201979</v>
      </c>
      <c r="D15" s="157">
        <f t="shared" si="3"/>
        <v>0.95140760744403974</v>
      </c>
      <c r="E15" s="157">
        <f t="shared" si="3"/>
        <v>0.95211141116605957</v>
      </c>
      <c r="F15" s="157">
        <f t="shared" si="3"/>
        <v>0.95281521488807952</v>
      </c>
      <c r="G15" s="157">
        <f t="shared" si="3"/>
        <v>0.95351901861009947</v>
      </c>
      <c r="H15" s="157">
        <f t="shared" si="3"/>
        <v>0.9542228223321193</v>
      </c>
      <c r="I15" s="157">
        <f t="shared" si="3"/>
        <v>0.95492662605413925</v>
      </c>
      <c r="J15" s="157">
        <f t="shared" si="3"/>
        <v>0.93803328897919769</v>
      </c>
      <c r="K15" s="157">
        <f t="shared" si="3"/>
        <v>0.92113995190425613</v>
      </c>
    </row>
    <row r="16" spans="1:12" x14ac:dyDescent="0.25">
      <c r="A16" s="64" t="s">
        <v>237</v>
      </c>
      <c r="B16" s="157">
        <f>B30</f>
        <v>0.05</v>
      </c>
      <c r="C16" s="157">
        <f t="shared" ref="C16:K16" si="4">C30</f>
        <v>4.9296196277980209E-2</v>
      </c>
      <c r="D16" s="157">
        <f t="shared" si="4"/>
        <v>4.8592392555960262E-2</v>
      </c>
      <c r="E16" s="157">
        <f t="shared" si="4"/>
        <v>4.7888588833940426E-2</v>
      </c>
      <c r="F16" s="157">
        <f t="shared" si="4"/>
        <v>4.718478511192048E-2</v>
      </c>
      <c r="G16" s="157">
        <f t="shared" si="4"/>
        <v>4.6480981389900533E-2</v>
      </c>
      <c r="H16" s="157">
        <f t="shared" si="4"/>
        <v>4.5777177667880697E-2</v>
      </c>
      <c r="I16" s="157">
        <f t="shared" si="4"/>
        <v>4.5073373945860751E-2</v>
      </c>
      <c r="J16" s="157">
        <f t="shared" si="4"/>
        <v>6.1966711020802312E-2</v>
      </c>
      <c r="K16" s="157">
        <f t="shared" si="4"/>
        <v>7.8860048095743873E-2</v>
      </c>
    </row>
    <row r="17" spans="1:15" x14ac:dyDescent="0.25">
      <c r="A17" s="64" t="s">
        <v>238</v>
      </c>
      <c r="B17" s="157">
        <f>B41</f>
        <v>0.95</v>
      </c>
      <c r="C17" s="157">
        <f t="shared" ref="C17:K17" si="5">C41</f>
        <v>0.95060908871426475</v>
      </c>
      <c r="D17" s="157">
        <f t="shared" si="5"/>
        <v>0.95121817742852943</v>
      </c>
      <c r="E17" s="157">
        <f t="shared" si="5"/>
        <v>0.95182726614279412</v>
      </c>
      <c r="F17" s="157">
        <f t="shared" si="5"/>
        <v>0.95243635485705891</v>
      </c>
      <c r="G17" s="157">
        <f t="shared" si="5"/>
        <v>0.95304544357132359</v>
      </c>
      <c r="H17" s="157">
        <f t="shared" si="5"/>
        <v>0.95365453228558839</v>
      </c>
      <c r="I17" s="157">
        <f t="shared" si="5"/>
        <v>0.95426362099985307</v>
      </c>
      <c r="J17" s="157">
        <f t="shared" si="5"/>
        <v>0.93701833940251689</v>
      </c>
      <c r="K17" s="157">
        <f t="shared" si="5"/>
        <v>0.9197730578051807</v>
      </c>
    </row>
    <row r="18" spans="1:15" x14ac:dyDescent="0.25">
      <c r="A18" s="64" t="s">
        <v>239</v>
      </c>
      <c r="B18" s="157">
        <f>B40</f>
        <v>0.05</v>
      </c>
      <c r="C18" s="157">
        <f t="shared" ref="C18:K18" si="6">C40</f>
        <v>4.9390911285735251E-2</v>
      </c>
      <c r="D18" s="157">
        <f t="shared" si="6"/>
        <v>4.8781822571470568E-2</v>
      </c>
      <c r="E18" s="157">
        <f t="shared" si="6"/>
        <v>4.8172733857205885E-2</v>
      </c>
      <c r="F18" s="157">
        <f t="shared" si="6"/>
        <v>4.7563645142941091E-2</v>
      </c>
      <c r="G18" s="157">
        <f t="shared" si="6"/>
        <v>4.6954556428676408E-2</v>
      </c>
      <c r="H18" s="157">
        <f t="shared" si="6"/>
        <v>4.6345467714411615E-2</v>
      </c>
      <c r="I18" s="157">
        <f t="shared" si="6"/>
        <v>4.5736379000146932E-2</v>
      </c>
      <c r="J18" s="157">
        <f t="shared" si="6"/>
        <v>6.2981660597483113E-2</v>
      </c>
      <c r="K18" s="157">
        <f t="shared" si="6"/>
        <v>8.0226942194819295E-2</v>
      </c>
    </row>
    <row r="24" spans="1:15" x14ac:dyDescent="0.25">
      <c r="A24" s="158" t="s">
        <v>240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</row>
    <row r="25" spans="1:15" x14ac:dyDescent="0.25">
      <c r="A25" s="153" t="s">
        <v>241</v>
      </c>
      <c r="B25" s="159"/>
      <c r="C25" s="110">
        <f>IF(C$4=1, C$8*(C$10/3600), -C$7*(C$10/3600))</f>
        <v>0.15311953776266041</v>
      </c>
      <c r="D25" s="110">
        <f t="shared" ref="D25:K25" si="7">IF(D$4=1, D$8*(D$10/3600), -D$7*(D$10/3600))</f>
        <v>0.15311953776266041</v>
      </c>
      <c r="E25" s="110">
        <f t="shared" si="7"/>
        <v>0.15311953776266041</v>
      </c>
      <c r="F25" s="110">
        <f t="shared" si="7"/>
        <v>0.15311953776266041</v>
      </c>
      <c r="G25" s="110">
        <f t="shared" si="7"/>
        <v>0.15311953776266041</v>
      </c>
      <c r="H25" s="110">
        <f t="shared" si="7"/>
        <v>0.15311953776266041</v>
      </c>
      <c r="I25" s="110">
        <f t="shared" si="7"/>
        <v>0.15311953776266041</v>
      </c>
      <c r="J25" s="110">
        <f t="shared" si="7"/>
        <v>-3.675314414024291</v>
      </c>
      <c r="K25" s="110">
        <f t="shared" si="7"/>
        <v>-3.675314414024291</v>
      </c>
      <c r="L25" s="64" t="s">
        <v>253</v>
      </c>
    </row>
    <row r="26" spans="1:15" x14ac:dyDescent="0.25">
      <c r="A26" s="153" t="s">
        <v>242</v>
      </c>
      <c r="B26" s="159"/>
      <c r="C26" s="157">
        <f>IF(B30-C30&gt;0, B30-C30, C30-B30)</f>
        <v>7.0380372201979402E-4</v>
      </c>
      <c r="D26" s="157">
        <f t="shared" ref="D26:K26" si="8">IF(C30-D30&gt;0, C30-D30, D30-C30)</f>
        <v>7.0380372201994668E-4</v>
      </c>
      <c r="E26" s="157">
        <f t="shared" si="8"/>
        <v>7.0380372201983565E-4</v>
      </c>
      <c r="F26" s="157">
        <f t="shared" si="8"/>
        <v>7.0380372201994668E-4</v>
      </c>
      <c r="G26" s="157">
        <f t="shared" si="8"/>
        <v>7.0380372201994668E-4</v>
      </c>
      <c r="H26" s="157">
        <f t="shared" si="8"/>
        <v>7.0380372201983565E-4</v>
      </c>
      <c r="I26" s="157">
        <f t="shared" si="8"/>
        <v>7.0380372201994668E-4</v>
      </c>
      <c r="J26" s="157">
        <f t="shared" si="8"/>
        <v>1.6893337074941561E-2</v>
      </c>
      <c r="K26" s="157">
        <f t="shared" si="8"/>
        <v>1.6893337074941561E-2</v>
      </c>
    </row>
    <row r="27" spans="1:15" x14ac:dyDescent="0.25">
      <c r="A27" s="153" t="s">
        <v>243</v>
      </c>
      <c r="B27" s="159"/>
      <c r="C27" s="157">
        <f>IF(C26&gt;0, C26, -C26)</f>
        <v>7.0380372201979402E-4</v>
      </c>
      <c r="D27" s="157">
        <f t="shared" ref="D27:K27" si="9">IF(D26&gt;0, D26, -D26)</f>
        <v>7.0380372201994668E-4</v>
      </c>
      <c r="E27" s="157">
        <f t="shared" si="9"/>
        <v>7.0380372201983565E-4</v>
      </c>
      <c r="F27" s="157">
        <f t="shared" si="9"/>
        <v>7.0380372201994668E-4</v>
      </c>
      <c r="G27" s="157">
        <f t="shared" si="9"/>
        <v>7.0380372201994668E-4</v>
      </c>
      <c r="H27" s="157">
        <f t="shared" si="9"/>
        <v>7.0380372201983565E-4</v>
      </c>
      <c r="I27" s="157">
        <f t="shared" si="9"/>
        <v>7.0380372201994668E-4</v>
      </c>
      <c r="J27" s="157">
        <f t="shared" si="9"/>
        <v>1.6893337074941561E-2</v>
      </c>
      <c r="K27" s="157">
        <f t="shared" si="9"/>
        <v>1.6893337074941561E-2</v>
      </c>
    </row>
    <row r="28" spans="1:15" x14ac:dyDescent="0.25">
      <c r="A28" s="153" t="s">
        <v>41</v>
      </c>
      <c r="B28" s="160">
        <f>'EPS Parameters'!$C$23*(1-B30)</f>
        <v>206.68199999999999</v>
      </c>
      <c r="C28" s="160">
        <f>IF(B28+C25&gt;'EPS Parameters'!$C$23, 'EPS Parameters'!$C$23, B28+C25)</f>
        <v>206.83511953776264</v>
      </c>
      <c r="D28" s="160">
        <f>IF(C28+D25&gt;'EPS Parameters'!$C$23, 'EPS Parameters'!$C$23, C28+D25)</f>
        <v>206.98823907552529</v>
      </c>
      <c r="E28" s="160">
        <f>IF(D28+E25&gt;'EPS Parameters'!$C$23, 'EPS Parameters'!$C$23, D28+E25)</f>
        <v>207.14135861328793</v>
      </c>
      <c r="F28" s="160">
        <f>IF(E28+F25&gt;'EPS Parameters'!$C$23, 'EPS Parameters'!$C$23, E28+F25)</f>
        <v>207.29447815105058</v>
      </c>
      <c r="G28" s="160">
        <f>IF(F28+G25&gt;'EPS Parameters'!$C$23, 'EPS Parameters'!$C$23, F28+G25)</f>
        <v>207.44759768881323</v>
      </c>
      <c r="H28" s="160">
        <f>IF(G28+H25&gt;'EPS Parameters'!$C$23, 'EPS Parameters'!$C$23, G28+H25)</f>
        <v>207.60071722657588</v>
      </c>
      <c r="I28" s="160">
        <f>IF(H28+I25&gt;'EPS Parameters'!$C$23, 'EPS Parameters'!$C$23, H28+I25)</f>
        <v>207.75383676433853</v>
      </c>
      <c r="J28" s="160">
        <f>IF(I28+J25&gt;'EPS Parameters'!$C$23, 'EPS Parameters'!$C$23, I28+J25)</f>
        <v>204.07852235031424</v>
      </c>
      <c r="K28" s="160">
        <f>IF(J28+K25&gt;'EPS Parameters'!$C$23, 'EPS Parameters'!$C$23, J28+K25)</f>
        <v>200.40320793628996</v>
      </c>
      <c r="L28" s="64" t="s">
        <v>253</v>
      </c>
    </row>
    <row r="29" spans="1:15" x14ac:dyDescent="0.25">
      <c r="A29" s="153"/>
      <c r="B29" s="160">
        <f>B$10</f>
        <v>0</v>
      </c>
      <c r="C29" s="160">
        <f t="shared" ref="C29:K29" si="10">C$10</f>
        <v>549.28730910796833</v>
      </c>
      <c r="D29" s="160">
        <f t="shared" si="10"/>
        <v>549.28730910796833</v>
      </c>
      <c r="E29" s="160">
        <f t="shared" si="10"/>
        <v>549.28730910796833</v>
      </c>
      <c r="F29" s="160">
        <f t="shared" si="10"/>
        <v>549.28730910796833</v>
      </c>
      <c r="G29" s="160">
        <f t="shared" si="10"/>
        <v>549.28730910796833</v>
      </c>
      <c r="H29" s="160">
        <f t="shared" si="10"/>
        <v>549.28730910796833</v>
      </c>
      <c r="I29" s="160">
        <f t="shared" si="10"/>
        <v>549.28730910796833</v>
      </c>
      <c r="J29" s="160">
        <f t="shared" si="10"/>
        <v>946.90573435776639</v>
      </c>
      <c r="K29" s="160">
        <f t="shared" si="10"/>
        <v>946.90573435776639</v>
      </c>
    </row>
    <row r="30" spans="1:15" x14ac:dyDescent="0.25">
      <c r="A30" s="153" t="s">
        <v>54</v>
      </c>
      <c r="B30" s="161">
        <v>0.05</v>
      </c>
      <c r="C30" s="162">
        <f>1-C28/'EPS Parameters'!$C$23</f>
        <v>4.9296196277980209E-2</v>
      </c>
      <c r="D30" s="162">
        <f>1-D28/'EPS Parameters'!$C$23</f>
        <v>4.8592392555960262E-2</v>
      </c>
      <c r="E30" s="162">
        <f>1-E28/'EPS Parameters'!$C$23</f>
        <v>4.7888588833940426E-2</v>
      </c>
      <c r="F30" s="162">
        <f>1-F28/'EPS Parameters'!$C$23</f>
        <v>4.718478511192048E-2</v>
      </c>
      <c r="G30" s="162">
        <f>1-G28/'EPS Parameters'!$C$23</f>
        <v>4.6480981389900533E-2</v>
      </c>
      <c r="H30" s="162">
        <f>1-H28/'EPS Parameters'!$C$23</f>
        <v>4.5777177667880697E-2</v>
      </c>
      <c r="I30" s="162">
        <f>1-I28/'EPS Parameters'!$C$23</f>
        <v>4.5073373945860751E-2</v>
      </c>
      <c r="J30" s="162">
        <f>1-J28/'EPS Parameters'!$C$23</f>
        <v>6.1966711020802312E-2</v>
      </c>
      <c r="K30" s="163">
        <f>1-K28/'EPS Parameters'!$C$23</f>
        <v>7.8860048095743873E-2</v>
      </c>
      <c r="O30" s="165"/>
    </row>
    <row r="31" spans="1:15" x14ac:dyDescent="0.25">
      <c r="A31" s="153" t="s">
        <v>244</v>
      </c>
      <c r="B31" s="162">
        <f>1-B30</f>
        <v>0.95</v>
      </c>
      <c r="C31" s="162">
        <f t="shared" ref="C31:K31" si="11">1-C30</f>
        <v>0.95070380372201979</v>
      </c>
      <c r="D31" s="162">
        <f t="shared" si="11"/>
        <v>0.95140760744403974</v>
      </c>
      <c r="E31" s="162">
        <f t="shared" si="11"/>
        <v>0.95211141116605957</v>
      </c>
      <c r="F31" s="162">
        <f t="shared" si="11"/>
        <v>0.95281521488807952</v>
      </c>
      <c r="G31" s="162">
        <f t="shared" si="11"/>
        <v>0.95351901861009947</v>
      </c>
      <c r="H31" s="162">
        <f t="shared" si="11"/>
        <v>0.9542228223321193</v>
      </c>
      <c r="I31" s="162">
        <f t="shared" si="11"/>
        <v>0.95492662605413925</v>
      </c>
      <c r="J31" s="162">
        <f t="shared" si="11"/>
        <v>0.93803328897919769</v>
      </c>
      <c r="K31" s="163">
        <f t="shared" si="11"/>
        <v>0.92113995190425613</v>
      </c>
      <c r="O31" s="165"/>
    </row>
    <row r="32" spans="1:15" x14ac:dyDescent="0.25">
      <c r="A32" s="153"/>
      <c r="D32" s="157"/>
      <c r="E32" s="157"/>
      <c r="F32" s="157"/>
      <c r="G32" s="157"/>
      <c r="H32" s="157"/>
      <c r="I32" s="157"/>
      <c r="J32" s="157"/>
      <c r="K32" s="157"/>
    </row>
    <row r="33" spans="1:12" x14ac:dyDescent="0.25">
      <c r="A33" s="153"/>
      <c r="D33" s="157"/>
      <c r="E33" s="157"/>
      <c r="F33" s="157"/>
      <c r="G33" s="157"/>
      <c r="H33" s="157"/>
      <c r="I33" s="157"/>
      <c r="J33" s="157"/>
      <c r="K33" s="157"/>
    </row>
    <row r="34" spans="1:12" x14ac:dyDescent="0.25">
      <c r="A34" s="158" t="s">
        <v>245</v>
      </c>
      <c r="B34" s="46"/>
      <c r="C34" s="46"/>
      <c r="D34" s="164"/>
      <c r="E34" s="164"/>
      <c r="F34" s="164"/>
      <c r="G34" s="164"/>
      <c r="H34" s="164"/>
      <c r="I34" s="164"/>
      <c r="J34" s="164"/>
      <c r="K34" s="164"/>
    </row>
    <row r="35" spans="1:12" x14ac:dyDescent="0.25">
      <c r="A35" s="153" t="s">
        <v>241</v>
      </c>
      <c r="B35" s="159"/>
      <c r="C35" s="110">
        <f>IF(C$4=1, C$9*(C$10/3600), -C$7*(C$10/3600))</f>
        <v>0.12980898678409819</v>
      </c>
      <c r="D35" s="110">
        <f t="shared" ref="D35:K35" si="12">IF(D$4=1, D$9*(D$10/3600), -D$7*(D$10/3600))</f>
        <v>0.12980898678409819</v>
      </c>
      <c r="E35" s="110">
        <f t="shared" si="12"/>
        <v>0.12980898678409819</v>
      </c>
      <c r="F35" s="110">
        <f t="shared" si="12"/>
        <v>0.12980898678409819</v>
      </c>
      <c r="G35" s="110">
        <f t="shared" si="12"/>
        <v>0.12980898678409819</v>
      </c>
      <c r="H35" s="110">
        <f t="shared" si="12"/>
        <v>0.12980898678409819</v>
      </c>
      <c r="I35" s="110">
        <f t="shared" si="12"/>
        <v>0.12980898678409819</v>
      </c>
      <c r="J35" s="110">
        <f t="shared" si="12"/>
        <v>-3.675314414024291</v>
      </c>
      <c r="K35" s="110">
        <f t="shared" si="12"/>
        <v>-3.675314414024291</v>
      </c>
      <c r="L35" s="64" t="s">
        <v>254</v>
      </c>
    </row>
    <row r="36" spans="1:12" x14ac:dyDescent="0.25">
      <c r="A36" s="153" t="s">
        <v>242</v>
      </c>
      <c r="B36" s="159"/>
      <c r="C36" s="157">
        <f>IF(B40-C40&gt;0, B40-C40, C40-B40)</f>
        <v>6.090887142647522E-4</v>
      </c>
      <c r="D36" s="157">
        <f t="shared" ref="D36:K36" si="13">IF(C40-D40&gt;0, C40-D40, D40-C40)</f>
        <v>6.0908871426468281E-4</v>
      </c>
      <c r="E36" s="157">
        <f t="shared" si="13"/>
        <v>6.0908871426468281E-4</v>
      </c>
      <c r="F36" s="157">
        <f t="shared" si="13"/>
        <v>6.0908871426479383E-4</v>
      </c>
      <c r="G36" s="157">
        <f t="shared" si="13"/>
        <v>6.0908871426468281E-4</v>
      </c>
      <c r="H36" s="157">
        <f t="shared" si="13"/>
        <v>6.0908871426479383E-4</v>
      </c>
      <c r="I36" s="157">
        <f t="shared" si="13"/>
        <v>6.0908871426468281E-4</v>
      </c>
      <c r="J36" s="157">
        <f t="shared" si="13"/>
        <v>1.7245281597336182E-2</v>
      </c>
      <c r="K36" s="157">
        <f t="shared" si="13"/>
        <v>1.7245281597336182E-2</v>
      </c>
    </row>
    <row r="37" spans="1:12" x14ac:dyDescent="0.25">
      <c r="A37" s="153" t="s">
        <v>243</v>
      </c>
      <c r="B37" s="159"/>
      <c r="C37" s="157">
        <f>IF(C36&gt;0, C36, -C36)</f>
        <v>6.090887142647522E-4</v>
      </c>
      <c r="D37" s="157">
        <f t="shared" ref="D37:K37" si="14">IF(D36&gt;0, D36, -D36)</f>
        <v>6.0908871426468281E-4</v>
      </c>
      <c r="E37" s="157">
        <f t="shared" si="14"/>
        <v>6.0908871426468281E-4</v>
      </c>
      <c r="F37" s="157">
        <f t="shared" si="14"/>
        <v>6.0908871426479383E-4</v>
      </c>
      <c r="G37" s="157">
        <f t="shared" si="14"/>
        <v>6.0908871426468281E-4</v>
      </c>
      <c r="H37" s="157">
        <f t="shared" si="14"/>
        <v>6.0908871426479383E-4</v>
      </c>
      <c r="I37" s="157">
        <f t="shared" si="14"/>
        <v>6.0908871426468281E-4</v>
      </c>
      <c r="J37" s="157">
        <f t="shared" si="14"/>
        <v>1.7245281597336182E-2</v>
      </c>
      <c r="K37" s="157">
        <f t="shared" si="14"/>
        <v>1.7245281597336182E-2</v>
      </c>
    </row>
    <row r="38" spans="1:12" x14ac:dyDescent="0.25">
      <c r="A38" s="153" t="s">
        <v>41</v>
      </c>
      <c r="B38" s="160">
        <f>'EPS Parameters'!$C$26*(1-B40)</f>
        <v>202.464</v>
      </c>
      <c r="C38" s="160">
        <f>IF(B38+C35&gt;'EPS Parameters'!$C$26, 'EPS Parameters'!$C$26, B38+C35)</f>
        <v>202.5938089867841</v>
      </c>
      <c r="D38" s="160">
        <f>IF(C38+D35&gt;'EPS Parameters'!$C$26, 'EPS Parameters'!$C$26, C38+D35)</f>
        <v>202.7236179735682</v>
      </c>
      <c r="E38" s="160">
        <f>IF(D38+E35&gt;'EPS Parameters'!$C$26, 'EPS Parameters'!$C$26, D38+E35)</f>
        <v>202.85342696035229</v>
      </c>
      <c r="F38" s="160">
        <f>IF(E38+F35&gt;'EPS Parameters'!$C$26, 'EPS Parameters'!$C$26, E38+F35)</f>
        <v>202.98323594713639</v>
      </c>
      <c r="G38" s="160">
        <f>IF(F38+G35&gt;'EPS Parameters'!$C$26, 'EPS Parameters'!$C$26, F38+G35)</f>
        <v>203.11304493392049</v>
      </c>
      <c r="H38" s="160">
        <f>IF(G38+H35&gt;'EPS Parameters'!$C$26, 'EPS Parameters'!$C$26, G38+H35)</f>
        <v>203.24285392070459</v>
      </c>
      <c r="I38" s="160">
        <f>IF(H38+I35&gt;'EPS Parameters'!$C$26, 'EPS Parameters'!$C$26, H38+I35)</f>
        <v>203.37266290748869</v>
      </c>
      <c r="J38" s="160">
        <f>IF(I38+J35&gt;'EPS Parameters'!$C$26, 'EPS Parameters'!$C$26, I38+J35)</f>
        <v>199.6973484934644</v>
      </c>
      <c r="K38" s="160">
        <f>IF(J38+K35&gt;'EPS Parameters'!$C$26, 'EPS Parameters'!$C$26, J38+K35)</f>
        <v>196.02203407944012</v>
      </c>
      <c r="L38" s="64" t="s">
        <v>254</v>
      </c>
    </row>
    <row r="39" spans="1:12" x14ac:dyDescent="0.25">
      <c r="A39" s="153"/>
      <c r="B39" s="160">
        <f>B$10</f>
        <v>0</v>
      </c>
      <c r="C39" s="160">
        <f t="shared" ref="C39:K39" si="15">C$10</f>
        <v>549.28730910796833</v>
      </c>
      <c r="D39" s="160">
        <f t="shared" si="15"/>
        <v>549.28730910796833</v>
      </c>
      <c r="E39" s="160">
        <f t="shared" si="15"/>
        <v>549.28730910796833</v>
      </c>
      <c r="F39" s="160">
        <f t="shared" si="15"/>
        <v>549.28730910796833</v>
      </c>
      <c r="G39" s="160">
        <f t="shared" si="15"/>
        <v>549.28730910796833</v>
      </c>
      <c r="H39" s="160">
        <f t="shared" si="15"/>
        <v>549.28730910796833</v>
      </c>
      <c r="I39" s="160">
        <f t="shared" si="15"/>
        <v>549.28730910796833</v>
      </c>
      <c r="J39" s="160">
        <f t="shared" si="15"/>
        <v>946.90573435776639</v>
      </c>
      <c r="K39" s="160">
        <f t="shared" si="15"/>
        <v>946.90573435776639</v>
      </c>
    </row>
    <row r="40" spans="1:12" x14ac:dyDescent="0.25">
      <c r="A40" s="153" t="s">
        <v>54</v>
      </c>
      <c r="B40" s="161">
        <v>0.05</v>
      </c>
      <c r="C40" s="162">
        <f>1-C38/'EPS Parameters'!$C$26</f>
        <v>4.9390911285735251E-2</v>
      </c>
      <c r="D40" s="162">
        <f>1-D38/'EPS Parameters'!$C$26</f>
        <v>4.8781822571470568E-2</v>
      </c>
      <c r="E40" s="162">
        <f>1-E38/'EPS Parameters'!$C$26</f>
        <v>4.8172733857205885E-2</v>
      </c>
      <c r="F40" s="162">
        <f>1-F38/'EPS Parameters'!$C$26</f>
        <v>4.7563645142941091E-2</v>
      </c>
      <c r="G40" s="162">
        <f>1-G38/'EPS Parameters'!$C$26</f>
        <v>4.6954556428676408E-2</v>
      </c>
      <c r="H40" s="162">
        <f>1-H38/'EPS Parameters'!$C$26</f>
        <v>4.6345467714411615E-2</v>
      </c>
      <c r="I40" s="162">
        <f>1-I38/'EPS Parameters'!$C$26</f>
        <v>4.5736379000146932E-2</v>
      </c>
      <c r="J40" s="162">
        <f>1-J38/'EPS Parameters'!$C$26</f>
        <v>6.2981660597483113E-2</v>
      </c>
      <c r="K40" s="163">
        <f>1-K38/'EPS Parameters'!$C$26</f>
        <v>8.0226942194819295E-2</v>
      </c>
    </row>
    <row r="41" spans="1:12" x14ac:dyDescent="0.25">
      <c r="A41" s="153" t="s">
        <v>244</v>
      </c>
      <c r="B41" s="162">
        <f>1-B40</f>
        <v>0.95</v>
      </c>
      <c r="C41" s="162">
        <f t="shared" ref="C41:K41" si="16">1-C40</f>
        <v>0.95060908871426475</v>
      </c>
      <c r="D41" s="162">
        <f t="shared" si="16"/>
        <v>0.95121817742852943</v>
      </c>
      <c r="E41" s="162">
        <f t="shared" si="16"/>
        <v>0.95182726614279412</v>
      </c>
      <c r="F41" s="162">
        <f t="shared" si="16"/>
        <v>0.95243635485705891</v>
      </c>
      <c r="G41" s="162">
        <f t="shared" si="16"/>
        <v>0.95304544357132359</v>
      </c>
      <c r="H41" s="162">
        <f t="shared" si="16"/>
        <v>0.95365453228558839</v>
      </c>
      <c r="I41" s="162">
        <f t="shared" si="16"/>
        <v>0.95426362099985307</v>
      </c>
      <c r="J41" s="162">
        <f t="shared" si="16"/>
        <v>0.93701833940251689</v>
      </c>
      <c r="K41" s="163">
        <f t="shared" si="16"/>
        <v>0.9197730578051807</v>
      </c>
    </row>
    <row r="45" spans="1:12" x14ac:dyDescent="0.25">
      <c r="A45" s="153" t="s">
        <v>233</v>
      </c>
      <c r="B45" s="64">
        <f>B10</f>
        <v>0</v>
      </c>
      <c r="C45" s="64">
        <f t="shared" ref="C45:K45" si="17">C10</f>
        <v>549.28730910796833</v>
      </c>
      <c r="D45" s="64">
        <f t="shared" si="17"/>
        <v>549.28730910796833</v>
      </c>
      <c r="E45" s="64">
        <f t="shared" si="17"/>
        <v>549.28730910796833</v>
      </c>
      <c r="F45" s="64">
        <f t="shared" si="17"/>
        <v>549.28730910796833</v>
      </c>
      <c r="G45" s="64">
        <f t="shared" si="17"/>
        <v>549.28730910796833</v>
      </c>
      <c r="H45" s="64">
        <f t="shared" si="17"/>
        <v>549.28730910796833</v>
      </c>
      <c r="I45" s="64">
        <f t="shared" si="17"/>
        <v>549.28730910796833</v>
      </c>
      <c r="J45" s="64">
        <f t="shared" si="17"/>
        <v>946.90573435776639</v>
      </c>
      <c r="K45" s="64">
        <f t="shared" si="17"/>
        <v>946.90573435776639</v>
      </c>
      <c r="L45" s="64" t="s">
        <v>246</v>
      </c>
    </row>
    <row r="46" spans="1:12" x14ac:dyDescent="0.25">
      <c r="A46" s="153" t="s">
        <v>247</v>
      </c>
      <c r="B46" s="157">
        <f>B31</f>
        <v>0.95</v>
      </c>
      <c r="C46" s="157">
        <f t="shared" ref="C46:K46" si="18">C31</f>
        <v>0.95070380372201979</v>
      </c>
      <c r="D46" s="157">
        <f t="shared" si="18"/>
        <v>0.95140760744403974</v>
      </c>
      <c r="E46" s="157">
        <f t="shared" si="18"/>
        <v>0.95211141116605957</v>
      </c>
      <c r="F46" s="157">
        <f t="shared" si="18"/>
        <v>0.95281521488807952</v>
      </c>
      <c r="G46" s="157">
        <f t="shared" si="18"/>
        <v>0.95351901861009947</v>
      </c>
      <c r="H46" s="157">
        <f t="shared" si="18"/>
        <v>0.9542228223321193</v>
      </c>
      <c r="I46" s="157">
        <f t="shared" si="18"/>
        <v>0.95492662605413925</v>
      </c>
      <c r="J46" s="157">
        <f t="shared" si="18"/>
        <v>0.93803328897919769</v>
      </c>
      <c r="K46" s="157">
        <f t="shared" si="18"/>
        <v>0.92113995190425613</v>
      </c>
    </row>
    <row r="47" spans="1:12" x14ac:dyDescent="0.25">
      <c r="A47" s="153" t="s">
        <v>248</v>
      </c>
      <c r="B47" s="157">
        <f>B30</f>
        <v>0.05</v>
      </c>
      <c r="C47" s="157">
        <f t="shared" ref="C47:K47" si="19">C30</f>
        <v>4.9296196277980209E-2</v>
      </c>
      <c r="D47" s="157">
        <f t="shared" si="19"/>
        <v>4.8592392555960262E-2</v>
      </c>
      <c r="E47" s="157">
        <f t="shared" si="19"/>
        <v>4.7888588833940426E-2</v>
      </c>
      <c r="F47" s="157">
        <f t="shared" si="19"/>
        <v>4.718478511192048E-2</v>
      </c>
      <c r="G47" s="157">
        <f t="shared" si="19"/>
        <v>4.6480981389900533E-2</v>
      </c>
      <c r="H47" s="157">
        <f t="shared" si="19"/>
        <v>4.5777177667880697E-2</v>
      </c>
      <c r="I47" s="157">
        <f t="shared" si="19"/>
        <v>4.5073373945860751E-2</v>
      </c>
      <c r="J47" s="157">
        <f t="shared" si="19"/>
        <v>6.1966711020802312E-2</v>
      </c>
      <c r="K47" s="157">
        <f t="shared" si="19"/>
        <v>7.8860048095743873E-2</v>
      </c>
    </row>
    <row r="48" spans="1:12" x14ac:dyDescent="0.25">
      <c r="A48" s="153" t="s">
        <v>249</v>
      </c>
      <c r="B48" s="157">
        <f>B41</f>
        <v>0.95</v>
      </c>
      <c r="C48" s="157">
        <f t="shared" ref="C48:K48" si="20">C41</f>
        <v>0.95060908871426475</v>
      </c>
      <c r="D48" s="157">
        <f t="shared" si="20"/>
        <v>0.95121817742852943</v>
      </c>
      <c r="E48" s="157">
        <f t="shared" si="20"/>
        <v>0.95182726614279412</v>
      </c>
      <c r="F48" s="157">
        <f t="shared" si="20"/>
        <v>0.95243635485705891</v>
      </c>
      <c r="G48" s="157">
        <f t="shared" si="20"/>
        <v>0.95304544357132359</v>
      </c>
      <c r="H48" s="157">
        <f t="shared" si="20"/>
        <v>0.95365453228558839</v>
      </c>
      <c r="I48" s="157">
        <f t="shared" si="20"/>
        <v>0.95426362099985307</v>
      </c>
      <c r="J48" s="157">
        <f t="shared" si="20"/>
        <v>0.93701833940251689</v>
      </c>
      <c r="K48" s="157">
        <f t="shared" si="20"/>
        <v>0.9197730578051807</v>
      </c>
    </row>
    <row r="49" spans="1:11" x14ac:dyDescent="0.25">
      <c r="A49" s="153" t="s">
        <v>250</v>
      </c>
      <c r="B49" s="157">
        <f>B40</f>
        <v>0.05</v>
      </c>
      <c r="C49" s="157">
        <f t="shared" ref="C49:K49" si="21">C40</f>
        <v>4.9390911285735251E-2</v>
      </c>
      <c r="D49" s="157">
        <f t="shared" si="21"/>
        <v>4.8781822571470568E-2</v>
      </c>
      <c r="E49" s="157">
        <f t="shared" si="21"/>
        <v>4.8172733857205885E-2</v>
      </c>
      <c r="F49" s="157">
        <f t="shared" si="21"/>
        <v>4.7563645142941091E-2</v>
      </c>
      <c r="G49" s="157">
        <f t="shared" si="21"/>
        <v>4.6954556428676408E-2</v>
      </c>
      <c r="H49" s="157">
        <f t="shared" si="21"/>
        <v>4.6345467714411615E-2</v>
      </c>
      <c r="I49" s="157">
        <f t="shared" si="21"/>
        <v>4.5736379000146932E-2</v>
      </c>
      <c r="J49" s="157">
        <f t="shared" si="21"/>
        <v>6.2981660597483113E-2</v>
      </c>
      <c r="K49" s="157">
        <f t="shared" si="21"/>
        <v>8.0226942194819295E-2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672C0E-C926-4787-8957-844EB19FE7C5}">
          <x14:formula1>
            <xm:f>BoH!$A$124:$A$129</xm:f>
          </x14:formula1>
          <xm:sqref>C6:K6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897B-C8CA-4285-B644-2836EA703BD1}">
  <sheetPr>
    <outlinePr applyStyles="1" summaryBelow="0" summaryRight="0"/>
  </sheetPr>
  <dimension ref="A1:AD252"/>
  <sheetViews>
    <sheetView zoomScale="145" zoomScaleNormal="145" workbookViewId="0">
      <selection activeCell="D126" sqref="D126"/>
    </sheetView>
  </sheetViews>
  <sheetFormatPr baseColWidth="10" defaultColWidth="9.140625" defaultRowHeight="15" outlineLevelRow="1" x14ac:dyDescent="0.25"/>
  <cols>
    <col min="1" max="1" width="23.42578125" bestFit="1" customWidth="1"/>
    <col min="2" max="2" width="23.7109375" bestFit="1" customWidth="1"/>
    <col min="3" max="5" width="18.140625" bestFit="1" customWidth="1"/>
    <col min="6" max="6" width="6" style="64" bestFit="1" customWidth="1"/>
    <col min="7" max="8" width="12.28515625" bestFit="1" customWidth="1"/>
    <col min="9" max="9" width="12.7109375" bestFit="1" customWidth="1"/>
    <col min="10" max="10" width="14.28515625" bestFit="1" customWidth="1"/>
    <col min="11" max="11" width="2.85546875" style="64" customWidth="1"/>
    <col min="12" max="13" width="12.28515625" bestFit="1" customWidth="1"/>
    <col min="14" max="14" width="12.7109375" bestFit="1" customWidth="1"/>
    <col min="15" max="15" width="12.28515625" bestFit="1" customWidth="1"/>
    <col min="16" max="16" width="3.28515625" customWidth="1"/>
    <col min="17" max="18" width="12.28515625" bestFit="1" customWidth="1"/>
    <col min="19" max="19" width="12.7109375" bestFit="1" customWidth="1"/>
    <col min="20" max="20" width="12.28515625" bestFit="1" customWidth="1"/>
    <col min="21" max="21" width="3.140625" customWidth="1"/>
    <col min="22" max="23" width="12.28515625" bestFit="1" customWidth="1"/>
    <col min="24" max="24" width="12.7109375" bestFit="1" customWidth="1"/>
    <col min="25" max="25" width="12.28515625" bestFit="1" customWidth="1"/>
    <col min="26" max="26" width="3.28515625" customWidth="1"/>
    <col min="27" max="28" width="12.28515625" bestFit="1" customWidth="1"/>
    <col min="29" max="29" width="12.7109375" bestFit="1" customWidth="1"/>
    <col min="30" max="30" width="12.28515625" bestFit="1" customWidth="1"/>
  </cols>
  <sheetData>
    <row r="1" spans="1:6" s="74" customFormat="1" x14ac:dyDescent="0.25">
      <c r="A1" s="74" t="s">
        <v>177</v>
      </c>
    </row>
    <row r="2" spans="1:6" outlineLevel="1" x14ac:dyDescent="0.25">
      <c r="B2" t="s">
        <v>16</v>
      </c>
    </row>
    <row r="3" spans="1:6" outlineLevel="1" x14ac:dyDescent="0.25">
      <c r="B3" t="s">
        <v>17</v>
      </c>
      <c r="C3">
        <v>6378</v>
      </c>
      <c r="D3" s="47" t="s">
        <v>18</v>
      </c>
    </row>
    <row r="4" spans="1:6" outlineLevel="1" x14ac:dyDescent="0.25">
      <c r="B4" t="s">
        <v>19</v>
      </c>
      <c r="C4">
        <v>398600435600000</v>
      </c>
      <c r="D4" s="47" t="s">
        <v>52</v>
      </c>
    </row>
    <row r="5" spans="1:6" outlineLevel="1" x14ac:dyDescent="0.25">
      <c r="B5" s="171" t="s">
        <v>303</v>
      </c>
      <c r="C5" s="171">
        <f>'Orbit Parameters'!$C$6</f>
        <v>5738.8226324713114</v>
      </c>
      <c r="D5" s="171" t="s">
        <v>77</v>
      </c>
    </row>
    <row r="6" spans="1:6" outlineLevel="1" x14ac:dyDescent="0.25"/>
    <row r="7" spans="1:6" s="74" customFormat="1" x14ac:dyDescent="0.25">
      <c r="A7" s="74" t="s">
        <v>178</v>
      </c>
    </row>
    <row r="8" spans="1:6" outlineLevel="1" x14ac:dyDescent="0.25"/>
    <row r="9" spans="1:6" outlineLevel="1" x14ac:dyDescent="0.25">
      <c r="A9" s="171" t="s">
        <v>68</v>
      </c>
      <c r="B9" s="171" t="s">
        <v>293</v>
      </c>
      <c r="C9" s="171">
        <f>'EPS Parameters'!$C$23</f>
        <v>217.56</v>
      </c>
      <c r="D9" s="171" t="s">
        <v>43</v>
      </c>
    </row>
    <row r="10" spans="1:6" outlineLevel="1" x14ac:dyDescent="0.25">
      <c r="A10" s="171" t="s">
        <v>89</v>
      </c>
      <c r="B10" s="171" t="s">
        <v>293</v>
      </c>
      <c r="C10" s="171">
        <f>'EPS Parameters'!$C$26</f>
        <v>213.12</v>
      </c>
      <c r="D10" s="171" t="s">
        <v>43</v>
      </c>
    </row>
    <row r="11" spans="1:6" s="64" customFormat="1" outlineLevel="1" x14ac:dyDescent="0.25">
      <c r="A11" s="171"/>
      <c r="B11" s="171" t="s">
        <v>301</v>
      </c>
      <c r="C11" s="171">
        <f>'EPS Parameters'!$C$28</f>
        <v>0.2</v>
      </c>
      <c r="D11" s="171" t="s">
        <v>302</v>
      </c>
    </row>
    <row r="12" spans="1:6" s="64" customFormat="1" outlineLevel="1" x14ac:dyDescent="0.25"/>
    <row r="13" spans="1:6" outlineLevel="1" x14ac:dyDescent="0.25"/>
    <row r="14" spans="1:6" s="74" customFormat="1" collapsed="1" x14ac:dyDescent="0.25">
      <c r="A14" s="74" t="s">
        <v>179</v>
      </c>
    </row>
    <row r="15" spans="1:6" ht="15.75" hidden="1" outlineLevel="1" thickBot="1" x14ac:dyDescent="0.3"/>
    <row r="16" spans="1:6" hidden="1" outlineLevel="1" x14ac:dyDescent="0.25">
      <c r="B16" s="207" t="s">
        <v>181</v>
      </c>
      <c r="C16" s="208"/>
      <c r="D16" s="208"/>
      <c r="E16" s="209"/>
      <c r="F16" s="144"/>
    </row>
    <row r="17" spans="1:6" hidden="1" outlineLevel="1" x14ac:dyDescent="0.25">
      <c r="B17" s="114">
        <f>'Power Consumption'!$D$3</f>
        <v>14.8</v>
      </c>
      <c r="C17" s="114">
        <f>'Power Consumption'!$F$3</f>
        <v>0</v>
      </c>
      <c r="D17" s="114">
        <f>'Power Consumption'!$H$3</f>
        <v>5</v>
      </c>
      <c r="E17" s="114">
        <f>'Power Consumption'!$J$3</f>
        <v>3.3</v>
      </c>
      <c r="F17" s="144"/>
    </row>
    <row r="18" spans="1:6" ht="30" hidden="1" outlineLevel="1" x14ac:dyDescent="0.25">
      <c r="A18" s="117" t="s">
        <v>55</v>
      </c>
      <c r="B18" s="122" t="s">
        <v>216</v>
      </c>
      <c r="C18" s="122" t="s">
        <v>217</v>
      </c>
      <c r="D18" s="122" t="s">
        <v>218</v>
      </c>
      <c r="E18" s="123" t="s">
        <v>219</v>
      </c>
      <c r="F18" s="68"/>
    </row>
    <row r="19" spans="1:6" hidden="1" outlineLevel="1" x14ac:dyDescent="0.25">
      <c r="A19" s="115" t="str">
        <f>'Power Consumption'!A5</f>
        <v>GOS ARM</v>
      </c>
      <c r="B19" s="76">
        <f>'Power Consumption'!$E5/'EPS Parameters'!$C$3/'EPS Parameters'!$C$8</f>
        <v>2.5522448979591839</v>
      </c>
      <c r="C19" s="76">
        <f>'Power Consumption'!$G5/'EPS Parameters'!$C$4/'EPS Parameters'!$C$8</f>
        <v>0</v>
      </c>
      <c r="D19" s="76">
        <f>'Power Consumption'!$I5/'EPS Parameters'!$C$5/'EPS Parameters'!$C$8</f>
        <v>0</v>
      </c>
      <c r="E19" s="116">
        <f>'Power Consumption'!$K5/'EPS Parameters'!$C$6/'EPS Parameters'!$C$8</f>
        <v>0</v>
      </c>
      <c r="F19" s="49"/>
    </row>
    <row r="20" spans="1:6" hidden="1" outlineLevel="1" x14ac:dyDescent="0.25">
      <c r="A20" s="115" t="str">
        <f>'Power Consumption'!A6</f>
        <v>GOS EPS</v>
      </c>
      <c r="B20" s="76">
        <f>'Power Consumption'!$E6/'EPS Parameters'!$C$3/'EPS Parameters'!$C$8</f>
        <v>0</v>
      </c>
      <c r="C20" s="76">
        <f>'Power Consumption'!$G6/'EPS Parameters'!$C$4/'EPS Parameters'!$C$8</f>
        <v>0</v>
      </c>
      <c r="D20" s="76">
        <f>'Power Consumption'!$I6/'EPS Parameters'!$C$5/'EPS Parameters'!$C$8</f>
        <v>0</v>
      </c>
      <c r="E20" s="116">
        <f>'Power Consumption'!$K6/'EPS Parameters'!$C$6/'EPS Parameters'!$C$8</f>
        <v>0.32941437444543031</v>
      </c>
      <c r="F20" s="49"/>
    </row>
    <row r="21" spans="1:6" hidden="1" outlineLevel="1" x14ac:dyDescent="0.25">
      <c r="A21" s="115" t="str">
        <f>'Power Consumption'!A7</f>
        <v>GOS OBC</v>
      </c>
      <c r="B21" s="76">
        <f>'Power Consumption'!$E7/'EPS Parameters'!$C$3/'EPS Parameters'!$C$8</f>
        <v>0</v>
      </c>
      <c r="C21" s="76">
        <f>'Power Consumption'!$G7/'EPS Parameters'!$C$4/'EPS Parameters'!$C$8</f>
        <v>0</v>
      </c>
      <c r="D21" s="76">
        <f>'Power Consumption'!$I7/'EPS Parameters'!$C$5/'EPS Parameters'!$C$8</f>
        <v>0</v>
      </c>
      <c r="E21" s="116">
        <f>'Power Consumption'!$K7/'EPS Parameters'!$C$6/'EPS Parameters'!$C$8</f>
        <v>0.51242236024844723</v>
      </c>
      <c r="F21" s="49"/>
    </row>
    <row r="22" spans="1:6" hidden="1" outlineLevel="1" x14ac:dyDescent="0.25">
      <c r="A22" s="115" t="str">
        <f>'Power Consumption'!A8</f>
        <v>GOS UHF Radio Tx</v>
      </c>
      <c r="B22" s="76">
        <f>'Power Consumption'!$E8/'EPS Parameters'!$C$3/'EPS Parameters'!$C$8</f>
        <v>0</v>
      </c>
      <c r="C22" s="76">
        <f>'Power Consumption'!$G8/'EPS Parameters'!$C$4/'EPS Parameters'!$C$8</f>
        <v>0</v>
      </c>
      <c r="D22" s="76">
        <f>'Power Consumption'!$I8/'EPS Parameters'!$C$5/'EPS Parameters'!$C$8</f>
        <v>0</v>
      </c>
      <c r="E22" s="116">
        <f>'Power Consumption'!$K8/'EPS Parameters'!$C$6/'EPS Parameters'!$C$8</f>
        <v>5.5451419698314108</v>
      </c>
      <c r="F22" s="49"/>
    </row>
    <row r="23" spans="1:6" hidden="1" outlineLevel="1" x14ac:dyDescent="0.25">
      <c r="A23" s="115" t="str">
        <f>'Power Consumption'!A9</f>
        <v>GOS UHF Radio Rx</v>
      </c>
      <c r="B23" s="76">
        <f>'Power Consumption'!$E9/'EPS Parameters'!$C$3/'EPS Parameters'!$C$8</f>
        <v>0</v>
      </c>
      <c r="C23" s="76">
        <f>'Power Consumption'!$G9/'EPS Parameters'!$C$4/'EPS Parameters'!$C$8</f>
        <v>0</v>
      </c>
      <c r="D23" s="76">
        <f>'Power Consumption'!$I9/'EPS Parameters'!$C$5/'EPS Parameters'!$C$8</f>
        <v>0</v>
      </c>
      <c r="E23" s="116">
        <f>'Power Consumption'!$K9/'EPS Parameters'!$C$6/'EPS Parameters'!$C$8</f>
        <v>1.1090283939662822</v>
      </c>
      <c r="F23" s="49"/>
    </row>
    <row r="24" spans="1:6" hidden="1" outlineLevel="1" x14ac:dyDescent="0.25">
      <c r="A24" s="115" t="str">
        <f>'Power Consumption'!A10</f>
        <v>CubeADCS OBC</v>
      </c>
      <c r="B24" s="76">
        <f>'Power Consumption'!$E10/'EPS Parameters'!$C$3/'EPS Parameters'!$C$8</f>
        <v>0</v>
      </c>
      <c r="C24" s="76">
        <f>'Power Consumption'!$G10/'EPS Parameters'!$C$4/'EPS Parameters'!$C$8</f>
        <v>0</v>
      </c>
      <c r="D24" s="76">
        <f>'Power Consumption'!$I10/'EPS Parameters'!$C$5/'EPS Parameters'!$C$8</f>
        <v>0</v>
      </c>
      <c r="E24" s="116">
        <f>'Power Consumption'!$K10/'EPS Parameters'!$C$6/'EPS Parameters'!$C$8</f>
        <v>0.2269299023957409</v>
      </c>
      <c r="F24" s="49"/>
    </row>
    <row r="25" spans="1:6" hidden="1" outlineLevel="1" x14ac:dyDescent="0.25">
      <c r="A25" s="115" t="str">
        <f>'Power Consumption'!A11</f>
        <v>CubeADCS Sun Sensors</v>
      </c>
      <c r="B25" s="76">
        <f>'Power Consumption'!$E11/'EPS Parameters'!$C$3/'EPS Parameters'!$C$8</f>
        <v>0</v>
      </c>
      <c r="C25" s="76">
        <f>'Power Consumption'!$G11/'EPS Parameters'!$C$4/'EPS Parameters'!$C$8</f>
        <v>0</v>
      </c>
      <c r="D25" s="76">
        <f>'Power Consumption'!$I11/'EPS Parameters'!$C$5/'EPS Parameters'!$C$8</f>
        <v>0</v>
      </c>
      <c r="E25" s="116">
        <f>'Power Consumption'!$K11/'EPS Parameters'!$C$6/'EPS Parameters'!$C$8</f>
        <v>0.2269299023957409</v>
      </c>
      <c r="F25" s="49"/>
    </row>
    <row r="26" spans="1:6" hidden="1" outlineLevel="1" x14ac:dyDescent="0.25">
      <c r="A26" s="115" t="str">
        <f>'Power Consumption'!A12</f>
        <v>CubeADCS Magnetorquer</v>
      </c>
      <c r="B26" s="76">
        <f>'Power Consumption'!$E12/'EPS Parameters'!$C$3/'EPS Parameters'!$C$8</f>
        <v>0</v>
      </c>
      <c r="C26" s="76">
        <f>'Power Consumption'!$G12/'EPS Parameters'!$C$4/'EPS Parameters'!$C$8</f>
        <v>0</v>
      </c>
      <c r="D26" s="76">
        <f>'Power Consumption'!$I12/'EPS Parameters'!$C$5/'EPS Parameters'!$C$8</f>
        <v>1.2644188110026617</v>
      </c>
      <c r="E26" s="116">
        <f>'Power Consumption'!$K12/'EPS Parameters'!$C$6/'EPS Parameters'!$C$8</f>
        <v>0</v>
      </c>
      <c r="F26" s="49"/>
    </row>
    <row r="27" spans="1:6" hidden="1" outlineLevel="1" x14ac:dyDescent="0.25">
      <c r="A27" s="115" t="str">
        <f>'Power Consumption'!A13</f>
        <v>CubeADCS RWs</v>
      </c>
      <c r="B27" s="76">
        <f>'Power Consumption'!$E13/'EPS Parameters'!$C$3/'EPS Parameters'!$C$8</f>
        <v>0</v>
      </c>
      <c r="C27" s="76">
        <f>'Power Consumption'!$G13/'EPS Parameters'!$C$4/'EPS Parameters'!$C$8</f>
        <v>0</v>
      </c>
      <c r="D27" s="76">
        <f>'Power Consumption'!$I13/'EPS Parameters'!$C$5/'EPS Parameters'!$C$8</f>
        <v>2.5454747116237799</v>
      </c>
      <c r="E27" s="116">
        <f>'Power Consumption'!$K13/'EPS Parameters'!$C$6/'EPS Parameters'!$C$8</f>
        <v>0</v>
      </c>
      <c r="F27" s="49"/>
    </row>
    <row r="28" spans="1:6" hidden="1" outlineLevel="1" x14ac:dyDescent="0.25">
      <c r="A28" s="115" t="str">
        <f>'Power Consumption'!A14</f>
        <v>EPSON G370 Gyro</v>
      </c>
      <c r="B28" s="76">
        <f>'Power Consumption'!$E14/'EPS Parameters'!$C$3/'EPS Parameters'!$C$8</f>
        <v>0</v>
      </c>
      <c r="C28" s="76">
        <f>'Power Consumption'!$G14/'EPS Parameters'!$C$4/'EPS Parameters'!$C$8</f>
        <v>0</v>
      </c>
      <c r="D28" s="76">
        <f>'Power Consumption'!$I14/'EPS Parameters'!$C$5/'EPS Parameters'!$C$8</f>
        <v>0</v>
      </c>
      <c r="E28" s="116">
        <f>'Power Consumption'!$K14/'EPS Parameters'!$C$6/'EPS Parameters'!$C$8</f>
        <v>0.10980479148181012</v>
      </c>
      <c r="F28" s="49"/>
    </row>
    <row r="29" spans="1:6" hidden="1" outlineLevel="1" x14ac:dyDescent="0.25">
      <c r="A29" s="115" t="str">
        <f>'Power Consumption'!A15</f>
        <v>NovAtel GNSS Rx</v>
      </c>
      <c r="B29" s="76">
        <f>'Power Consumption'!$E15/'EPS Parameters'!$C$3/'EPS Parameters'!$C$8</f>
        <v>0</v>
      </c>
      <c r="C29" s="76">
        <f>'Power Consumption'!$G15/'EPS Parameters'!$C$4/'EPS Parameters'!$C$8</f>
        <v>0</v>
      </c>
      <c r="D29" s="76">
        <f>'Power Consumption'!$I15/'EPS Parameters'!$C$5/'EPS Parameters'!$C$8</f>
        <v>0</v>
      </c>
      <c r="E29" s="116">
        <f>'Power Consumption'!$K15/'EPS Parameters'!$C$6/'EPS Parameters'!$C$8</f>
        <v>1.3322981366459627</v>
      </c>
      <c r="F29" s="49"/>
    </row>
    <row r="30" spans="1:6" hidden="1" outlineLevel="1" x14ac:dyDescent="0.25">
      <c r="A30" s="115" t="str">
        <f>'Power Consumption'!A16</f>
        <v>HiSPiCO S-Band SDR Tx</v>
      </c>
      <c r="B30" s="76">
        <f>'Power Consumption'!$E16/'EPS Parameters'!$C$3/'EPS Parameters'!$C$8</f>
        <v>0</v>
      </c>
      <c r="C30" s="76">
        <f>'Power Consumption'!$G16/'EPS Parameters'!$C$4/'EPS Parameters'!$C$8</f>
        <v>0</v>
      </c>
      <c r="D30" s="76">
        <f>'Power Consumption'!$I16/'EPS Parameters'!$C$5/'EPS Parameters'!$C$8</f>
        <v>5.5456965394853599</v>
      </c>
      <c r="E30" s="116">
        <f>'Power Consumption'!$K16/'EPS Parameters'!$C$6/'EPS Parameters'!$C$8</f>
        <v>0</v>
      </c>
      <c r="F30" s="49"/>
    </row>
    <row r="31" spans="1:6" hidden="1" outlineLevel="1" x14ac:dyDescent="0.25">
      <c r="A31" s="115" t="str">
        <f>'Power Consumption'!A17</f>
        <v>GOS PHU</v>
      </c>
      <c r="B31" s="76">
        <f>'Power Consumption'!$E17/'EPS Parameters'!$C$3/'EPS Parameters'!$C$8</f>
        <v>0</v>
      </c>
      <c r="C31" s="76">
        <f>'Power Consumption'!$G17/'EPS Parameters'!$C$4/'EPS Parameters'!$C$8</f>
        <v>0</v>
      </c>
      <c r="D31" s="76">
        <f>'Power Consumption'!$I17/'EPS Parameters'!$C$5/'EPS Parameters'!$C$8</f>
        <v>0</v>
      </c>
      <c r="E31" s="116">
        <f>'Power Consumption'!$K17/'EPS Parameters'!$C$6/'EPS Parameters'!$C$8</f>
        <v>0.51242236024844723</v>
      </c>
      <c r="F31" s="49"/>
    </row>
    <row r="32" spans="1:6" hidden="1" outlineLevel="1" x14ac:dyDescent="0.25">
      <c r="A32" s="115" t="str">
        <f>'Power Consumption'!A18</f>
        <v>AURA-2</v>
      </c>
      <c r="B32" s="76">
        <f>'Power Consumption'!$E18/'EPS Parameters'!$C$3/'EPS Parameters'!$C$8</f>
        <v>0</v>
      </c>
      <c r="C32" s="76">
        <f>'Power Consumption'!$G18/'EPS Parameters'!$C$4/'EPS Parameters'!$C$8</f>
        <v>0</v>
      </c>
      <c r="D32" s="76">
        <f>'Power Consumption'!$I18/'EPS Parameters'!$C$5/'EPS Parameters'!$C$8</f>
        <v>3.3274179236912156</v>
      </c>
      <c r="E32" s="116">
        <f>'Power Consumption'!$K18/'EPS Parameters'!$C$6/'EPS Parameters'!$C$8</f>
        <v>0</v>
      </c>
      <c r="F32" s="49"/>
    </row>
    <row r="33" spans="1:11" s="62" customFormat="1" hidden="1" outlineLevel="1" x14ac:dyDescent="0.25">
      <c r="A33" s="115" t="str">
        <f>'Power Consumption'!A19</f>
        <v>DÉCOR (1)</v>
      </c>
      <c r="B33" s="76">
        <f>'Power Consumption'!$E19/'EPS Parameters'!$C$3/'EPS Parameters'!$C$8</f>
        <v>0</v>
      </c>
      <c r="C33" s="76">
        <f>'Power Consumption'!$G19/'EPS Parameters'!$C$4/'EPS Parameters'!$C$8</f>
        <v>0</v>
      </c>
      <c r="D33" s="76">
        <f>'Power Consumption'!$I19/'EPS Parameters'!$C$5/'EPS Parameters'!$C$8</f>
        <v>0.22182786157941436</v>
      </c>
      <c r="E33" s="116">
        <f>'Power Consumption'!$K19/'EPS Parameters'!$C$6/'EPS Parameters'!$C$8</f>
        <v>0</v>
      </c>
      <c r="F33" s="49"/>
      <c r="K33" s="64"/>
    </row>
    <row r="34" spans="1:11" s="62" customFormat="1" hidden="1" outlineLevel="1" x14ac:dyDescent="0.25">
      <c r="A34" s="115" t="str">
        <f>'Power Consumption'!A20</f>
        <v>DÉCOR (2)</v>
      </c>
      <c r="B34" s="76">
        <f>'Power Consumption'!$E20/'EPS Parameters'!$C$3/'EPS Parameters'!$C$8</f>
        <v>0</v>
      </c>
      <c r="C34" s="76">
        <f>'Power Consumption'!$G20/'EPS Parameters'!$C$4/'EPS Parameters'!$C$8</f>
        <v>0</v>
      </c>
      <c r="D34" s="76">
        <f>'Power Consumption'!$I20/'EPS Parameters'!$C$5/'EPS Parameters'!$C$8</f>
        <v>1.1091393078970719</v>
      </c>
      <c r="E34" s="116">
        <f>'Power Consumption'!$K20/'EPS Parameters'!$C$6/'EPS Parameters'!$C$8</f>
        <v>0</v>
      </c>
      <c r="F34" s="49"/>
      <c r="K34" s="64"/>
    </row>
    <row r="35" spans="1:11" s="62" customFormat="1" hidden="1" outlineLevel="1" x14ac:dyDescent="0.25">
      <c r="A35" s="115" t="str">
        <f>'Power Consumption'!A21</f>
        <v>FIAN</v>
      </c>
      <c r="B35" s="76">
        <f>'Power Consumption'!$E21/'EPS Parameters'!$C$3/'EPS Parameters'!$C$8</f>
        <v>0</v>
      </c>
      <c r="C35" s="76">
        <f>'Power Consumption'!$G21/'EPS Parameters'!$C$4/'EPS Parameters'!$C$8</f>
        <v>0</v>
      </c>
      <c r="D35" s="76">
        <f>'Power Consumption'!$I21/'EPS Parameters'!$C$5/'EPS Parameters'!$C$8</f>
        <v>4.4365572315882877</v>
      </c>
      <c r="E35" s="116">
        <f>'Power Consumption'!$K21/'EPS Parameters'!$C$6/'EPS Parameters'!$C$8</f>
        <v>0</v>
      </c>
      <c r="F35" s="49"/>
      <c r="K35" s="64"/>
    </row>
    <row r="36" spans="1:11" s="62" customFormat="1" hidden="1" outlineLevel="1" x14ac:dyDescent="0.25">
      <c r="A36" s="115" t="str">
        <f>'Power Consumption'!A22</f>
        <v>AMUR</v>
      </c>
      <c r="B36" s="76">
        <f>'Power Consumption'!$E22/'EPS Parameters'!$C$3/'EPS Parameters'!$C$8</f>
        <v>0</v>
      </c>
      <c r="C36" s="76">
        <f>'Power Consumption'!$G22/'EPS Parameters'!$C$4/'EPS Parameters'!$C$8</f>
        <v>0</v>
      </c>
      <c r="D36" s="76">
        <f>'Power Consumption'!$I22/'EPS Parameters'!$C$5/'EPS Parameters'!$C$8</f>
        <v>0.22182786157941436</v>
      </c>
      <c r="E36" s="116">
        <f>'Power Consumption'!$K22/'EPS Parameters'!$C$6/'EPS Parameters'!$C$8</f>
        <v>0</v>
      </c>
      <c r="F36" s="49"/>
      <c r="K36" s="64"/>
    </row>
    <row r="37" spans="1:11" s="62" customFormat="1" hidden="1" outlineLevel="1" x14ac:dyDescent="0.25">
      <c r="A37" s="115" t="str">
        <f>'Power Consumption'!A23</f>
        <v>VISCAM</v>
      </c>
      <c r="B37" s="76">
        <f>'Power Consumption'!$E23/'EPS Parameters'!$C$3/'EPS Parameters'!$C$8</f>
        <v>0</v>
      </c>
      <c r="C37" s="76">
        <f>'Power Consumption'!$G23/'EPS Parameters'!$C$4/'EPS Parameters'!$C$8</f>
        <v>0</v>
      </c>
      <c r="D37" s="76">
        <f>'Power Consumption'!$I23/'EPS Parameters'!$C$5/'EPS Parameters'!$C$8</f>
        <v>0</v>
      </c>
      <c r="E37" s="116">
        <f>'Power Consumption'!$K23/'EPS Parameters'!$C$6/'EPS Parameters'!$C$8</f>
        <v>0.29281277728482696</v>
      </c>
      <c r="F37" s="49"/>
      <c r="K37" s="64"/>
    </row>
    <row r="38" spans="1:11" s="62" customFormat="1" hidden="1" outlineLevel="1" x14ac:dyDescent="0.25">
      <c r="A38" s="115" t="str">
        <f>'Power Consumption'!A24</f>
        <v>Consumer #20</v>
      </c>
      <c r="B38" s="76">
        <f>'Power Consumption'!$E24/'EPS Parameters'!$C$3/'EPS Parameters'!$C$8</f>
        <v>0</v>
      </c>
      <c r="C38" s="76">
        <f>'Power Consumption'!$G24/'EPS Parameters'!$C$4/'EPS Parameters'!$C$8</f>
        <v>0</v>
      </c>
      <c r="D38" s="76">
        <f>'Power Consumption'!$I24/'EPS Parameters'!$C$5/'EPS Parameters'!$C$8</f>
        <v>0</v>
      </c>
      <c r="E38" s="116">
        <f>'Power Consumption'!$K24/'EPS Parameters'!$C$6/'EPS Parameters'!$C$8</f>
        <v>0</v>
      </c>
      <c r="F38" s="49"/>
      <c r="K38" s="64"/>
    </row>
    <row r="39" spans="1:11" s="62" customFormat="1" hidden="1" outlineLevel="1" x14ac:dyDescent="0.25">
      <c r="A39" s="115" t="str">
        <f>'Power Consumption'!A25</f>
        <v>Consumer #21</v>
      </c>
      <c r="B39" s="76">
        <f>'Power Consumption'!$E25/'EPS Parameters'!$C$3/'EPS Parameters'!$C$8</f>
        <v>0</v>
      </c>
      <c r="C39" s="76">
        <f>'Power Consumption'!$G25/'EPS Parameters'!$C$4/'EPS Parameters'!$C$8</f>
        <v>0</v>
      </c>
      <c r="D39" s="76">
        <f>'Power Consumption'!$I25/'EPS Parameters'!$C$5/'EPS Parameters'!$C$8</f>
        <v>0</v>
      </c>
      <c r="E39" s="116">
        <f>'Power Consumption'!$K25/'EPS Parameters'!$C$6/'EPS Parameters'!$C$8</f>
        <v>0</v>
      </c>
      <c r="F39" s="49"/>
      <c r="K39" s="64"/>
    </row>
    <row r="40" spans="1:11" s="62" customFormat="1" hidden="1" outlineLevel="1" x14ac:dyDescent="0.25">
      <c r="A40" s="115" t="str">
        <f>'Power Consumption'!A26</f>
        <v>Consumer #22</v>
      </c>
      <c r="B40" s="76">
        <f>'Power Consumption'!$E26/'EPS Parameters'!$C$3/'EPS Parameters'!$C$8</f>
        <v>0</v>
      </c>
      <c r="C40" s="76">
        <f>'Power Consumption'!$G26/'EPS Parameters'!$C$4/'EPS Parameters'!$C$8</f>
        <v>0</v>
      </c>
      <c r="D40" s="76">
        <f>'Power Consumption'!$I26/'EPS Parameters'!$C$5/'EPS Parameters'!$C$8</f>
        <v>0</v>
      </c>
      <c r="E40" s="116">
        <f>'Power Consumption'!$K26/'EPS Parameters'!$C$6/'EPS Parameters'!$C$8</f>
        <v>0</v>
      </c>
      <c r="F40" s="49"/>
      <c r="K40" s="64"/>
    </row>
    <row r="41" spans="1:11" s="62" customFormat="1" hidden="1" outlineLevel="1" x14ac:dyDescent="0.25">
      <c r="A41" s="115" t="str">
        <f>'Power Consumption'!A27</f>
        <v>Consumer #23</v>
      </c>
      <c r="B41" s="76">
        <f>'Power Consumption'!$E27/'EPS Parameters'!$C$3/'EPS Parameters'!$C$8</f>
        <v>0</v>
      </c>
      <c r="C41" s="76">
        <f>'Power Consumption'!$G27/'EPS Parameters'!$C$4/'EPS Parameters'!$C$8</f>
        <v>0</v>
      </c>
      <c r="D41" s="76">
        <f>'Power Consumption'!$I27/'EPS Parameters'!$C$5/'EPS Parameters'!$C$8</f>
        <v>0</v>
      </c>
      <c r="E41" s="116">
        <f>'Power Consumption'!$K27/'EPS Parameters'!$C$6/'EPS Parameters'!$C$8</f>
        <v>0</v>
      </c>
      <c r="F41" s="49"/>
      <c r="K41" s="64"/>
    </row>
    <row r="42" spans="1:11" s="62" customFormat="1" hidden="1" outlineLevel="1" x14ac:dyDescent="0.25">
      <c r="A42" s="115" t="str">
        <f>'Power Consumption'!A28</f>
        <v>Consumer #24</v>
      </c>
      <c r="B42" s="76">
        <f>'Power Consumption'!$E28/'EPS Parameters'!$C$3/'EPS Parameters'!$C$8</f>
        <v>0</v>
      </c>
      <c r="C42" s="76">
        <f>'Power Consumption'!$G28/'EPS Parameters'!$C$4/'EPS Parameters'!$C$8</f>
        <v>0</v>
      </c>
      <c r="D42" s="76">
        <f>'Power Consumption'!$I28/'EPS Parameters'!$C$5/'EPS Parameters'!$C$8</f>
        <v>0</v>
      </c>
      <c r="E42" s="116">
        <f>'Power Consumption'!$K28/'EPS Parameters'!$C$6/'EPS Parameters'!$C$8</f>
        <v>0</v>
      </c>
      <c r="F42" s="49"/>
      <c r="K42" s="64"/>
    </row>
    <row r="43" spans="1:11" s="62" customFormat="1" hidden="1" outlineLevel="1" x14ac:dyDescent="0.25">
      <c r="A43" s="115" t="str">
        <f>'Power Consumption'!A29</f>
        <v>Consumer #25</v>
      </c>
      <c r="B43" s="76">
        <f>'Power Consumption'!$E29/'EPS Parameters'!$C$3/'EPS Parameters'!$C$8</f>
        <v>0</v>
      </c>
      <c r="C43" s="76">
        <f>'Power Consumption'!$G29/'EPS Parameters'!$C$4/'EPS Parameters'!$C$8</f>
        <v>0</v>
      </c>
      <c r="D43" s="76">
        <f>'Power Consumption'!$I29/'EPS Parameters'!$C$5/'EPS Parameters'!$C$8</f>
        <v>0</v>
      </c>
      <c r="E43" s="116">
        <f>'Power Consumption'!$K29/'EPS Parameters'!$C$6/'EPS Parameters'!$C$8</f>
        <v>0</v>
      </c>
      <c r="F43" s="49"/>
      <c r="K43" s="64"/>
    </row>
    <row r="44" spans="1:11" s="62" customFormat="1" hidden="1" outlineLevel="1" x14ac:dyDescent="0.25">
      <c r="A44" s="115" t="str">
        <f>'Power Consumption'!A30</f>
        <v>Consumer #26</v>
      </c>
      <c r="B44" s="76">
        <f>'Power Consumption'!$E30/'EPS Parameters'!$C$3/'EPS Parameters'!$C$8</f>
        <v>0</v>
      </c>
      <c r="C44" s="76">
        <f>'Power Consumption'!$G30/'EPS Parameters'!$C$4/'EPS Parameters'!$C$8</f>
        <v>0</v>
      </c>
      <c r="D44" s="76">
        <f>'Power Consumption'!$I30/'EPS Parameters'!$C$5/'EPS Parameters'!$C$8</f>
        <v>0</v>
      </c>
      <c r="E44" s="116">
        <f>'Power Consumption'!$K30/'EPS Parameters'!$C$6/'EPS Parameters'!$C$8</f>
        <v>0</v>
      </c>
      <c r="F44" s="49"/>
      <c r="K44" s="64"/>
    </row>
    <row r="45" spans="1:11" s="62" customFormat="1" hidden="1" outlineLevel="1" x14ac:dyDescent="0.25">
      <c r="A45" s="115" t="str">
        <f>'Power Consumption'!A31</f>
        <v>Consumer #27</v>
      </c>
      <c r="B45" s="76">
        <f>'Power Consumption'!$E31/'EPS Parameters'!$C$3/'EPS Parameters'!$C$8</f>
        <v>0</v>
      </c>
      <c r="C45" s="76">
        <f>'Power Consumption'!$G31/'EPS Parameters'!$C$4/'EPS Parameters'!$C$8</f>
        <v>0</v>
      </c>
      <c r="D45" s="76">
        <f>'Power Consumption'!$I31/'EPS Parameters'!$C$5/'EPS Parameters'!$C$8</f>
        <v>0</v>
      </c>
      <c r="E45" s="116">
        <f>'Power Consumption'!$K31/'EPS Parameters'!$C$6/'EPS Parameters'!$C$8</f>
        <v>0</v>
      </c>
      <c r="F45" s="49"/>
      <c r="K45" s="64"/>
    </row>
    <row r="46" spans="1:11" s="62" customFormat="1" hidden="1" outlineLevel="1" x14ac:dyDescent="0.25">
      <c r="A46" s="115" t="str">
        <f>'Power Consumption'!A32</f>
        <v>Consumer #28</v>
      </c>
      <c r="B46" s="76">
        <f>'Power Consumption'!$E32/'EPS Parameters'!$C$3/'EPS Parameters'!$C$8</f>
        <v>0</v>
      </c>
      <c r="C46" s="76">
        <f>'Power Consumption'!$G32/'EPS Parameters'!$C$4/'EPS Parameters'!$C$8</f>
        <v>0</v>
      </c>
      <c r="D46" s="76">
        <f>'Power Consumption'!$I32/'EPS Parameters'!$C$5/'EPS Parameters'!$C$8</f>
        <v>0</v>
      </c>
      <c r="E46" s="116">
        <f>'Power Consumption'!$K32/'EPS Parameters'!$C$6/'EPS Parameters'!$C$8</f>
        <v>0</v>
      </c>
      <c r="F46" s="49"/>
      <c r="K46" s="64"/>
    </row>
    <row r="47" spans="1:11" s="62" customFormat="1" hidden="1" outlineLevel="1" x14ac:dyDescent="0.25">
      <c r="A47" s="115" t="str">
        <f>'Power Consumption'!A33</f>
        <v>Consumer #29</v>
      </c>
      <c r="B47" s="76">
        <f>'Power Consumption'!$E33/'EPS Parameters'!$C$3/'EPS Parameters'!$C$8</f>
        <v>0</v>
      </c>
      <c r="C47" s="76">
        <f>'Power Consumption'!$G33/'EPS Parameters'!$C$4/'EPS Parameters'!$C$8</f>
        <v>0</v>
      </c>
      <c r="D47" s="76">
        <f>'Power Consumption'!$I33/'EPS Parameters'!$C$5/'EPS Parameters'!$C$8</f>
        <v>0</v>
      </c>
      <c r="E47" s="116">
        <f>'Power Consumption'!$K33/'EPS Parameters'!$C$6/'EPS Parameters'!$C$8</f>
        <v>0</v>
      </c>
      <c r="F47" s="49"/>
      <c r="K47" s="64"/>
    </row>
    <row r="48" spans="1:11" s="62" customFormat="1" hidden="1" outlineLevel="1" x14ac:dyDescent="0.25">
      <c r="A48" s="115" t="str">
        <f>'Power Consumption'!A34</f>
        <v>Consumer #30</v>
      </c>
      <c r="B48" s="76">
        <f>'Power Consumption'!$E34/'EPS Parameters'!$C$3/'EPS Parameters'!$C$8</f>
        <v>0</v>
      </c>
      <c r="C48" s="76">
        <f>'Power Consumption'!$G34/'EPS Parameters'!$C$4/'EPS Parameters'!$C$8</f>
        <v>0</v>
      </c>
      <c r="D48" s="76">
        <f>'Power Consumption'!$I34/'EPS Parameters'!$C$5/'EPS Parameters'!$C$8</f>
        <v>0</v>
      </c>
      <c r="E48" s="116">
        <f>'Power Consumption'!$K34/'EPS Parameters'!$C$6/'EPS Parameters'!$C$8</f>
        <v>0</v>
      </c>
      <c r="F48" s="49"/>
      <c r="K48" s="64"/>
    </row>
    <row r="49" spans="1:11" s="62" customFormat="1" hidden="1" outlineLevel="1" x14ac:dyDescent="0.25">
      <c r="A49" s="115" t="str">
        <f>'Power Consumption'!A35</f>
        <v>Consumer #31</v>
      </c>
      <c r="B49" s="76">
        <f>'Power Consumption'!$E35/'EPS Parameters'!$C$3/'EPS Parameters'!$C$8</f>
        <v>0</v>
      </c>
      <c r="C49" s="76">
        <f>'Power Consumption'!$G35/'EPS Parameters'!$C$4/'EPS Parameters'!$C$8</f>
        <v>0</v>
      </c>
      <c r="D49" s="76">
        <f>'Power Consumption'!$I35/'EPS Parameters'!$C$5/'EPS Parameters'!$C$8</f>
        <v>0</v>
      </c>
      <c r="E49" s="116">
        <f>'Power Consumption'!$K35/'EPS Parameters'!$C$6/'EPS Parameters'!$C$8</f>
        <v>0</v>
      </c>
      <c r="F49" s="49"/>
      <c r="K49" s="64"/>
    </row>
    <row r="50" spans="1:11" hidden="1" outlineLevel="1" x14ac:dyDescent="0.25">
      <c r="A50" s="115" t="str">
        <f>'Power Consumption'!A36</f>
        <v>Consumer #32</v>
      </c>
      <c r="B50" s="76">
        <f>'Power Consumption'!$E36/'EPS Parameters'!$C$3/'EPS Parameters'!$C$8</f>
        <v>0</v>
      </c>
      <c r="C50" s="76">
        <f>'Power Consumption'!$G36/'EPS Parameters'!$C$4/'EPS Parameters'!$C$8</f>
        <v>0</v>
      </c>
      <c r="D50" s="76">
        <f>'Power Consumption'!$I36/'EPS Parameters'!$C$5/'EPS Parameters'!$C$8</f>
        <v>0</v>
      </c>
      <c r="E50" s="116">
        <f>'Power Consumption'!$K36/'EPS Parameters'!$C$6/'EPS Parameters'!$C$8</f>
        <v>0</v>
      </c>
      <c r="F50" s="49"/>
    </row>
    <row r="51" spans="1:11" hidden="1" outlineLevel="1" x14ac:dyDescent="0.25">
      <c r="A51" s="115" t="str">
        <f>'Power Consumption'!A37</f>
        <v>Consumer #33</v>
      </c>
      <c r="B51" s="76">
        <f>'Power Consumption'!$E37/'EPS Parameters'!$C$3/'EPS Parameters'!$C$8</f>
        <v>0</v>
      </c>
      <c r="C51" s="76">
        <f>'Power Consumption'!$G37/'EPS Parameters'!$C$4/'EPS Parameters'!$C$8</f>
        <v>0</v>
      </c>
      <c r="D51" s="76">
        <f>'Power Consumption'!$I37/'EPS Parameters'!$C$5/'EPS Parameters'!$C$8</f>
        <v>0</v>
      </c>
      <c r="E51" s="116">
        <f>'Power Consumption'!$K37/'EPS Parameters'!$C$6/'EPS Parameters'!$C$8</f>
        <v>0</v>
      </c>
      <c r="F51" s="49"/>
    </row>
    <row r="52" spans="1:11" hidden="1" outlineLevel="1" x14ac:dyDescent="0.25">
      <c r="A52" s="115" t="str">
        <f>'Power Consumption'!A38</f>
        <v>Consumer #34</v>
      </c>
      <c r="B52" s="76">
        <f>'Power Consumption'!$E38/'EPS Parameters'!$C$3/'EPS Parameters'!$C$8</f>
        <v>0</v>
      </c>
      <c r="C52" s="76">
        <f>'Power Consumption'!$G38/'EPS Parameters'!$C$4/'EPS Parameters'!$C$8</f>
        <v>0</v>
      </c>
      <c r="D52" s="76">
        <f>'Power Consumption'!$I38/'EPS Parameters'!$C$5/'EPS Parameters'!$C$8</f>
        <v>0</v>
      </c>
      <c r="E52" s="116">
        <f>'Power Consumption'!$K38/'EPS Parameters'!$C$6/'EPS Parameters'!$C$8</f>
        <v>0</v>
      </c>
      <c r="F52" s="49"/>
    </row>
    <row r="53" spans="1:11" hidden="1" outlineLevel="1" x14ac:dyDescent="0.25">
      <c r="A53" s="115" t="str">
        <f>'Power Consumption'!A39</f>
        <v>Consumer #35</v>
      </c>
      <c r="B53" s="76">
        <f>'Power Consumption'!$E39/'EPS Parameters'!$C$3/'EPS Parameters'!$C$8</f>
        <v>0</v>
      </c>
      <c r="C53" s="76">
        <f>'Power Consumption'!$G39/'EPS Parameters'!$C$4/'EPS Parameters'!$C$8</f>
        <v>0</v>
      </c>
      <c r="D53" s="76">
        <f>'Power Consumption'!$I39/'EPS Parameters'!$C$5/'EPS Parameters'!$C$8</f>
        <v>0</v>
      </c>
      <c r="E53" s="116">
        <f>'Power Consumption'!$K39/'EPS Parameters'!$C$6/'EPS Parameters'!$C$8</f>
        <v>0</v>
      </c>
      <c r="F53" s="49"/>
    </row>
    <row r="54" spans="1:11" hidden="1" outlineLevel="1" x14ac:dyDescent="0.25">
      <c r="A54" s="115" t="str">
        <f>'Power Consumption'!A40</f>
        <v>Consumer #36</v>
      </c>
      <c r="B54" s="76">
        <f>'Power Consumption'!$E40/'EPS Parameters'!$C$3/'EPS Parameters'!$C$8</f>
        <v>0</v>
      </c>
      <c r="C54" s="76">
        <f>'Power Consumption'!$G40/'EPS Parameters'!$C$4/'EPS Parameters'!$C$8</f>
        <v>0</v>
      </c>
      <c r="D54" s="76">
        <f>'Power Consumption'!$I40/'EPS Parameters'!$C$5/'EPS Parameters'!$C$8</f>
        <v>0</v>
      </c>
      <c r="E54" s="116">
        <f>'Power Consumption'!$K40/'EPS Parameters'!$C$6/'EPS Parameters'!$C$8</f>
        <v>0</v>
      </c>
      <c r="F54" s="49"/>
    </row>
    <row r="55" spans="1:11" hidden="1" outlineLevel="1" x14ac:dyDescent="0.25">
      <c r="A55" s="115" t="str">
        <f>'Power Consumption'!A41</f>
        <v>Consumer #37</v>
      </c>
      <c r="B55" s="76">
        <f>'Power Consumption'!$E41/'EPS Parameters'!$C$3/'EPS Parameters'!$C$8</f>
        <v>0</v>
      </c>
      <c r="C55" s="76">
        <f>'Power Consumption'!$G41/'EPS Parameters'!$C$4/'EPS Parameters'!$C$8</f>
        <v>0</v>
      </c>
      <c r="D55" s="76">
        <f>'Power Consumption'!$I41/'EPS Parameters'!$C$5/'EPS Parameters'!$C$8</f>
        <v>0</v>
      </c>
      <c r="E55" s="116">
        <f>'Power Consumption'!$K41/'EPS Parameters'!$C$6/'EPS Parameters'!$C$8</f>
        <v>0</v>
      </c>
      <c r="F55" s="49"/>
    </row>
    <row r="56" spans="1:11" hidden="1" outlineLevel="1" x14ac:dyDescent="0.25">
      <c r="A56" s="115" t="str">
        <f>'Power Consumption'!A42</f>
        <v>Consumer #38</v>
      </c>
      <c r="B56" s="76">
        <f>'Power Consumption'!$E42/'EPS Parameters'!$C$3/'EPS Parameters'!$C$8</f>
        <v>0</v>
      </c>
      <c r="C56" s="76">
        <f>'Power Consumption'!$G42/'EPS Parameters'!$C$4/'EPS Parameters'!$C$8</f>
        <v>0</v>
      </c>
      <c r="D56" s="76">
        <f>'Power Consumption'!$I42/'EPS Parameters'!$C$5/'EPS Parameters'!$C$8</f>
        <v>0</v>
      </c>
      <c r="E56" s="116">
        <f>'Power Consumption'!$K42/'EPS Parameters'!$C$6/'EPS Parameters'!$C$8</f>
        <v>0</v>
      </c>
      <c r="F56" s="49"/>
    </row>
    <row r="57" spans="1:11" hidden="1" outlineLevel="1" x14ac:dyDescent="0.25">
      <c r="A57" s="115" t="str">
        <f>'Power Consumption'!A43</f>
        <v>Consumer #39</v>
      </c>
      <c r="B57" s="76">
        <f>'Power Consumption'!$E43/'EPS Parameters'!$C$3/'EPS Parameters'!$C$8</f>
        <v>0</v>
      </c>
      <c r="C57" s="76">
        <f>'Power Consumption'!$G43/'EPS Parameters'!$C$4/'EPS Parameters'!$C$8</f>
        <v>0</v>
      </c>
      <c r="D57" s="76">
        <f>'Power Consumption'!$I43/'EPS Parameters'!$C$5/'EPS Parameters'!$C$8</f>
        <v>0</v>
      </c>
      <c r="E57" s="116">
        <f>'Power Consumption'!$K43/'EPS Parameters'!$C$6/'EPS Parameters'!$C$8</f>
        <v>0</v>
      </c>
      <c r="F57" s="49"/>
    </row>
    <row r="58" spans="1:11" hidden="1" outlineLevel="1" x14ac:dyDescent="0.25">
      <c r="A58" s="115" t="str">
        <f>'Power Consumption'!A44</f>
        <v>Consumer #40</v>
      </c>
      <c r="B58" s="76">
        <f>'Power Consumption'!$E44/'EPS Parameters'!$C$3/'EPS Parameters'!$C$8</f>
        <v>0</v>
      </c>
      <c r="C58" s="76">
        <f>'Power Consumption'!$G44/'EPS Parameters'!$C$4/'EPS Parameters'!$C$8</f>
        <v>0</v>
      </c>
      <c r="D58" s="76">
        <f>'Power Consumption'!$I44/'EPS Parameters'!$C$5/'EPS Parameters'!$C$8</f>
        <v>0</v>
      </c>
      <c r="E58" s="116">
        <f>'Power Consumption'!$K44/'EPS Parameters'!$C$6/'EPS Parameters'!$C$8</f>
        <v>0</v>
      </c>
      <c r="F58" s="49"/>
    </row>
    <row r="59" spans="1:11" hidden="1" outlineLevel="1" x14ac:dyDescent="0.25">
      <c r="A59" s="115" t="str">
        <f>'Power Consumption'!A45</f>
        <v>Consumer #41</v>
      </c>
      <c r="B59" s="76">
        <f>'Power Consumption'!$E45/'EPS Parameters'!$C$3/'EPS Parameters'!$C$8</f>
        <v>0</v>
      </c>
      <c r="C59" s="76">
        <f>'Power Consumption'!$G45/'EPS Parameters'!$C$4/'EPS Parameters'!$C$8</f>
        <v>0</v>
      </c>
      <c r="D59" s="76">
        <f>'Power Consumption'!$I45/'EPS Parameters'!$C$5/'EPS Parameters'!$C$8</f>
        <v>0</v>
      </c>
      <c r="E59" s="116">
        <f>'Power Consumption'!$K45/'EPS Parameters'!$C$6/'EPS Parameters'!$C$8</f>
        <v>0</v>
      </c>
      <c r="F59" s="49"/>
    </row>
    <row r="60" spans="1:11" hidden="1" outlineLevel="1" x14ac:dyDescent="0.25">
      <c r="A60" s="115" t="str">
        <f>'Power Consumption'!A46</f>
        <v>Consumer #42</v>
      </c>
      <c r="B60" s="76">
        <f>'Power Consumption'!$E46/'EPS Parameters'!$C$3/'EPS Parameters'!$C$8</f>
        <v>0</v>
      </c>
      <c r="C60" s="76">
        <f>'Power Consumption'!$G46/'EPS Parameters'!$C$4/'EPS Parameters'!$C$8</f>
        <v>0</v>
      </c>
      <c r="D60" s="76">
        <f>'Power Consumption'!$I46/'EPS Parameters'!$C$5/'EPS Parameters'!$C$8</f>
        <v>0</v>
      </c>
      <c r="E60" s="116">
        <f>'Power Consumption'!$K46/'EPS Parameters'!$C$6/'EPS Parameters'!$C$8</f>
        <v>0</v>
      </c>
      <c r="F60" s="49"/>
    </row>
    <row r="61" spans="1:11" hidden="1" outlineLevel="1" x14ac:dyDescent="0.25">
      <c r="A61" s="115" t="str">
        <f>'Power Consumption'!A47</f>
        <v>Consumer #43</v>
      </c>
      <c r="B61" s="76">
        <f>'Power Consumption'!$E47/'EPS Parameters'!$C$3/'EPS Parameters'!$C$8</f>
        <v>0</v>
      </c>
      <c r="C61" s="76">
        <f>'Power Consumption'!$G47/'EPS Parameters'!$C$4/'EPS Parameters'!$C$8</f>
        <v>0</v>
      </c>
      <c r="D61" s="76">
        <f>'Power Consumption'!$I47/'EPS Parameters'!$C$5/'EPS Parameters'!$C$8</f>
        <v>0</v>
      </c>
      <c r="E61" s="116">
        <f>'Power Consumption'!$K47/'EPS Parameters'!$C$6/'EPS Parameters'!$C$8</f>
        <v>0</v>
      </c>
      <c r="F61" s="49"/>
    </row>
    <row r="62" spans="1:11" hidden="1" outlineLevel="1" x14ac:dyDescent="0.25">
      <c r="A62" s="115" t="str">
        <f>'Power Consumption'!A48</f>
        <v>Consumer #44</v>
      </c>
      <c r="B62" s="76">
        <f>'Power Consumption'!$E48/'EPS Parameters'!$C$3/'EPS Parameters'!$C$8</f>
        <v>0</v>
      </c>
      <c r="C62" s="76">
        <f>'Power Consumption'!$G48/'EPS Parameters'!$C$4/'EPS Parameters'!$C$8</f>
        <v>0</v>
      </c>
      <c r="D62" s="76">
        <f>'Power Consumption'!$I48/'EPS Parameters'!$C$5/'EPS Parameters'!$C$8</f>
        <v>0</v>
      </c>
      <c r="E62" s="116">
        <f>'Power Consumption'!$K48/'EPS Parameters'!$C$6/'EPS Parameters'!$C$8</f>
        <v>0</v>
      </c>
      <c r="F62" s="49"/>
    </row>
    <row r="63" spans="1:11" hidden="1" outlineLevel="1" x14ac:dyDescent="0.25">
      <c r="A63" s="115" t="str">
        <f>'Power Consumption'!A49</f>
        <v>Consumer #45</v>
      </c>
      <c r="B63" s="76">
        <f>'Power Consumption'!$E49/'EPS Parameters'!$C$3/'EPS Parameters'!$C$8</f>
        <v>0</v>
      </c>
      <c r="C63" s="76">
        <f>'Power Consumption'!$G49/'EPS Parameters'!$C$4/'EPS Parameters'!$C$8</f>
        <v>0</v>
      </c>
      <c r="D63" s="76">
        <f>'Power Consumption'!$I49/'EPS Parameters'!$C$5/'EPS Parameters'!$C$8</f>
        <v>0</v>
      </c>
      <c r="E63" s="116">
        <f>'Power Consumption'!$K49/'EPS Parameters'!$C$6/'EPS Parameters'!$C$8</f>
        <v>0</v>
      </c>
      <c r="F63" s="49"/>
    </row>
    <row r="64" spans="1:11" hidden="1" outlineLevel="1" x14ac:dyDescent="0.25">
      <c r="A64" s="115" t="str">
        <f>'Power Consumption'!A50</f>
        <v>Consumer #46</v>
      </c>
      <c r="B64" s="76">
        <f>'Power Consumption'!$E50/'EPS Parameters'!$C$3/'EPS Parameters'!$C$8</f>
        <v>0</v>
      </c>
      <c r="C64" s="76">
        <f>'Power Consumption'!$G50/'EPS Parameters'!$C$4/'EPS Parameters'!$C$8</f>
        <v>0</v>
      </c>
      <c r="D64" s="76">
        <f>'Power Consumption'!$I50/'EPS Parameters'!$C$5/'EPS Parameters'!$C$8</f>
        <v>0</v>
      </c>
      <c r="E64" s="116">
        <f>'Power Consumption'!$K50/'EPS Parameters'!$C$6/'EPS Parameters'!$C$8</f>
        <v>0</v>
      </c>
      <c r="F64" s="49"/>
    </row>
    <row r="65" spans="1:6" hidden="1" outlineLevel="1" x14ac:dyDescent="0.25">
      <c r="A65" s="115" t="str">
        <f>'Power Consumption'!A51</f>
        <v>Consumer #47</v>
      </c>
      <c r="B65" s="76">
        <f>'Power Consumption'!$E51/'EPS Parameters'!$C$3/'EPS Parameters'!$C$8</f>
        <v>0</v>
      </c>
      <c r="C65" s="76">
        <f>'Power Consumption'!$G51/'EPS Parameters'!$C$4/'EPS Parameters'!$C$8</f>
        <v>0</v>
      </c>
      <c r="D65" s="76">
        <f>'Power Consumption'!$I51/'EPS Parameters'!$C$5/'EPS Parameters'!$C$8</f>
        <v>0</v>
      </c>
      <c r="E65" s="116">
        <f>'Power Consumption'!$K51/'EPS Parameters'!$C$6/'EPS Parameters'!$C$8</f>
        <v>0</v>
      </c>
      <c r="F65" s="49"/>
    </row>
    <row r="66" spans="1:6" hidden="1" outlineLevel="1" x14ac:dyDescent="0.25">
      <c r="A66" s="115" t="str">
        <f>'Power Consumption'!A52</f>
        <v>Consumer #48</v>
      </c>
      <c r="B66" s="76">
        <f>'Power Consumption'!$E52/'EPS Parameters'!$C$3/'EPS Parameters'!$C$8</f>
        <v>0</v>
      </c>
      <c r="C66" s="76">
        <f>'Power Consumption'!$G52/'EPS Parameters'!$C$4/'EPS Parameters'!$C$8</f>
        <v>0</v>
      </c>
      <c r="D66" s="76">
        <f>'Power Consumption'!$I52/'EPS Parameters'!$C$5/'EPS Parameters'!$C$8</f>
        <v>0</v>
      </c>
      <c r="E66" s="116">
        <f>'Power Consumption'!$K52/'EPS Parameters'!$C$6/'EPS Parameters'!$C$8</f>
        <v>0</v>
      </c>
      <c r="F66" s="49"/>
    </row>
    <row r="67" spans="1:6" hidden="1" outlineLevel="1" x14ac:dyDescent="0.25">
      <c r="A67" s="115" t="str">
        <f>'Power Consumption'!A53</f>
        <v>Consumer #49</v>
      </c>
      <c r="B67" s="76">
        <f>'Power Consumption'!$E53/'EPS Parameters'!$C$3/'EPS Parameters'!$C$8</f>
        <v>0</v>
      </c>
      <c r="C67" s="76">
        <f>'Power Consumption'!$G53/'EPS Parameters'!$C$4/'EPS Parameters'!$C$8</f>
        <v>0</v>
      </c>
      <c r="D67" s="76">
        <f>'Power Consumption'!$I53/'EPS Parameters'!$C$5/'EPS Parameters'!$C$8</f>
        <v>0</v>
      </c>
      <c r="E67" s="116">
        <f>'Power Consumption'!$K53/'EPS Parameters'!$C$6/'EPS Parameters'!$C$8</f>
        <v>0</v>
      </c>
      <c r="F67" s="49"/>
    </row>
    <row r="68" spans="1:6" hidden="1" outlineLevel="1" x14ac:dyDescent="0.25">
      <c r="A68" s="115" t="str">
        <f>'Power Consumption'!A54</f>
        <v>Consumer #50</v>
      </c>
      <c r="B68" s="76">
        <f>'Power Consumption'!$E54/'EPS Parameters'!$C$3/'EPS Parameters'!$C$8</f>
        <v>0</v>
      </c>
      <c r="C68" s="76">
        <f>'Power Consumption'!$G54/'EPS Parameters'!$C$4/'EPS Parameters'!$C$8</f>
        <v>0</v>
      </c>
      <c r="D68" s="76">
        <f>'Power Consumption'!$I54/'EPS Parameters'!$C$5/'EPS Parameters'!$C$8</f>
        <v>0</v>
      </c>
      <c r="E68" s="116">
        <f>'Power Consumption'!$K54/'EPS Parameters'!$C$6/'EPS Parameters'!$C$8</f>
        <v>0</v>
      </c>
      <c r="F68" s="49"/>
    </row>
    <row r="69" spans="1:6" hidden="1" outlineLevel="1" x14ac:dyDescent="0.25">
      <c r="A69" s="115" t="str">
        <f>'Power Consumption'!A55</f>
        <v>Consumer #51</v>
      </c>
      <c r="B69" s="76">
        <f>'Power Consumption'!$E55/'EPS Parameters'!$C$3/'EPS Parameters'!$C$8</f>
        <v>0</v>
      </c>
      <c r="C69" s="76">
        <f>'Power Consumption'!$G55/'EPS Parameters'!$C$4/'EPS Parameters'!$C$8</f>
        <v>0</v>
      </c>
      <c r="D69" s="76">
        <f>'Power Consumption'!$I55/'EPS Parameters'!$C$5/'EPS Parameters'!$C$8</f>
        <v>0</v>
      </c>
      <c r="E69" s="116">
        <f>'Power Consumption'!$K55/'EPS Parameters'!$C$6/'EPS Parameters'!$C$8</f>
        <v>0</v>
      </c>
      <c r="F69" s="49"/>
    </row>
    <row r="70" spans="1:6" hidden="1" outlineLevel="1" x14ac:dyDescent="0.25">
      <c r="A70" s="115" t="str">
        <f>'Power Consumption'!A56</f>
        <v>Consumer #52</v>
      </c>
      <c r="B70" s="76">
        <f>'Power Consumption'!$E56/'EPS Parameters'!$C$3/'EPS Parameters'!$C$8</f>
        <v>0</v>
      </c>
      <c r="C70" s="76">
        <f>'Power Consumption'!$G56/'EPS Parameters'!$C$4/'EPS Parameters'!$C$8</f>
        <v>0</v>
      </c>
      <c r="D70" s="76">
        <f>'Power Consumption'!$I56/'EPS Parameters'!$C$5/'EPS Parameters'!$C$8</f>
        <v>0</v>
      </c>
      <c r="E70" s="116">
        <f>'Power Consumption'!$K56/'EPS Parameters'!$C$6/'EPS Parameters'!$C$8</f>
        <v>0</v>
      </c>
      <c r="F70" s="49"/>
    </row>
    <row r="71" spans="1:6" hidden="1" outlineLevel="1" x14ac:dyDescent="0.25">
      <c r="A71" s="115" t="str">
        <f>'Power Consumption'!A57</f>
        <v>Consumer #53</v>
      </c>
      <c r="B71" s="76">
        <f>'Power Consumption'!$E57/'EPS Parameters'!$C$3/'EPS Parameters'!$C$8</f>
        <v>0</v>
      </c>
      <c r="C71" s="76">
        <f>'Power Consumption'!$G57/'EPS Parameters'!$C$4/'EPS Parameters'!$C$8</f>
        <v>0</v>
      </c>
      <c r="D71" s="76">
        <f>'Power Consumption'!$I57/'EPS Parameters'!$C$5/'EPS Parameters'!$C$8</f>
        <v>0</v>
      </c>
      <c r="E71" s="116">
        <f>'Power Consumption'!$K57/'EPS Parameters'!$C$6/'EPS Parameters'!$C$8</f>
        <v>0</v>
      </c>
      <c r="F71" s="49"/>
    </row>
    <row r="72" spans="1:6" hidden="1" outlineLevel="1" x14ac:dyDescent="0.25">
      <c r="A72" s="115" t="str">
        <f>'Power Consumption'!A58</f>
        <v>Consumer #54</v>
      </c>
      <c r="B72" s="76">
        <f>'Power Consumption'!$E58/'EPS Parameters'!$C$3/'EPS Parameters'!$C$8</f>
        <v>0</v>
      </c>
      <c r="C72" s="76">
        <f>'Power Consumption'!$G58/'EPS Parameters'!$C$4/'EPS Parameters'!$C$8</f>
        <v>0</v>
      </c>
      <c r="D72" s="76">
        <f>'Power Consumption'!$I58/'EPS Parameters'!$C$5/'EPS Parameters'!$C$8</f>
        <v>0</v>
      </c>
      <c r="E72" s="116">
        <f>'Power Consumption'!$K58/'EPS Parameters'!$C$6/'EPS Parameters'!$C$8</f>
        <v>0</v>
      </c>
      <c r="F72" s="49"/>
    </row>
    <row r="73" spans="1:6" hidden="1" outlineLevel="1" x14ac:dyDescent="0.25">
      <c r="A73" s="115" t="str">
        <f>'Power Consumption'!A59</f>
        <v>Consumer #55</v>
      </c>
      <c r="B73" s="76">
        <f>'Power Consumption'!$E59/'EPS Parameters'!$C$3/'EPS Parameters'!$C$8</f>
        <v>0</v>
      </c>
      <c r="C73" s="76">
        <f>'Power Consumption'!$G59/'EPS Parameters'!$C$4/'EPS Parameters'!$C$8</f>
        <v>0</v>
      </c>
      <c r="D73" s="76">
        <f>'Power Consumption'!$I59/'EPS Parameters'!$C$5/'EPS Parameters'!$C$8</f>
        <v>0</v>
      </c>
      <c r="E73" s="116">
        <f>'Power Consumption'!$K59/'EPS Parameters'!$C$6/'EPS Parameters'!$C$8</f>
        <v>0</v>
      </c>
      <c r="F73" s="49"/>
    </row>
    <row r="74" spans="1:6" hidden="1" outlineLevel="1" x14ac:dyDescent="0.25">
      <c r="A74" s="115" t="str">
        <f>'Power Consumption'!A60</f>
        <v>Consumer #56</v>
      </c>
      <c r="B74" s="76">
        <f>'Power Consumption'!$E60/'EPS Parameters'!$C$3/'EPS Parameters'!$C$8</f>
        <v>0</v>
      </c>
      <c r="C74" s="76">
        <f>'Power Consumption'!$G60/'EPS Parameters'!$C$4/'EPS Parameters'!$C$8</f>
        <v>0</v>
      </c>
      <c r="D74" s="76">
        <f>'Power Consumption'!$I60/'EPS Parameters'!$C$5/'EPS Parameters'!$C$8</f>
        <v>0</v>
      </c>
      <c r="E74" s="116">
        <f>'Power Consumption'!$K60/'EPS Parameters'!$C$6/'EPS Parameters'!$C$8</f>
        <v>0</v>
      </c>
      <c r="F74" s="49"/>
    </row>
    <row r="75" spans="1:6" hidden="1" outlineLevel="1" x14ac:dyDescent="0.25">
      <c r="A75" s="115" t="str">
        <f>'Power Consumption'!A61</f>
        <v>Consumer #57</v>
      </c>
      <c r="B75" s="76">
        <f>'Power Consumption'!$E61/'EPS Parameters'!$C$3/'EPS Parameters'!$C$8</f>
        <v>0</v>
      </c>
      <c r="C75" s="76">
        <f>'Power Consumption'!$G61/'EPS Parameters'!$C$4/'EPS Parameters'!$C$8</f>
        <v>0</v>
      </c>
      <c r="D75" s="76">
        <f>'Power Consumption'!$I61/'EPS Parameters'!$C$5/'EPS Parameters'!$C$8</f>
        <v>0</v>
      </c>
      <c r="E75" s="116">
        <f>'Power Consumption'!$K61/'EPS Parameters'!$C$6/'EPS Parameters'!$C$8</f>
        <v>0</v>
      </c>
      <c r="F75" s="49"/>
    </row>
    <row r="76" spans="1:6" hidden="1" outlineLevel="1" x14ac:dyDescent="0.25">
      <c r="A76" s="115" t="str">
        <f>'Power Consumption'!A62</f>
        <v>Consumer #58</v>
      </c>
      <c r="B76" s="76">
        <f>'Power Consumption'!$E62/'EPS Parameters'!$C$3/'EPS Parameters'!$C$8</f>
        <v>0</v>
      </c>
      <c r="C76" s="76">
        <f>'Power Consumption'!$G62/'EPS Parameters'!$C$4/'EPS Parameters'!$C$8</f>
        <v>0</v>
      </c>
      <c r="D76" s="76">
        <f>'Power Consumption'!$I62/'EPS Parameters'!$C$5/'EPS Parameters'!$C$8</f>
        <v>0</v>
      </c>
      <c r="E76" s="116">
        <f>'Power Consumption'!$K62/'EPS Parameters'!$C$6/'EPS Parameters'!$C$8</f>
        <v>0</v>
      </c>
      <c r="F76" s="49"/>
    </row>
    <row r="77" spans="1:6" hidden="1" outlineLevel="1" x14ac:dyDescent="0.25">
      <c r="A77" s="115" t="str">
        <f>'Power Consumption'!A63</f>
        <v>Consumer #59</v>
      </c>
      <c r="B77" s="76">
        <f>'Power Consumption'!$E63/'EPS Parameters'!$C$3/'EPS Parameters'!$C$8</f>
        <v>0</v>
      </c>
      <c r="C77" s="76">
        <f>'Power Consumption'!$G63/'EPS Parameters'!$C$4/'EPS Parameters'!$C$8</f>
        <v>0</v>
      </c>
      <c r="D77" s="76">
        <f>'Power Consumption'!$I63/'EPS Parameters'!$C$5/'EPS Parameters'!$C$8</f>
        <v>0</v>
      </c>
      <c r="E77" s="116">
        <f>'Power Consumption'!$K63/'EPS Parameters'!$C$6/'EPS Parameters'!$C$8</f>
        <v>0</v>
      </c>
      <c r="F77" s="49"/>
    </row>
    <row r="78" spans="1:6" hidden="1" outlineLevel="1" x14ac:dyDescent="0.25">
      <c r="A78" s="115" t="str">
        <f>'Power Consumption'!A64</f>
        <v>Consumer #60</v>
      </c>
      <c r="B78" s="76">
        <f>'Power Consumption'!$E64/'EPS Parameters'!$C$3/'EPS Parameters'!$C$8</f>
        <v>0</v>
      </c>
      <c r="C78" s="76">
        <f>'Power Consumption'!$G64/'EPS Parameters'!$C$4/'EPS Parameters'!$C$8</f>
        <v>0</v>
      </c>
      <c r="D78" s="76">
        <f>'Power Consumption'!$I64/'EPS Parameters'!$C$5/'EPS Parameters'!$C$8</f>
        <v>0</v>
      </c>
      <c r="E78" s="116">
        <f>'Power Consumption'!$K64/'EPS Parameters'!$C$6/'EPS Parameters'!$C$8</f>
        <v>0</v>
      </c>
      <c r="F78" s="49"/>
    </row>
    <row r="79" spans="1:6" hidden="1" outlineLevel="1" x14ac:dyDescent="0.25">
      <c r="A79" s="115" t="str">
        <f>'Power Consumption'!A65</f>
        <v>Consumer #61</v>
      </c>
      <c r="B79" s="76">
        <f>'Power Consumption'!$E65/'EPS Parameters'!$C$3/'EPS Parameters'!$C$8</f>
        <v>0</v>
      </c>
      <c r="C79" s="76">
        <f>'Power Consumption'!$G65/'EPS Parameters'!$C$4/'EPS Parameters'!$C$8</f>
        <v>0</v>
      </c>
      <c r="D79" s="76">
        <f>'Power Consumption'!$I65/'EPS Parameters'!$C$5/'EPS Parameters'!$C$8</f>
        <v>0</v>
      </c>
      <c r="E79" s="116">
        <f>'Power Consumption'!$K65/'EPS Parameters'!$C$6/'EPS Parameters'!$C$8</f>
        <v>0</v>
      </c>
      <c r="F79" s="49"/>
    </row>
    <row r="80" spans="1:6" hidden="1" outlineLevel="1" x14ac:dyDescent="0.25">
      <c r="A80" s="115" t="str">
        <f>'Power Consumption'!A66</f>
        <v>Consumer #62</v>
      </c>
      <c r="B80" s="76">
        <f>'Power Consumption'!$E66/'EPS Parameters'!$C$3/'EPS Parameters'!$C$8</f>
        <v>0</v>
      </c>
      <c r="C80" s="76">
        <f>'Power Consumption'!$G66/'EPS Parameters'!$C$4/'EPS Parameters'!$C$8</f>
        <v>0</v>
      </c>
      <c r="D80" s="76">
        <f>'Power Consumption'!$I66/'EPS Parameters'!$C$5/'EPS Parameters'!$C$8</f>
        <v>0</v>
      </c>
      <c r="E80" s="116">
        <f>'Power Consumption'!$K66/'EPS Parameters'!$C$6/'EPS Parameters'!$C$8</f>
        <v>0</v>
      </c>
      <c r="F80" s="49"/>
    </row>
    <row r="81" spans="1:6" hidden="1" outlineLevel="1" x14ac:dyDescent="0.25">
      <c r="A81" s="115" t="str">
        <f>'Power Consumption'!A67</f>
        <v>Consumer #63</v>
      </c>
      <c r="B81" s="76">
        <f>'Power Consumption'!$E67/'EPS Parameters'!$C$3/'EPS Parameters'!$C$8</f>
        <v>0</v>
      </c>
      <c r="C81" s="76">
        <f>'Power Consumption'!$G67/'EPS Parameters'!$C$4/'EPS Parameters'!$C$8</f>
        <v>0</v>
      </c>
      <c r="D81" s="76">
        <f>'Power Consumption'!$I67/'EPS Parameters'!$C$5/'EPS Parameters'!$C$8</f>
        <v>0</v>
      </c>
      <c r="E81" s="116">
        <f>'Power Consumption'!$K67/'EPS Parameters'!$C$6/'EPS Parameters'!$C$8</f>
        <v>0</v>
      </c>
      <c r="F81" s="49"/>
    </row>
    <row r="82" spans="1:6" hidden="1" outlineLevel="1" x14ac:dyDescent="0.25">
      <c r="A82" s="115" t="str">
        <f>'Power Consumption'!A68</f>
        <v>Consumer #64</v>
      </c>
      <c r="B82" s="76">
        <f>'Power Consumption'!$E68/'EPS Parameters'!$C$3/'EPS Parameters'!$C$8</f>
        <v>0</v>
      </c>
      <c r="C82" s="76">
        <f>'Power Consumption'!$G68/'EPS Parameters'!$C$4/'EPS Parameters'!$C$8</f>
        <v>0</v>
      </c>
      <c r="D82" s="76">
        <f>'Power Consumption'!$I68/'EPS Parameters'!$C$5/'EPS Parameters'!$C$8</f>
        <v>0</v>
      </c>
      <c r="E82" s="116">
        <f>'Power Consumption'!$K68/'EPS Parameters'!$C$6/'EPS Parameters'!$C$8</f>
        <v>0</v>
      </c>
      <c r="F82" s="49"/>
    </row>
    <row r="83" spans="1:6" hidden="1" outlineLevel="1" x14ac:dyDescent="0.25">
      <c r="A83" s="115" t="str">
        <f>'Power Consumption'!A69</f>
        <v>Consumer #65</v>
      </c>
      <c r="B83" s="76">
        <f>'Power Consumption'!$E69/'EPS Parameters'!$C$3/'EPS Parameters'!$C$8</f>
        <v>0</v>
      </c>
      <c r="C83" s="76">
        <f>'Power Consumption'!$G69/'EPS Parameters'!$C$4/'EPS Parameters'!$C$8</f>
        <v>0</v>
      </c>
      <c r="D83" s="76">
        <f>'Power Consumption'!$I69/'EPS Parameters'!$C$5/'EPS Parameters'!$C$8</f>
        <v>0</v>
      </c>
      <c r="E83" s="116">
        <f>'Power Consumption'!$K69/'EPS Parameters'!$C$6/'EPS Parameters'!$C$8</f>
        <v>0</v>
      </c>
      <c r="F83" s="49"/>
    </row>
    <row r="84" spans="1:6" hidden="1" outlineLevel="1" x14ac:dyDescent="0.25">
      <c r="A84" s="115" t="str">
        <f>'Power Consumption'!A70</f>
        <v>Consumer #66</v>
      </c>
      <c r="B84" s="76">
        <f>'Power Consumption'!$E70/'EPS Parameters'!$C$3/'EPS Parameters'!$C$8</f>
        <v>0</v>
      </c>
      <c r="C84" s="76">
        <f>'Power Consumption'!$G70/'EPS Parameters'!$C$4/'EPS Parameters'!$C$8</f>
        <v>0</v>
      </c>
      <c r="D84" s="76">
        <f>'Power Consumption'!$I70/'EPS Parameters'!$C$5/'EPS Parameters'!$C$8</f>
        <v>0</v>
      </c>
      <c r="E84" s="116">
        <f>'Power Consumption'!$K70/'EPS Parameters'!$C$6/'EPS Parameters'!$C$8</f>
        <v>0</v>
      </c>
      <c r="F84" s="49"/>
    </row>
    <row r="85" spans="1:6" hidden="1" outlineLevel="1" x14ac:dyDescent="0.25">
      <c r="A85" s="115" t="str">
        <f>'Power Consumption'!A71</f>
        <v>Consumer #67</v>
      </c>
      <c r="B85" s="76">
        <f>'Power Consumption'!$E71/'EPS Parameters'!$C$3/'EPS Parameters'!$C$8</f>
        <v>0</v>
      </c>
      <c r="C85" s="76">
        <f>'Power Consumption'!$G71/'EPS Parameters'!$C$4/'EPS Parameters'!$C$8</f>
        <v>0</v>
      </c>
      <c r="D85" s="76">
        <f>'Power Consumption'!$I71/'EPS Parameters'!$C$5/'EPS Parameters'!$C$8</f>
        <v>0</v>
      </c>
      <c r="E85" s="116">
        <f>'Power Consumption'!$K71/'EPS Parameters'!$C$6/'EPS Parameters'!$C$8</f>
        <v>0</v>
      </c>
      <c r="F85" s="49"/>
    </row>
    <row r="86" spans="1:6" hidden="1" outlineLevel="1" x14ac:dyDescent="0.25">
      <c r="A86" s="115" t="str">
        <f>'Power Consumption'!A72</f>
        <v>Consumer #68</v>
      </c>
      <c r="B86" s="76">
        <f>'Power Consumption'!$E72/'EPS Parameters'!$C$3/'EPS Parameters'!$C$8</f>
        <v>0</v>
      </c>
      <c r="C86" s="76">
        <f>'Power Consumption'!$G72/'EPS Parameters'!$C$4/'EPS Parameters'!$C$8</f>
        <v>0</v>
      </c>
      <c r="D86" s="76">
        <f>'Power Consumption'!$I72/'EPS Parameters'!$C$5/'EPS Parameters'!$C$8</f>
        <v>0</v>
      </c>
      <c r="E86" s="116">
        <f>'Power Consumption'!$K72/'EPS Parameters'!$C$6/'EPS Parameters'!$C$8</f>
        <v>0</v>
      </c>
      <c r="F86" s="49"/>
    </row>
    <row r="87" spans="1:6" hidden="1" outlineLevel="1" x14ac:dyDescent="0.25">
      <c r="A87" s="115" t="str">
        <f>'Power Consumption'!A73</f>
        <v>Consumer #69</v>
      </c>
      <c r="B87" s="76">
        <f>'Power Consumption'!$E73/'EPS Parameters'!$C$3/'EPS Parameters'!$C$8</f>
        <v>0</v>
      </c>
      <c r="C87" s="76">
        <f>'Power Consumption'!$G73/'EPS Parameters'!$C$4/'EPS Parameters'!$C$8</f>
        <v>0</v>
      </c>
      <c r="D87" s="76">
        <f>'Power Consumption'!$I73/'EPS Parameters'!$C$5/'EPS Parameters'!$C$8</f>
        <v>0</v>
      </c>
      <c r="E87" s="116">
        <f>'Power Consumption'!$K73/'EPS Parameters'!$C$6/'EPS Parameters'!$C$8</f>
        <v>0</v>
      </c>
      <c r="F87" s="49"/>
    </row>
    <row r="88" spans="1:6" hidden="1" outlineLevel="1" x14ac:dyDescent="0.25">
      <c r="A88" s="115" t="str">
        <f>'Power Consumption'!A74</f>
        <v>Consumer #70</v>
      </c>
      <c r="B88" s="76">
        <f>'Power Consumption'!$E74/'EPS Parameters'!$C$3/'EPS Parameters'!$C$8</f>
        <v>0</v>
      </c>
      <c r="C88" s="76">
        <f>'Power Consumption'!$G74/'EPS Parameters'!$C$4/'EPS Parameters'!$C$8</f>
        <v>0</v>
      </c>
      <c r="D88" s="76">
        <f>'Power Consumption'!$I74/'EPS Parameters'!$C$5/'EPS Parameters'!$C$8</f>
        <v>0</v>
      </c>
      <c r="E88" s="116">
        <f>'Power Consumption'!$K74/'EPS Parameters'!$C$6/'EPS Parameters'!$C$8</f>
        <v>0</v>
      </c>
      <c r="F88" s="49"/>
    </row>
    <row r="89" spans="1:6" hidden="1" outlineLevel="1" x14ac:dyDescent="0.25">
      <c r="A89" s="115" t="str">
        <f>'Power Consumption'!A75</f>
        <v>Consumer #71</v>
      </c>
      <c r="B89" s="76">
        <f>'Power Consumption'!$E75/'EPS Parameters'!$C$3/'EPS Parameters'!$C$8</f>
        <v>0</v>
      </c>
      <c r="C89" s="76">
        <f>'Power Consumption'!$G75/'EPS Parameters'!$C$4/'EPS Parameters'!$C$8</f>
        <v>0</v>
      </c>
      <c r="D89" s="76">
        <f>'Power Consumption'!$I75/'EPS Parameters'!$C$5/'EPS Parameters'!$C$8</f>
        <v>0</v>
      </c>
      <c r="E89" s="116">
        <f>'Power Consumption'!$K75/'EPS Parameters'!$C$6/'EPS Parameters'!$C$8</f>
        <v>0</v>
      </c>
      <c r="F89" s="49"/>
    </row>
    <row r="90" spans="1:6" hidden="1" outlineLevel="1" x14ac:dyDescent="0.25">
      <c r="A90" s="115" t="str">
        <f>'Power Consumption'!A76</f>
        <v>Consumer #72</v>
      </c>
      <c r="B90" s="76">
        <f>'Power Consumption'!$E76/'EPS Parameters'!$C$3/'EPS Parameters'!$C$8</f>
        <v>0</v>
      </c>
      <c r="C90" s="76">
        <f>'Power Consumption'!$G76/'EPS Parameters'!$C$4/'EPS Parameters'!$C$8</f>
        <v>0</v>
      </c>
      <c r="D90" s="76">
        <f>'Power Consumption'!$I76/'EPS Parameters'!$C$5/'EPS Parameters'!$C$8</f>
        <v>0</v>
      </c>
      <c r="E90" s="116">
        <f>'Power Consumption'!$K76/'EPS Parameters'!$C$6/'EPS Parameters'!$C$8</f>
        <v>0</v>
      </c>
      <c r="F90" s="49"/>
    </row>
    <row r="91" spans="1:6" hidden="1" outlineLevel="1" x14ac:dyDescent="0.25">
      <c r="A91" s="115" t="str">
        <f>'Power Consumption'!A77</f>
        <v>Consumer #73</v>
      </c>
      <c r="B91" s="76">
        <f>'Power Consumption'!$E77/'EPS Parameters'!$C$3/'EPS Parameters'!$C$8</f>
        <v>0</v>
      </c>
      <c r="C91" s="76">
        <f>'Power Consumption'!$G77/'EPS Parameters'!$C$4/'EPS Parameters'!$C$8</f>
        <v>0</v>
      </c>
      <c r="D91" s="76">
        <f>'Power Consumption'!$I77/'EPS Parameters'!$C$5/'EPS Parameters'!$C$8</f>
        <v>0</v>
      </c>
      <c r="E91" s="116">
        <f>'Power Consumption'!$K77/'EPS Parameters'!$C$6/'EPS Parameters'!$C$8</f>
        <v>0</v>
      </c>
      <c r="F91" s="49"/>
    </row>
    <row r="92" spans="1:6" hidden="1" outlineLevel="1" x14ac:dyDescent="0.25">
      <c r="A92" s="115" t="str">
        <f>'Power Consumption'!A78</f>
        <v>Consumer #74</v>
      </c>
      <c r="B92" s="76">
        <f>'Power Consumption'!$E78/'EPS Parameters'!$C$3/'EPS Parameters'!$C$8</f>
        <v>0</v>
      </c>
      <c r="C92" s="76">
        <f>'Power Consumption'!$G78/'EPS Parameters'!$C$4/'EPS Parameters'!$C$8</f>
        <v>0</v>
      </c>
      <c r="D92" s="76">
        <f>'Power Consumption'!$I78/'EPS Parameters'!$C$5/'EPS Parameters'!$C$8</f>
        <v>0</v>
      </c>
      <c r="E92" s="116">
        <f>'Power Consumption'!$K78/'EPS Parameters'!$C$6/'EPS Parameters'!$C$8</f>
        <v>0</v>
      </c>
      <c r="F92" s="49"/>
    </row>
    <row r="93" spans="1:6" hidden="1" outlineLevel="1" x14ac:dyDescent="0.25">
      <c r="A93" s="115" t="str">
        <f>'Power Consumption'!A79</f>
        <v>Consumer #75</v>
      </c>
      <c r="B93" s="76">
        <f>'Power Consumption'!$E79/'EPS Parameters'!$C$3/'EPS Parameters'!$C$8</f>
        <v>0</v>
      </c>
      <c r="C93" s="76">
        <f>'Power Consumption'!$G79/'EPS Parameters'!$C$4/'EPS Parameters'!$C$8</f>
        <v>0</v>
      </c>
      <c r="D93" s="76">
        <f>'Power Consumption'!$I79/'EPS Parameters'!$C$5/'EPS Parameters'!$C$8</f>
        <v>0</v>
      </c>
      <c r="E93" s="116">
        <f>'Power Consumption'!$K79/'EPS Parameters'!$C$6/'EPS Parameters'!$C$8</f>
        <v>0</v>
      </c>
      <c r="F93" s="49"/>
    </row>
    <row r="94" spans="1:6" hidden="1" outlineLevel="1" x14ac:dyDescent="0.25">
      <c r="A94" s="115" t="str">
        <f>'Power Consumption'!A80</f>
        <v>Consumer #76</v>
      </c>
      <c r="B94" s="76">
        <f>'Power Consumption'!$E80/'EPS Parameters'!$C$3/'EPS Parameters'!$C$8</f>
        <v>0</v>
      </c>
      <c r="C94" s="76">
        <f>'Power Consumption'!$G80/'EPS Parameters'!$C$4/'EPS Parameters'!$C$8</f>
        <v>0</v>
      </c>
      <c r="D94" s="76">
        <f>'Power Consumption'!$I80/'EPS Parameters'!$C$5/'EPS Parameters'!$C$8</f>
        <v>0</v>
      </c>
      <c r="E94" s="116">
        <f>'Power Consumption'!$K80/'EPS Parameters'!$C$6/'EPS Parameters'!$C$8</f>
        <v>0</v>
      </c>
      <c r="F94" s="49"/>
    </row>
    <row r="95" spans="1:6" hidden="1" outlineLevel="1" x14ac:dyDescent="0.25">
      <c r="A95" s="115" t="str">
        <f>'Power Consumption'!A81</f>
        <v>Consumer #77</v>
      </c>
      <c r="B95" s="76">
        <f>'Power Consumption'!$E81/'EPS Parameters'!$C$3/'EPS Parameters'!$C$8</f>
        <v>0</v>
      </c>
      <c r="C95" s="76">
        <f>'Power Consumption'!$G81/'EPS Parameters'!$C$4/'EPS Parameters'!$C$8</f>
        <v>0</v>
      </c>
      <c r="D95" s="76">
        <f>'Power Consumption'!$I81/'EPS Parameters'!$C$5/'EPS Parameters'!$C$8</f>
        <v>0</v>
      </c>
      <c r="E95" s="116">
        <f>'Power Consumption'!$K81/'EPS Parameters'!$C$6/'EPS Parameters'!$C$8</f>
        <v>0</v>
      </c>
      <c r="F95" s="49"/>
    </row>
    <row r="96" spans="1:6" hidden="1" outlineLevel="1" x14ac:dyDescent="0.25">
      <c r="A96" s="115" t="str">
        <f>'Power Consumption'!A82</f>
        <v>Consumer #78</v>
      </c>
      <c r="B96" s="76">
        <f>'Power Consumption'!$E82/'EPS Parameters'!$C$3/'EPS Parameters'!$C$8</f>
        <v>0</v>
      </c>
      <c r="C96" s="76">
        <f>'Power Consumption'!$G82/'EPS Parameters'!$C$4/'EPS Parameters'!$C$8</f>
        <v>0</v>
      </c>
      <c r="D96" s="76">
        <f>'Power Consumption'!$I82/'EPS Parameters'!$C$5/'EPS Parameters'!$C$8</f>
        <v>0</v>
      </c>
      <c r="E96" s="116">
        <f>'Power Consumption'!$K82/'EPS Parameters'!$C$6/'EPS Parameters'!$C$8</f>
        <v>0</v>
      </c>
      <c r="F96" s="49"/>
    </row>
    <row r="97" spans="1:6" hidden="1" outlineLevel="1" x14ac:dyDescent="0.25">
      <c r="A97" s="115" t="str">
        <f>'Power Consumption'!A83</f>
        <v>Consumer #79</v>
      </c>
      <c r="B97" s="76">
        <f>'Power Consumption'!$E83/'EPS Parameters'!$C$3/'EPS Parameters'!$C$8</f>
        <v>0</v>
      </c>
      <c r="C97" s="76">
        <f>'Power Consumption'!$G83/'EPS Parameters'!$C$4/'EPS Parameters'!$C$8</f>
        <v>0</v>
      </c>
      <c r="D97" s="76">
        <f>'Power Consumption'!$I83/'EPS Parameters'!$C$5/'EPS Parameters'!$C$8</f>
        <v>0</v>
      </c>
      <c r="E97" s="116">
        <f>'Power Consumption'!$K83/'EPS Parameters'!$C$6/'EPS Parameters'!$C$8</f>
        <v>0</v>
      </c>
      <c r="F97" s="49"/>
    </row>
    <row r="98" spans="1:6" hidden="1" outlineLevel="1" x14ac:dyDescent="0.25">
      <c r="A98" s="115" t="str">
        <f>'Power Consumption'!A84</f>
        <v>Consumer #80</v>
      </c>
      <c r="B98" s="76">
        <f>'Power Consumption'!$E84/'EPS Parameters'!$C$3/'EPS Parameters'!$C$8</f>
        <v>0</v>
      </c>
      <c r="C98" s="76">
        <f>'Power Consumption'!$G84/'EPS Parameters'!$C$4/'EPS Parameters'!$C$8</f>
        <v>0</v>
      </c>
      <c r="D98" s="76">
        <f>'Power Consumption'!$I84/'EPS Parameters'!$C$5/'EPS Parameters'!$C$8</f>
        <v>0</v>
      </c>
      <c r="E98" s="116">
        <f>'Power Consumption'!$K84/'EPS Parameters'!$C$6/'EPS Parameters'!$C$8</f>
        <v>0</v>
      </c>
      <c r="F98" s="49"/>
    </row>
    <row r="99" spans="1:6" hidden="1" outlineLevel="1" x14ac:dyDescent="0.25">
      <c r="A99" s="115" t="str">
        <f>'Power Consumption'!A85</f>
        <v>Consumer #81</v>
      </c>
      <c r="B99" s="76">
        <f>'Power Consumption'!$E85/'EPS Parameters'!$C$3/'EPS Parameters'!$C$8</f>
        <v>0</v>
      </c>
      <c r="C99" s="76">
        <f>'Power Consumption'!$G85/'EPS Parameters'!$C$4/'EPS Parameters'!$C$8</f>
        <v>0</v>
      </c>
      <c r="D99" s="76">
        <f>'Power Consumption'!$I85/'EPS Parameters'!$C$5/'EPS Parameters'!$C$8</f>
        <v>0</v>
      </c>
      <c r="E99" s="116">
        <f>'Power Consumption'!$K85/'EPS Parameters'!$C$6/'EPS Parameters'!$C$8</f>
        <v>0</v>
      </c>
      <c r="F99" s="49"/>
    </row>
    <row r="100" spans="1:6" hidden="1" outlineLevel="1" x14ac:dyDescent="0.25">
      <c r="A100" s="115" t="str">
        <f>'Power Consumption'!A86</f>
        <v>Consumer #82</v>
      </c>
      <c r="B100" s="76">
        <f>'Power Consumption'!$E86/'EPS Parameters'!$C$3/'EPS Parameters'!$C$8</f>
        <v>0</v>
      </c>
      <c r="C100" s="76">
        <f>'Power Consumption'!$G86/'EPS Parameters'!$C$4/'EPS Parameters'!$C$8</f>
        <v>0</v>
      </c>
      <c r="D100" s="76">
        <f>'Power Consumption'!$I86/'EPS Parameters'!$C$5/'EPS Parameters'!$C$8</f>
        <v>0</v>
      </c>
      <c r="E100" s="116">
        <f>'Power Consumption'!$K86/'EPS Parameters'!$C$6/'EPS Parameters'!$C$8</f>
        <v>0</v>
      </c>
      <c r="F100" s="49"/>
    </row>
    <row r="101" spans="1:6" hidden="1" outlineLevel="1" x14ac:dyDescent="0.25">
      <c r="A101" s="115" t="str">
        <f>'Power Consumption'!A87</f>
        <v>Consumer #83</v>
      </c>
      <c r="B101" s="76">
        <f>'Power Consumption'!$E87/'EPS Parameters'!$C$3/'EPS Parameters'!$C$8</f>
        <v>0</v>
      </c>
      <c r="C101" s="76">
        <f>'Power Consumption'!$G87/'EPS Parameters'!$C$4/'EPS Parameters'!$C$8</f>
        <v>0</v>
      </c>
      <c r="D101" s="76">
        <f>'Power Consumption'!$I87/'EPS Parameters'!$C$5/'EPS Parameters'!$C$8</f>
        <v>0</v>
      </c>
      <c r="E101" s="116">
        <f>'Power Consumption'!$K87/'EPS Parameters'!$C$6/'EPS Parameters'!$C$8</f>
        <v>0</v>
      </c>
      <c r="F101" s="49"/>
    </row>
    <row r="102" spans="1:6" hidden="1" outlineLevel="1" x14ac:dyDescent="0.25">
      <c r="A102" s="115" t="str">
        <f>'Power Consumption'!A88</f>
        <v>Consumer #84</v>
      </c>
      <c r="B102" s="76">
        <f>'Power Consumption'!$E88/'EPS Parameters'!$C$3/'EPS Parameters'!$C$8</f>
        <v>0</v>
      </c>
      <c r="C102" s="76">
        <f>'Power Consumption'!$G88/'EPS Parameters'!$C$4/'EPS Parameters'!$C$8</f>
        <v>0</v>
      </c>
      <c r="D102" s="76">
        <f>'Power Consumption'!$I88/'EPS Parameters'!$C$5/'EPS Parameters'!$C$8</f>
        <v>0</v>
      </c>
      <c r="E102" s="116">
        <f>'Power Consumption'!$K88/'EPS Parameters'!$C$6/'EPS Parameters'!$C$8</f>
        <v>0</v>
      </c>
      <c r="F102" s="49"/>
    </row>
    <row r="103" spans="1:6" hidden="1" outlineLevel="1" x14ac:dyDescent="0.25">
      <c r="A103" s="115" t="str">
        <f>'Power Consumption'!A89</f>
        <v>Consumer #85</v>
      </c>
      <c r="B103" s="76">
        <f>'Power Consumption'!$E89/'EPS Parameters'!$C$3/'EPS Parameters'!$C$8</f>
        <v>0</v>
      </c>
      <c r="C103" s="76">
        <f>'Power Consumption'!$G89/'EPS Parameters'!$C$4/'EPS Parameters'!$C$8</f>
        <v>0</v>
      </c>
      <c r="D103" s="76">
        <f>'Power Consumption'!$I89/'EPS Parameters'!$C$5/'EPS Parameters'!$C$8</f>
        <v>0</v>
      </c>
      <c r="E103" s="116">
        <f>'Power Consumption'!$K89/'EPS Parameters'!$C$6/'EPS Parameters'!$C$8</f>
        <v>0</v>
      </c>
      <c r="F103" s="49"/>
    </row>
    <row r="104" spans="1:6" hidden="1" outlineLevel="1" x14ac:dyDescent="0.25">
      <c r="A104" s="115" t="str">
        <f>'Power Consumption'!A90</f>
        <v>Consumer #86</v>
      </c>
      <c r="B104" s="76">
        <f>'Power Consumption'!$E90/'EPS Parameters'!$C$3/'EPS Parameters'!$C$8</f>
        <v>0</v>
      </c>
      <c r="C104" s="76">
        <f>'Power Consumption'!$G90/'EPS Parameters'!$C$4/'EPS Parameters'!$C$8</f>
        <v>0</v>
      </c>
      <c r="D104" s="76">
        <f>'Power Consumption'!$I90/'EPS Parameters'!$C$5/'EPS Parameters'!$C$8</f>
        <v>0</v>
      </c>
      <c r="E104" s="116">
        <f>'Power Consumption'!$K90/'EPS Parameters'!$C$6/'EPS Parameters'!$C$8</f>
        <v>0</v>
      </c>
      <c r="F104" s="49"/>
    </row>
    <row r="105" spans="1:6" hidden="1" outlineLevel="1" x14ac:dyDescent="0.25">
      <c r="A105" s="115" t="str">
        <f>'Power Consumption'!A91</f>
        <v>Consumer #87</v>
      </c>
      <c r="B105" s="76">
        <f>'Power Consumption'!$E91/'EPS Parameters'!$C$3/'EPS Parameters'!$C$8</f>
        <v>0</v>
      </c>
      <c r="C105" s="76">
        <f>'Power Consumption'!$G91/'EPS Parameters'!$C$4/'EPS Parameters'!$C$8</f>
        <v>0</v>
      </c>
      <c r="D105" s="76">
        <f>'Power Consumption'!$I91/'EPS Parameters'!$C$5/'EPS Parameters'!$C$8</f>
        <v>0</v>
      </c>
      <c r="E105" s="116">
        <f>'Power Consumption'!$K91/'EPS Parameters'!$C$6/'EPS Parameters'!$C$8</f>
        <v>0</v>
      </c>
      <c r="F105" s="49"/>
    </row>
    <row r="106" spans="1:6" hidden="1" outlineLevel="1" x14ac:dyDescent="0.25">
      <c r="A106" s="115" t="str">
        <f>'Power Consumption'!A92</f>
        <v>Consumer #88</v>
      </c>
      <c r="B106" s="76">
        <f>'Power Consumption'!$E92/'EPS Parameters'!$C$3/'EPS Parameters'!$C$8</f>
        <v>0</v>
      </c>
      <c r="C106" s="76">
        <f>'Power Consumption'!$G92/'EPS Parameters'!$C$4/'EPS Parameters'!$C$8</f>
        <v>0</v>
      </c>
      <c r="D106" s="76">
        <f>'Power Consumption'!$I92/'EPS Parameters'!$C$5/'EPS Parameters'!$C$8</f>
        <v>0</v>
      </c>
      <c r="E106" s="116">
        <f>'Power Consumption'!$K92/'EPS Parameters'!$C$6/'EPS Parameters'!$C$8</f>
        <v>0</v>
      </c>
      <c r="F106" s="49"/>
    </row>
    <row r="107" spans="1:6" hidden="1" outlineLevel="1" x14ac:dyDescent="0.25">
      <c r="A107" s="115" t="str">
        <f>'Power Consumption'!A93</f>
        <v>Consumer #89</v>
      </c>
      <c r="B107" s="76">
        <f>'Power Consumption'!$E93/'EPS Parameters'!$C$3/'EPS Parameters'!$C$8</f>
        <v>0</v>
      </c>
      <c r="C107" s="76">
        <f>'Power Consumption'!$G93/'EPS Parameters'!$C$4/'EPS Parameters'!$C$8</f>
        <v>0</v>
      </c>
      <c r="D107" s="76">
        <f>'Power Consumption'!$I93/'EPS Parameters'!$C$5/'EPS Parameters'!$C$8</f>
        <v>0</v>
      </c>
      <c r="E107" s="116">
        <f>'Power Consumption'!$K93/'EPS Parameters'!$C$6/'EPS Parameters'!$C$8</f>
        <v>0</v>
      </c>
      <c r="F107" s="49"/>
    </row>
    <row r="108" spans="1:6" hidden="1" outlineLevel="1" x14ac:dyDescent="0.25">
      <c r="A108" s="115" t="str">
        <f>'Power Consumption'!A94</f>
        <v>Consumer #90</v>
      </c>
      <c r="B108" s="76">
        <f>'Power Consumption'!$E94/'EPS Parameters'!$C$3/'EPS Parameters'!$C$8</f>
        <v>0</v>
      </c>
      <c r="C108" s="76">
        <f>'Power Consumption'!$G94/'EPS Parameters'!$C$4/'EPS Parameters'!$C$8</f>
        <v>0</v>
      </c>
      <c r="D108" s="76">
        <f>'Power Consumption'!$I94/'EPS Parameters'!$C$5/'EPS Parameters'!$C$8</f>
        <v>0</v>
      </c>
      <c r="E108" s="116">
        <f>'Power Consumption'!$K94/'EPS Parameters'!$C$6/'EPS Parameters'!$C$8</f>
        <v>0</v>
      </c>
      <c r="F108" s="49"/>
    </row>
    <row r="109" spans="1:6" hidden="1" outlineLevel="1" x14ac:dyDescent="0.25">
      <c r="A109" s="115" t="str">
        <f>'Power Consumption'!A95</f>
        <v>Consumer #91</v>
      </c>
      <c r="B109" s="76">
        <f>'Power Consumption'!$E95/'EPS Parameters'!$C$3/'EPS Parameters'!$C$8</f>
        <v>0</v>
      </c>
      <c r="C109" s="76">
        <f>'Power Consumption'!$G95/'EPS Parameters'!$C$4/'EPS Parameters'!$C$8</f>
        <v>0</v>
      </c>
      <c r="D109" s="76">
        <f>'Power Consumption'!$I95/'EPS Parameters'!$C$5/'EPS Parameters'!$C$8</f>
        <v>0</v>
      </c>
      <c r="E109" s="116">
        <f>'Power Consumption'!$K95/'EPS Parameters'!$C$6/'EPS Parameters'!$C$8</f>
        <v>0</v>
      </c>
      <c r="F109" s="49"/>
    </row>
    <row r="110" spans="1:6" hidden="1" outlineLevel="1" x14ac:dyDescent="0.25">
      <c r="A110" s="115" t="str">
        <f>'Power Consumption'!A96</f>
        <v>Consumer #92</v>
      </c>
      <c r="B110" s="76">
        <f>'Power Consumption'!$E96/'EPS Parameters'!$C$3/'EPS Parameters'!$C$8</f>
        <v>0</v>
      </c>
      <c r="C110" s="76">
        <f>'Power Consumption'!$G96/'EPS Parameters'!$C$4/'EPS Parameters'!$C$8</f>
        <v>0</v>
      </c>
      <c r="D110" s="76">
        <f>'Power Consumption'!$I96/'EPS Parameters'!$C$5/'EPS Parameters'!$C$8</f>
        <v>0</v>
      </c>
      <c r="E110" s="116">
        <f>'Power Consumption'!$K96/'EPS Parameters'!$C$6/'EPS Parameters'!$C$8</f>
        <v>0</v>
      </c>
      <c r="F110" s="49"/>
    </row>
    <row r="111" spans="1:6" hidden="1" outlineLevel="1" x14ac:dyDescent="0.25">
      <c r="A111" s="115" t="str">
        <f>'Power Consumption'!A97</f>
        <v>Consumer #93</v>
      </c>
      <c r="B111" s="76">
        <f>'Power Consumption'!$E97/'EPS Parameters'!$C$3/'EPS Parameters'!$C$8</f>
        <v>0</v>
      </c>
      <c r="C111" s="76">
        <f>'Power Consumption'!$G97/'EPS Parameters'!$C$4/'EPS Parameters'!$C$8</f>
        <v>0</v>
      </c>
      <c r="D111" s="76">
        <f>'Power Consumption'!$I97/'EPS Parameters'!$C$5/'EPS Parameters'!$C$8</f>
        <v>0</v>
      </c>
      <c r="E111" s="116">
        <f>'Power Consumption'!$K97/'EPS Parameters'!$C$6/'EPS Parameters'!$C$8</f>
        <v>0</v>
      </c>
      <c r="F111" s="49"/>
    </row>
    <row r="112" spans="1:6" hidden="1" outlineLevel="1" x14ac:dyDescent="0.25">
      <c r="A112" s="115" t="str">
        <f>'Power Consumption'!A98</f>
        <v>Consumer #94</v>
      </c>
      <c r="B112" s="76">
        <f>'Power Consumption'!$E98/'EPS Parameters'!$C$3/'EPS Parameters'!$C$8</f>
        <v>0</v>
      </c>
      <c r="C112" s="76">
        <f>'Power Consumption'!$G98/'EPS Parameters'!$C$4/'EPS Parameters'!$C$8</f>
        <v>0</v>
      </c>
      <c r="D112" s="76">
        <f>'Power Consumption'!$I98/'EPS Parameters'!$C$5/'EPS Parameters'!$C$8</f>
        <v>0</v>
      </c>
      <c r="E112" s="116">
        <f>'Power Consumption'!$K98/'EPS Parameters'!$C$6/'EPS Parameters'!$C$8</f>
        <v>0</v>
      </c>
      <c r="F112" s="49"/>
    </row>
    <row r="113" spans="1:9" hidden="1" outlineLevel="1" x14ac:dyDescent="0.25">
      <c r="A113" s="115" t="str">
        <f>'Power Consumption'!A99</f>
        <v>Consumer #95</v>
      </c>
      <c r="B113" s="76">
        <f>'Power Consumption'!$E99/'EPS Parameters'!$C$3/'EPS Parameters'!$C$8</f>
        <v>0</v>
      </c>
      <c r="C113" s="76">
        <f>'Power Consumption'!$G99/'EPS Parameters'!$C$4/'EPS Parameters'!$C$8</f>
        <v>0</v>
      </c>
      <c r="D113" s="76">
        <f>'Power Consumption'!$I99/'EPS Parameters'!$C$5/'EPS Parameters'!$C$8</f>
        <v>0</v>
      </c>
      <c r="E113" s="116">
        <f>'Power Consumption'!$K99/'EPS Parameters'!$C$6/'EPS Parameters'!$C$8</f>
        <v>0</v>
      </c>
      <c r="F113" s="49"/>
    </row>
    <row r="114" spans="1:9" hidden="1" outlineLevel="1" x14ac:dyDescent="0.25">
      <c r="A114" s="115" t="str">
        <f>'Power Consumption'!A100</f>
        <v>Consumer #96</v>
      </c>
      <c r="B114" s="76">
        <f>'Power Consumption'!$E100/'EPS Parameters'!$C$3/'EPS Parameters'!$C$8</f>
        <v>0</v>
      </c>
      <c r="C114" s="76">
        <f>'Power Consumption'!$G100/'EPS Parameters'!$C$4/'EPS Parameters'!$C$8</f>
        <v>0</v>
      </c>
      <c r="D114" s="76">
        <f>'Power Consumption'!$I100/'EPS Parameters'!$C$5/'EPS Parameters'!$C$8</f>
        <v>0</v>
      </c>
      <c r="E114" s="116">
        <f>'Power Consumption'!$K100/'EPS Parameters'!$C$6/'EPS Parameters'!$C$8</f>
        <v>0</v>
      </c>
      <c r="F114" s="49"/>
    </row>
    <row r="115" spans="1:9" hidden="1" outlineLevel="1" x14ac:dyDescent="0.25">
      <c r="A115" s="115" t="str">
        <f>'Power Consumption'!A101</f>
        <v>Consumer #97</v>
      </c>
      <c r="B115" s="76">
        <f>'Power Consumption'!$E101/'EPS Parameters'!$C$3/'EPS Parameters'!$C$8</f>
        <v>0</v>
      </c>
      <c r="C115" s="76">
        <f>'Power Consumption'!$G101/'EPS Parameters'!$C$4/'EPS Parameters'!$C$8</f>
        <v>0</v>
      </c>
      <c r="D115" s="76">
        <f>'Power Consumption'!$I101/'EPS Parameters'!$C$5/'EPS Parameters'!$C$8</f>
        <v>0</v>
      </c>
      <c r="E115" s="116">
        <f>'Power Consumption'!$K101/'EPS Parameters'!$C$6/'EPS Parameters'!$C$8</f>
        <v>0</v>
      </c>
      <c r="F115" s="49"/>
    </row>
    <row r="116" spans="1:9" hidden="1" outlineLevel="1" x14ac:dyDescent="0.25">
      <c r="A116" s="115" t="str">
        <f>'Power Consumption'!A102</f>
        <v>Consumer #98</v>
      </c>
      <c r="B116" s="76">
        <f>'Power Consumption'!$E102/'EPS Parameters'!$C$3/'EPS Parameters'!$C$8</f>
        <v>0</v>
      </c>
      <c r="C116" s="76">
        <f>'Power Consumption'!$G102/'EPS Parameters'!$C$4/'EPS Parameters'!$C$8</f>
        <v>0</v>
      </c>
      <c r="D116" s="76">
        <f>'Power Consumption'!$I102/'EPS Parameters'!$C$5/'EPS Parameters'!$C$8</f>
        <v>0</v>
      </c>
      <c r="E116" s="116">
        <f>'Power Consumption'!$K102/'EPS Parameters'!$C$6/'EPS Parameters'!$C$8</f>
        <v>0</v>
      </c>
      <c r="F116" s="49"/>
    </row>
    <row r="117" spans="1:9" hidden="1" outlineLevel="1" x14ac:dyDescent="0.25">
      <c r="A117" s="115" t="str">
        <f>'Power Consumption'!A103</f>
        <v>Consumer #99</v>
      </c>
      <c r="B117" s="76">
        <f>'Power Consumption'!$E103/'EPS Parameters'!$C$3/'EPS Parameters'!$C$8</f>
        <v>0</v>
      </c>
      <c r="C117" s="76">
        <f>'Power Consumption'!$G103/'EPS Parameters'!$C$4/'EPS Parameters'!$C$8</f>
        <v>0</v>
      </c>
      <c r="D117" s="76">
        <f>'Power Consumption'!$I103/'EPS Parameters'!$C$5/'EPS Parameters'!$C$8</f>
        <v>0</v>
      </c>
      <c r="E117" s="116">
        <f>'Power Consumption'!$K103/'EPS Parameters'!$C$6/'EPS Parameters'!$C$8</f>
        <v>0</v>
      </c>
      <c r="F117" s="49"/>
    </row>
    <row r="118" spans="1:9" hidden="1" outlineLevel="1" x14ac:dyDescent="0.25">
      <c r="A118" s="118" t="str">
        <f>'Power Consumption'!A104</f>
        <v>Consumer #100</v>
      </c>
      <c r="B118" s="119">
        <f>'Power Consumption'!$E104/'EPS Parameters'!$C$3/'EPS Parameters'!$C$8</f>
        <v>0</v>
      </c>
      <c r="C118" s="119">
        <f>'Power Consumption'!$G104/'EPS Parameters'!$C$4/'EPS Parameters'!$C$8</f>
        <v>0</v>
      </c>
      <c r="D118" s="119">
        <f>'Power Consumption'!$I104/'EPS Parameters'!$C$5/'EPS Parameters'!$C$8</f>
        <v>0</v>
      </c>
      <c r="E118" s="120">
        <f>'Power Consumption'!$K104/'EPS Parameters'!$C$6/'EPS Parameters'!$C$8</f>
        <v>0</v>
      </c>
      <c r="F118" s="49"/>
    </row>
    <row r="119" spans="1:9" hidden="1" outlineLevel="1" x14ac:dyDescent="0.25">
      <c r="A119" s="62"/>
    </row>
    <row r="120" spans="1:9" hidden="1" outlineLevel="1" x14ac:dyDescent="0.25">
      <c r="A120" s="62"/>
    </row>
    <row r="121" spans="1:9" s="74" customFormat="1" x14ac:dyDescent="0.25">
      <c r="A121" s="74" t="s">
        <v>209</v>
      </c>
    </row>
    <row r="122" spans="1:9" s="64" customFormat="1" outlineLevel="1" x14ac:dyDescent="0.25"/>
    <row r="123" spans="1:9" s="64" customFormat="1" outlineLevel="1" x14ac:dyDescent="0.25">
      <c r="A123" s="172" t="s">
        <v>251</v>
      </c>
      <c r="B123" s="172" t="s">
        <v>255</v>
      </c>
      <c r="C123" s="172" t="s">
        <v>299</v>
      </c>
      <c r="D123" s="172" t="s">
        <v>300</v>
      </c>
    </row>
    <row r="124" spans="1:9" s="64" customFormat="1" outlineLevel="1" x14ac:dyDescent="0.25">
      <c r="A124" s="171" t="str">
        <f>_xlfn.CONCAT('Power Modes'!C$11, " ", 'Power Modes'!D$11)</f>
        <v>Mode 1: PAY (Sun)</v>
      </c>
      <c r="B124" s="173">
        <f>'Power Modes'!$C$115</f>
        <v>15.570179680567879</v>
      </c>
      <c r="C124" s="173">
        <f>'Power Modes'!$C$120</f>
        <v>9.5044471851037642</v>
      </c>
      <c r="D124" s="173">
        <f>'Power Modes'!$C$131</f>
        <v>9.1283277821186886</v>
      </c>
      <c r="G124" s="110"/>
      <c r="H124" s="110"/>
      <c r="I124" s="110"/>
    </row>
    <row r="125" spans="1:9" s="64" customFormat="1" outlineLevel="1" x14ac:dyDescent="0.25">
      <c r="A125" s="171" t="str">
        <f>_xlfn.CONCAT('Power Modes'!G$11, " ", 'Power Modes'!H$11)</f>
        <v>Mode 2: Pay (Eclipse)</v>
      </c>
      <c r="B125" s="173">
        <f>'Power Modes'!$G$115</f>
        <v>13.973019077196096</v>
      </c>
      <c r="C125" s="173">
        <f>'Power Modes'!$G$120</f>
        <v>-3.7879444503304232</v>
      </c>
      <c r="D125" s="173">
        <f>'Power Modes'!$G$131</f>
        <v>-3.9407205697334096</v>
      </c>
      <c r="G125" s="110"/>
      <c r="H125" s="110"/>
      <c r="I125" s="110"/>
    </row>
    <row r="126" spans="1:9" s="64" customFormat="1" outlineLevel="1" x14ac:dyDescent="0.25">
      <c r="A126" s="171" t="str">
        <f>_xlfn.CONCAT('Power Modes'!K$11, " ", 'Power Modes'!L$11)</f>
        <v>Mode 3: DL</v>
      </c>
      <c r="B126" s="173">
        <f>'Power Modes'!$K$115</f>
        <v>9.1815372670807456</v>
      </c>
      <c r="C126" s="173">
        <f>'Power Modes'!$K$120</f>
        <v>1.0035373597849269</v>
      </c>
      <c r="D126" s="173">
        <f>'Power Modes'!$K$131</f>
        <v>0.85076124038194045</v>
      </c>
      <c r="G126" s="110"/>
      <c r="H126" s="110"/>
      <c r="I126" s="110"/>
    </row>
    <row r="127" spans="1:9" s="64" customFormat="1" outlineLevel="1" x14ac:dyDescent="0.25">
      <c r="A127" s="171" t="str">
        <f>_xlfn.CONCAT('Power Modes'!O$11, " ", 'Power Modes'!P$11)</f>
        <v>Mode 4: PG</v>
      </c>
      <c r="B127" s="173">
        <f>'Power Modes'!$O$115</f>
        <v>6.2691149068322982</v>
      </c>
      <c r="C127" s="173">
        <f>'Power Modes'!$O$120</f>
        <v>3.9159597200333742</v>
      </c>
      <c r="D127" s="173">
        <f>'Power Modes'!$O$131</f>
        <v>3.7631836006303878</v>
      </c>
      <c r="G127" s="110"/>
      <c r="H127" s="110"/>
      <c r="I127" s="110"/>
    </row>
    <row r="128" spans="1:9" s="64" customFormat="1" outlineLevel="1" x14ac:dyDescent="0.25">
      <c r="A128" s="171" t="str">
        <f>_xlfn.CONCAT('Power Modes'!S$11, " ", 'Power Modes'!T$11)</f>
        <v>Mode 5: SAFE</v>
      </c>
      <c r="B128" s="173">
        <f>'Power Modes'!$S$115</f>
        <v>6.4316571428571431E-2</v>
      </c>
      <c r="C128" s="173">
        <f>'Power Modes'!$S$120</f>
        <v>9.4879222345415783</v>
      </c>
      <c r="D128" s="173">
        <f>'Power Modes'!$S$131</f>
        <v>9.3446386524520264</v>
      </c>
      <c r="G128" s="110"/>
      <c r="H128" s="110"/>
      <c r="I128" s="110"/>
    </row>
    <row r="129" spans="1:30" s="64" customFormat="1" outlineLevel="1" x14ac:dyDescent="0.25">
      <c r="A129" s="171" t="str">
        <f>_xlfn.CONCAT('Power Modes'!W$11, " ", 'Power Modes'!X$11)</f>
        <v>Mode 6: M6</v>
      </c>
      <c r="B129" s="173">
        <f>'Power Modes'!$W$115</f>
        <v>0</v>
      </c>
      <c r="C129" s="173">
        <f>'Power Modes'!$W$120</f>
        <v>0</v>
      </c>
      <c r="D129" s="173">
        <f>'Power Modes'!$W$131</f>
        <v>0</v>
      </c>
      <c r="G129" s="110"/>
      <c r="H129" s="110"/>
      <c r="I129" s="110"/>
    </row>
    <row r="130" spans="1:30" s="64" customFormat="1" outlineLevel="1" x14ac:dyDescent="0.25"/>
    <row r="131" spans="1:30" s="74" customFormat="1" collapsed="1" x14ac:dyDescent="0.25">
      <c r="A131" s="74" t="s">
        <v>210</v>
      </c>
    </row>
    <row r="132" spans="1:30" hidden="1" outlineLevel="1" x14ac:dyDescent="0.25">
      <c r="A132" s="62"/>
      <c r="B132" s="132" t="s">
        <v>220</v>
      </c>
      <c r="C132" s="133"/>
      <c r="D132" s="133"/>
      <c r="E132" s="134"/>
      <c r="F132" s="145"/>
      <c r="G132" s="59" t="s">
        <v>222</v>
      </c>
      <c r="H132" s="59"/>
      <c r="I132" s="59"/>
      <c r="J132" s="59"/>
      <c r="K132" s="59"/>
    </row>
    <row r="133" spans="1:30" s="64" customFormat="1" ht="45" hidden="1" outlineLevel="1" x14ac:dyDescent="0.25">
      <c r="A133" s="124" t="s">
        <v>55</v>
      </c>
      <c r="B133" s="135" t="s">
        <v>212</v>
      </c>
      <c r="C133" s="122" t="s">
        <v>213</v>
      </c>
      <c r="D133" s="122" t="s">
        <v>214</v>
      </c>
      <c r="E133" s="136" t="s">
        <v>215</v>
      </c>
      <c r="F133" s="146"/>
      <c r="G133" s="128" t="s">
        <v>212</v>
      </c>
      <c r="H133" s="122" t="s">
        <v>213</v>
      </c>
      <c r="I133" s="122" t="s">
        <v>214</v>
      </c>
      <c r="J133" s="123" t="s">
        <v>215</v>
      </c>
      <c r="K133" s="146"/>
      <c r="L133" s="128" t="s">
        <v>212</v>
      </c>
      <c r="M133" s="122" t="s">
        <v>213</v>
      </c>
      <c r="N133" s="122" t="s">
        <v>214</v>
      </c>
      <c r="O133" s="123" t="s">
        <v>215</v>
      </c>
      <c r="Q133" s="128" t="s">
        <v>212</v>
      </c>
      <c r="R133" s="122" t="s">
        <v>213</v>
      </c>
      <c r="S133" s="122" t="s">
        <v>214</v>
      </c>
      <c r="T133" s="123" t="s">
        <v>215</v>
      </c>
      <c r="V133" s="128" t="s">
        <v>212</v>
      </c>
      <c r="W133" s="122" t="s">
        <v>213</v>
      </c>
      <c r="X133" s="122" t="s">
        <v>214</v>
      </c>
      <c r="Y133" s="123" t="s">
        <v>215</v>
      </c>
      <c r="AA133" s="128" t="s">
        <v>212</v>
      </c>
      <c r="AB133" s="122" t="s">
        <v>213</v>
      </c>
      <c r="AC133" s="122" t="s">
        <v>214</v>
      </c>
      <c r="AD133" s="123" t="s">
        <v>215</v>
      </c>
    </row>
    <row r="134" spans="1:30" s="64" customFormat="1" hidden="1" outlineLevel="1" x14ac:dyDescent="0.25">
      <c r="A134" s="131" t="str">
        <f t="shared" ref="A134:A165" si="0">A19</f>
        <v>GOS ARM</v>
      </c>
      <c r="B134" s="137">
        <f>IF('Power Modes'!$C13&gt;0, 'Power Consumption'!$D5,0)</f>
        <v>0</v>
      </c>
      <c r="C134" s="76">
        <f>IF('Power Modes'!$C13&gt;0, 'Power Consumption'!$F5,0)</f>
        <v>0</v>
      </c>
      <c r="D134" s="76">
        <f>IF('Power Modes'!$C13&gt;0, 'Power Consumption'!$H5,0)</f>
        <v>0</v>
      </c>
      <c r="E134" s="138">
        <f>IF('Power Modes'!$C13&gt;0, 'Power Consumption'!$J5,0)</f>
        <v>0</v>
      </c>
      <c r="F134" s="147"/>
      <c r="G134" s="129">
        <f>IF('Power Modes'!$G13&gt;0, 'Power Consumption'!$D5,0)</f>
        <v>0</v>
      </c>
      <c r="H134" s="76">
        <f>IF('Power Modes'!$G13&gt;0, 'Power Consumption'!$F5,0)</f>
        <v>0</v>
      </c>
      <c r="I134" s="76">
        <f>IF('Power Modes'!$G13&gt;0, 'Power Consumption'!$H5,0)</f>
        <v>0</v>
      </c>
      <c r="J134" s="76">
        <f>IF('Power Modes'!$G13&gt;0, 'Power Consumption'!$J5,0)</f>
        <v>0</v>
      </c>
      <c r="K134" s="129"/>
      <c r="L134" s="129">
        <f>IF('Power Modes'!$K13&gt;0, 'Power Consumption'!$D5,0)</f>
        <v>0</v>
      </c>
      <c r="M134" s="76">
        <f>IF('Power Modes'!$K13&gt;0, 'Power Consumption'!$F5,0)</f>
        <v>0</v>
      </c>
      <c r="N134" s="76">
        <f>IF('Power Modes'!$K13&gt;0, 'Power Consumption'!$H5,0)</f>
        <v>0</v>
      </c>
      <c r="O134" s="76">
        <f>IF('Power Modes'!$K13&gt;0, 'Power Consumption'!$J5,0)</f>
        <v>0</v>
      </c>
      <c r="Q134" s="129">
        <f>IF('Power Modes'!$O13&gt;0, 'Power Consumption'!$D5,0)</f>
        <v>0</v>
      </c>
      <c r="R134" s="76">
        <f>IF('Power Modes'!$O13&gt;0, 'Power Consumption'!$F5,0)</f>
        <v>0</v>
      </c>
      <c r="S134" s="76">
        <f>IF('Power Modes'!$O13&gt;0, 'Power Consumption'!$H5,0)</f>
        <v>0</v>
      </c>
      <c r="T134" s="76">
        <f>IF('Power Modes'!$O13&gt;0, 'Power Consumption'!$J5,0)</f>
        <v>0</v>
      </c>
      <c r="V134" s="129">
        <f>IF('Power Modes'!$S13&gt;0, 'Power Consumption'!$D5,0)</f>
        <v>169</v>
      </c>
      <c r="W134" s="76">
        <f>IF('Power Modes'!$S13&gt;0, 'Power Consumption'!$F5,0)</f>
        <v>0</v>
      </c>
      <c r="X134" s="76">
        <f>IF('Power Modes'!$S13&gt;0, 'Power Consumption'!$H5,0)</f>
        <v>0</v>
      </c>
      <c r="Y134" s="76">
        <f>IF('Power Modes'!$S13&gt;0, 'Power Consumption'!$J5,0)</f>
        <v>0</v>
      </c>
      <c r="AA134" s="129">
        <f>IF('Power Modes'!$W13&gt;0, 'Power Consumption'!$D5,0)</f>
        <v>0</v>
      </c>
      <c r="AB134" s="76">
        <f>IF('Power Modes'!$W13&gt;0, 'Power Consumption'!$F5,0)</f>
        <v>0</v>
      </c>
      <c r="AC134" s="76">
        <f>IF('Power Modes'!$W13&gt;0, 'Power Consumption'!$H5,0)</f>
        <v>0</v>
      </c>
      <c r="AD134" s="76">
        <f>IF('Power Modes'!$W13&gt;0, 'Power Consumption'!$J5,0)</f>
        <v>0</v>
      </c>
    </row>
    <row r="135" spans="1:30" s="64" customFormat="1" hidden="1" outlineLevel="1" x14ac:dyDescent="0.25">
      <c r="A135" s="131" t="str">
        <f t="shared" si="0"/>
        <v>GOS EPS</v>
      </c>
      <c r="B135" s="137">
        <f>IF('Power Modes'!$C14&gt;0, 'Power Consumption'!$D6,0)</f>
        <v>0</v>
      </c>
      <c r="C135" s="76">
        <f>IF('Power Modes'!$C14&gt;0, 'Power Consumption'!$F6,0)</f>
        <v>0</v>
      </c>
      <c r="D135" s="76">
        <f>IF('Power Modes'!$C14&gt;0, 'Power Consumption'!$H6,0)</f>
        <v>0</v>
      </c>
      <c r="E135" s="138">
        <f>IF('Power Modes'!$C14&gt;0, 'Power Consumption'!$J6,0)</f>
        <v>90</v>
      </c>
      <c r="F135" s="147"/>
      <c r="G135" s="129">
        <f>IF('Power Modes'!$G14&gt;0, 'Power Consumption'!$D6,0)</f>
        <v>0</v>
      </c>
      <c r="H135" s="76">
        <f>IF('Power Modes'!$G14&gt;0, 'Power Consumption'!$F6,0)</f>
        <v>0</v>
      </c>
      <c r="I135" s="76">
        <f>IF('Power Modes'!$G14&gt;0, 'Power Consumption'!$H6,0)</f>
        <v>0</v>
      </c>
      <c r="J135" s="76">
        <f>IF('Power Modes'!$G14&gt;0, 'Power Consumption'!$J6,0)</f>
        <v>90</v>
      </c>
      <c r="K135" s="129"/>
      <c r="L135" s="129">
        <f>IF('Power Modes'!$K14&gt;0, 'Power Consumption'!$D6,0)</f>
        <v>0</v>
      </c>
      <c r="M135" s="76">
        <f>IF('Power Modes'!$K14&gt;0, 'Power Consumption'!$F6,0)</f>
        <v>0</v>
      </c>
      <c r="N135" s="76">
        <f>IF('Power Modes'!$K14&gt;0, 'Power Consumption'!$H6,0)</f>
        <v>0</v>
      </c>
      <c r="O135" s="76">
        <f>IF('Power Modes'!$K14&gt;0, 'Power Consumption'!$J6,0)</f>
        <v>90</v>
      </c>
      <c r="Q135" s="129">
        <f>IF('Power Modes'!$O14&gt;0, 'Power Consumption'!$D6,0)</f>
        <v>0</v>
      </c>
      <c r="R135" s="76">
        <f>IF('Power Modes'!$O14&gt;0, 'Power Consumption'!$F6,0)</f>
        <v>0</v>
      </c>
      <c r="S135" s="76">
        <f>IF('Power Modes'!$O14&gt;0, 'Power Consumption'!$H6,0)</f>
        <v>0</v>
      </c>
      <c r="T135" s="76">
        <f>IF('Power Modes'!$O14&gt;0, 'Power Consumption'!$J6,0)</f>
        <v>90</v>
      </c>
      <c r="V135" s="129">
        <f>IF('Power Modes'!$S14&gt;0, 'Power Consumption'!$D6,0)</f>
        <v>0</v>
      </c>
      <c r="W135" s="76">
        <f>IF('Power Modes'!$S14&gt;0, 'Power Consumption'!$F6,0)</f>
        <v>0</v>
      </c>
      <c r="X135" s="76">
        <f>IF('Power Modes'!$S14&gt;0, 'Power Consumption'!$H6,0)</f>
        <v>0</v>
      </c>
      <c r="Y135" s="76">
        <f>IF('Power Modes'!$S14&gt;0, 'Power Consumption'!$J6,0)</f>
        <v>0</v>
      </c>
      <c r="AA135" s="129">
        <f>IF('Power Modes'!$W14&gt;0, 'Power Consumption'!$D6,0)</f>
        <v>0</v>
      </c>
      <c r="AB135" s="76">
        <f>IF('Power Modes'!$W14&gt;0, 'Power Consumption'!$F6,0)</f>
        <v>0</v>
      </c>
      <c r="AC135" s="76">
        <f>IF('Power Modes'!$W14&gt;0, 'Power Consumption'!$H6,0)</f>
        <v>0</v>
      </c>
      <c r="AD135" s="76">
        <f>IF('Power Modes'!$W14&gt;0, 'Power Consumption'!$J6,0)</f>
        <v>0</v>
      </c>
    </row>
    <row r="136" spans="1:30" s="64" customFormat="1" hidden="1" outlineLevel="1" x14ac:dyDescent="0.25">
      <c r="A136" s="131" t="str">
        <f t="shared" si="0"/>
        <v>GOS OBC</v>
      </c>
      <c r="B136" s="137">
        <f>IF('Power Modes'!$C15&gt;0, 'Power Consumption'!$D7,0)</f>
        <v>0</v>
      </c>
      <c r="C136" s="76">
        <f>IF('Power Modes'!$C15&gt;0, 'Power Consumption'!$F7,0)</f>
        <v>0</v>
      </c>
      <c r="D136" s="76">
        <f>IF('Power Modes'!$C15&gt;0, 'Power Consumption'!$H7,0)</f>
        <v>0</v>
      </c>
      <c r="E136" s="138">
        <f>IF('Power Modes'!$C15&gt;0, 'Power Consumption'!$J7,0)</f>
        <v>140</v>
      </c>
      <c r="F136" s="147"/>
      <c r="G136" s="129">
        <f>IF('Power Modes'!$G15&gt;0, 'Power Consumption'!$D7,0)</f>
        <v>0</v>
      </c>
      <c r="H136" s="76">
        <f>IF('Power Modes'!$G15&gt;0, 'Power Consumption'!$F7,0)</f>
        <v>0</v>
      </c>
      <c r="I136" s="76">
        <f>IF('Power Modes'!$G15&gt;0, 'Power Consumption'!$H7,0)</f>
        <v>0</v>
      </c>
      <c r="J136" s="76">
        <f>IF('Power Modes'!$G15&gt;0, 'Power Consumption'!$J7,0)</f>
        <v>140</v>
      </c>
      <c r="K136" s="129"/>
      <c r="L136" s="129">
        <f>IF('Power Modes'!$K15&gt;0, 'Power Consumption'!$D7,0)</f>
        <v>0</v>
      </c>
      <c r="M136" s="76">
        <f>IF('Power Modes'!$K15&gt;0, 'Power Consumption'!$F7,0)</f>
        <v>0</v>
      </c>
      <c r="N136" s="76">
        <f>IF('Power Modes'!$K15&gt;0, 'Power Consumption'!$H7,0)</f>
        <v>0</v>
      </c>
      <c r="O136" s="76">
        <f>IF('Power Modes'!$K15&gt;0, 'Power Consumption'!$J7,0)</f>
        <v>140</v>
      </c>
      <c r="Q136" s="129">
        <f>IF('Power Modes'!$O15&gt;0, 'Power Consumption'!$D7,0)</f>
        <v>0</v>
      </c>
      <c r="R136" s="76">
        <f>IF('Power Modes'!$O15&gt;0, 'Power Consumption'!$F7,0)</f>
        <v>0</v>
      </c>
      <c r="S136" s="76">
        <f>IF('Power Modes'!$O15&gt;0, 'Power Consumption'!$H7,0)</f>
        <v>0</v>
      </c>
      <c r="T136" s="76">
        <f>IF('Power Modes'!$O15&gt;0, 'Power Consumption'!$J7,0)</f>
        <v>140</v>
      </c>
      <c r="V136" s="129">
        <f>IF('Power Modes'!$S15&gt;0, 'Power Consumption'!$D7,0)</f>
        <v>0</v>
      </c>
      <c r="W136" s="76">
        <f>IF('Power Modes'!$S15&gt;0, 'Power Consumption'!$F7,0)</f>
        <v>0</v>
      </c>
      <c r="X136" s="76">
        <f>IF('Power Modes'!$S15&gt;0, 'Power Consumption'!$H7,0)</f>
        <v>0</v>
      </c>
      <c r="Y136" s="76">
        <f>IF('Power Modes'!$S15&gt;0, 'Power Consumption'!$J7,0)</f>
        <v>0</v>
      </c>
      <c r="AA136" s="129">
        <f>IF('Power Modes'!$W15&gt;0, 'Power Consumption'!$D7,0)</f>
        <v>0</v>
      </c>
      <c r="AB136" s="76">
        <f>IF('Power Modes'!$W15&gt;0, 'Power Consumption'!$F7,0)</f>
        <v>0</v>
      </c>
      <c r="AC136" s="76">
        <f>IF('Power Modes'!$W15&gt;0, 'Power Consumption'!$H7,0)</f>
        <v>0</v>
      </c>
      <c r="AD136" s="76">
        <f>IF('Power Modes'!$W15&gt;0, 'Power Consumption'!$J7,0)</f>
        <v>0</v>
      </c>
    </row>
    <row r="137" spans="1:30" s="64" customFormat="1" hidden="1" outlineLevel="1" x14ac:dyDescent="0.25">
      <c r="A137" s="131" t="str">
        <f t="shared" si="0"/>
        <v>GOS UHF Radio Tx</v>
      </c>
      <c r="B137" s="137">
        <f>IF('Power Modes'!$C16&gt;0, 'Power Consumption'!$D8,0)</f>
        <v>0</v>
      </c>
      <c r="C137" s="76">
        <f>IF('Power Modes'!$C16&gt;0, 'Power Consumption'!$F8,0)</f>
        <v>0</v>
      </c>
      <c r="D137" s="76">
        <f>IF('Power Modes'!$C16&gt;0, 'Power Consumption'!$H8,0)</f>
        <v>0</v>
      </c>
      <c r="E137" s="138">
        <f>IF('Power Modes'!$C16&gt;0, 'Power Consumption'!$J8,0)</f>
        <v>0</v>
      </c>
      <c r="F137" s="147"/>
      <c r="G137" s="129">
        <f>IF('Power Modes'!$G16&gt;0, 'Power Consumption'!$D8,0)</f>
        <v>0</v>
      </c>
      <c r="H137" s="76">
        <f>IF('Power Modes'!$G16&gt;0, 'Power Consumption'!$F8,0)</f>
        <v>0</v>
      </c>
      <c r="I137" s="76">
        <f>IF('Power Modes'!$G16&gt;0, 'Power Consumption'!$H8,0)</f>
        <v>0</v>
      </c>
      <c r="J137" s="76">
        <f>IF('Power Modes'!$G16&gt;0, 'Power Consumption'!$J8,0)</f>
        <v>0</v>
      </c>
      <c r="K137" s="129"/>
      <c r="L137" s="129">
        <f>IF('Power Modes'!$K16&gt;0, 'Power Consumption'!$D8,0)</f>
        <v>0</v>
      </c>
      <c r="M137" s="76">
        <f>IF('Power Modes'!$K16&gt;0, 'Power Consumption'!$F8,0)</f>
        <v>0</v>
      </c>
      <c r="N137" s="76">
        <f>IF('Power Modes'!$K16&gt;0, 'Power Consumption'!$H8,0)</f>
        <v>0</v>
      </c>
      <c r="O137" s="76">
        <f>IF('Power Modes'!$K16&gt;0, 'Power Consumption'!$J8,0)</f>
        <v>0</v>
      </c>
      <c r="Q137" s="129">
        <f>IF('Power Modes'!$O16&gt;0, 'Power Consumption'!$D8,0)</f>
        <v>0</v>
      </c>
      <c r="R137" s="76">
        <f>IF('Power Modes'!$O16&gt;0, 'Power Consumption'!$F8,0)</f>
        <v>0</v>
      </c>
      <c r="S137" s="76">
        <f>IF('Power Modes'!$O16&gt;0, 'Power Consumption'!$H8,0)</f>
        <v>0</v>
      </c>
      <c r="T137" s="76">
        <f>IF('Power Modes'!$O16&gt;0, 'Power Consumption'!$J8,0)</f>
        <v>0</v>
      </c>
      <c r="V137" s="129">
        <f>IF('Power Modes'!$S16&gt;0, 'Power Consumption'!$D8,0)</f>
        <v>0</v>
      </c>
      <c r="W137" s="76">
        <f>IF('Power Modes'!$S16&gt;0, 'Power Consumption'!$F8,0)</f>
        <v>0</v>
      </c>
      <c r="X137" s="76">
        <f>IF('Power Modes'!$S16&gt;0, 'Power Consumption'!$H8,0)</f>
        <v>0</v>
      </c>
      <c r="Y137" s="76">
        <f>IF('Power Modes'!$S16&gt;0, 'Power Consumption'!$J8,0)</f>
        <v>0</v>
      </c>
      <c r="AA137" s="129">
        <f>IF('Power Modes'!$W16&gt;0, 'Power Consumption'!$D8,0)</f>
        <v>0</v>
      </c>
      <c r="AB137" s="76">
        <f>IF('Power Modes'!$W16&gt;0, 'Power Consumption'!$F8,0)</f>
        <v>0</v>
      </c>
      <c r="AC137" s="76">
        <f>IF('Power Modes'!$W16&gt;0, 'Power Consumption'!$H8,0)</f>
        <v>0</v>
      </c>
      <c r="AD137" s="76">
        <f>IF('Power Modes'!$W16&gt;0, 'Power Consumption'!$J8,0)</f>
        <v>0</v>
      </c>
    </row>
    <row r="138" spans="1:30" s="64" customFormat="1" hidden="1" outlineLevel="1" x14ac:dyDescent="0.25">
      <c r="A138" s="131" t="str">
        <f t="shared" si="0"/>
        <v>GOS UHF Radio Rx</v>
      </c>
      <c r="B138" s="137">
        <f>IF('Power Modes'!$C17&gt;0, 'Power Consumption'!$D9,0)</f>
        <v>0</v>
      </c>
      <c r="C138" s="76">
        <f>IF('Power Modes'!$C17&gt;0, 'Power Consumption'!$F9,0)</f>
        <v>0</v>
      </c>
      <c r="D138" s="76">
        <f>IF('Power Modes'!$C17&gt;0, 'Power Consumption'!$H9,0)</f>
        <v>0</v>
      </c>
      <c r="E138" s="138">
        <f>IF('Power Modes'!$C17&gt;0, 'Power Consumption'!$J9,0)</f>
        <v>303</v>
      </c>
      <c r="F138" s="147"/>
      <c r="G138" s="129">
        <f>IF('Power Modes'!$G17&gt;0, 'Power Consumption'!$D9,0)</f>
        <v>0</v>
      </c>
      <c r="H138" s="76">
        <f>IF('Power Modes'!$G17&gt;0, 'Power Consumption'!$F9,0)</f>
        <v>0</v>
      </c>
      <c r="I138" s="76">
        <f>IF('Power Modes'!$G17&gt;0, 'Power Consumption'!$H9,0)</f>
        <v>0</v>
      </c>
      <c r="J138" s="76">
        <f>IF('Power Modes'!$G17&gt;0, 'Power Consumption'!$J9,0)</f>
        <v>303</v>
      </c>
      <c r="K138" s="129"/>
      <c r="L138" s="129">
        <f>IF('Power Modes'!$K17&gt;0, 'Power Consumption'!$D9,0)</f>
        <v>0</v>
      </c>
      <c r="M138" s="76">
        <f>IF('Power Modes'!$K17&gt;0, 'Power Consumption'!$F9,0)</f>
        <v>0</v>
      </c>
      <c r="N138" s="76">
        <f>IF('Power Modes'!$K17&gt;0, 'Power Consumption'!$H9,0)</f>
        <v>0</v>
      </c>
      <c r="O138" s="76">
        <f>IF('Power Modes'!$K17&gt;0, 'Power Consumption'!$J9,0)</f>
        <v>303</v>
      </c>
      <c r="Q138" s="129">
        <f>IF('Power Modes'!$O17&gt;0, 'Power Consumption'!$D9,0)</f>
        <v>0</v>
      </c>
      <c r="R138" s="76">
        <f>IF('Power Modes'!$O17&gt;0, 'Power Consumption'!$F9,0)</f>
        <v>0</v>
      </c>
      <c r="S138" s="76">
        <f>IF('Power Modes'!$O17&gt;0, 'Power Consumption'!$H9,0)</f>
        <v>0</v>
      </c>
      <c r="T138" s="76">
        <f>IF('Power Modes'!$O17&gt;0, 'Power Consumption'!$J9,0)</f>
        <v>303</v>
      </c>
      <c r="V138" s="129">
        <f>IF('Power Modes'!$S17&gt;0, 'Power Consumption'!$D9,0)</f>
        <v>0</v>
      </c>
      <c r="W138" s="76">
        <f>IF('Power Modes'!$S17&gt;0, 'Power Consumption'!$F9,0)</f>
        <v>0</v>
      </c>
      <c r="X138" s="76">
        <f>IF('Power Modes'!$S17&gt;0, 'Power Consumption'!$H9,0)</f>
        <v>0</v>
      </c>
      <c r="Y138" s="76">
        <f>IF('Power Modes'!$S17&gt;0, 'Power Consumption'!$J9,0)</f>
        <v>0</v>
      </c>
      <c r="AA138" s="129">
        <f>IF('Power Modes'!$W17&gt;0, 'Power Consumption'!$D9,0)</f>
        <v>0</v>
      </c>
      <c r="AB138" s="76">
        <f>IF('Power Modes'!$W17&gt;0, 'Power Consumption'!$F9,0)</f>
        <v>0</v>
      </c>
      <c r="AC138" s="76">
        <f>IF('Power Modes'!$W17&gt;0, 'Power Consumption'!$H9,0)</f>
        <v>0</v>
      </c>
      <c r="AD138" s="76">
        <f>IF('Power Modes'!$W17&gt;0, 'Power Consumption'!$J9,0)</f>
        <v>0</v>
      </c>
    </row>
    <row r="139" spans="1:30" s="64" customFormat="1" hidden="1" outlineLevel="1" x14ac:dyDescent="0.25">
      <c r="A139" s="131" t="str">
        <f t="shared" si="0"/>
        <v>CubeADCS OBC</v>
      </c>
      <c r="B139" s="137">
        <f>IF('Power Modes'!$C18&gt;0, 'Power Consumption'!$D10,0)</f>
        <v>0</v>
      </c>
      <c r="C139" s="76">
        <f>IF('Power Modes'!$C18&gt;0, 'Power Consumption'!$F10,0)</f>
        <v>0</v>
      </c>
      <c r="D139" s="76">
        <f>IF('Power Modes'!$C18&gt;0, 'Power Consumption'!$H10,0)</f>
        <v>0</v>
      </c>
      <c r="E139" s="138">
        <f>IF('Power Modes'!$C18&gt;0, 'Power Consumption'!$J10,0)</f>
        <v>62</v>
      </c>
      <c r="F139" s="147"/>
      <c r="G139" s="129">
        <f>IF('Power Modes'!$G18&gt;0, 'Power Consumption'!$D10,0)</f>
        <v>0</v>
      </c>
      <c r="H139" s="76">
        <f>IF('Power Modes'!$G18&gt;0, 'Power Consumption'!$F10,0)</f>
        <v>0</v>
      </c>
      <c r="I139" s="76">
        <f>IF('Power Modes'!$G18&gt;0, 'Power Consumption'!$H10,0)</f>
        <v>0</v>
      </c>
      <c r="J139" s="76">
        <f>IF('Power Modes'!$G18&gt;0, 'Power Consumption'!$J10,0)</f>
        <v>62</v>
      </c>
      <c r="K139" s="129"/>
      <c r="L139" s="129">
        <f>IF('Power Modes'!$K18&gt;0, 'Power Consumption'!$D10,0)</f>
        <v>0</v>
      </c>
      <c r="M139" s="76">
        <f>IF('Power Modes'!$K18&gt;0, 'Power Consumption'!$F10,0)</f>
        <v>0</v>
      </c>
      <c r="N139" s="76">
        <f>IF('Power Modes'!$K18&gt;0, 'Power Consumption'!$H10,0)</f>
        <v>0</v>
      </c>
      <c r="O139" s="76">
        <f>IF('Power Modes'!$K18&gt;0, 'Power Consumption'!$J10,0)</f>
        <v>62</v>
      </c>
      <c r="Q139" s="129">
        <f>IF('Power Modes'!$O18&gt;0, 'Power Consumption'!$D10,0)</f>
        <v>0</v>
      </c>
      <c r="R139" s="76">
        <f>IF('Power Modes'!$O18&gt;0, 'Power Consumption'!$F10,0)</f>
        <v>0</v>
      </c>
      <c r="S139" s="76">
        <f>IF('Power Modes'!$O18&gt;0, 'Power Consumption'!$H10,0)</f>
        <v>0</v>
      </c>
      <c r="T139" s="76">
        <f>IF('Power Modes'!$O18&gt;0, 'Power Consumption'!$J10,0)</f>
        <v>62</v>
      </c>
      <c r="V139" s="129">
        <f>IF('Power Modes'!$S18&gt;0, 'Power Consumption'!$D10,0)</f>
        <v>0</v>
      </c>
      <c r="W139" s="76">
        <f>IF('Power Modes'!$S18&gt;0, 'Power Consumption'!$F10,0)</f>
        <v>0</v>
      </c>
      <c r="X139" s="76">
        <f>IF('Power Modes'!$S18&gt;0, 'Power Consumption'!$H10,0)</f>
        <v>0</v>
      </c>
      <c r="Y139" s="76">
        <f>IF('Power Modes'!$S18&gt;0, 'Power Consumption'!$J10,0)</f>
        <v>0</v>
      </c>
      <c r="AA139" s="129">
        <f>IF('Power Modes'!$W18&gt;0, 'Power Consumption'!$D10,0)</f>
        <v>0</v>
      </c>
      <c r="AB139" s="76">
        <f>IF('Power Modes'!$W18&gt;0, 'Power Consumption'!$F10,0)</f>
        <v>0</v>
      </c>
      <c r="AC139" s="76">
        <f>IF('Power Modes'!$W18&gt;0, 'Power Consumption'!$H10,0)</f>
        <v>0</v>
      </c>
      <c r="AD139" s="76">
        <f>IF('Power Modes'!$W18&gt;0, 'Power Consumption'!$J10,0)</f>
        <v>0</v>
      </c>
    </row>
    <row r="140" spans="1:30" s="64" customFormat="1" hidden="1" outlineLevel="1" x14ac:dyDescent="0.25">
      <c r="A140" s="131" t="str">
        <f t="shared" si="0"/>
        <v>CubeADCS Sun Sensors</v>
      </c>
      <c r="B140" s="137">
        <f>IF('Power Modes'!$C19&gt;0, 'Power Consumption'!$D11,0)</f>
        <v>0</v>
      </c>
      <c r="C140" s="76">
        <f>IF('Power Modes'!$C19&gt;0, 'Power Consumption'!$F11,0)</f>
        <v>0</v>
      </c>
      <c r="D140" s="76">
        <f>IF('Power Modes'!$C19&gt;0, 'Power Consumption'!$H11,0)</f>
        <v>0</v>
      </c>
      <c r="E140" s="138">
        <f>IF('Power Modes'!$C19&gt;0, 'Power Consumption'!$J11,0)</f>
        <v>62</v>
      </c>
      <c r="F140" s="147"/>
      <c r="G140" s="129">
        <f>IF('Power Modes'!$G19&gt;0, 'Power Consumption'!$D11,0)</f>
        <v>0</v>
      </c>
      <c r="H140" s="76">
        <f>IF('Power Modes'!$G19&gt;0, 'Power Consumption'!$F11,0)</f>
        <v>0</v>
      </c>
      <c r="I140" s="76">
        <f>IF('Power Modes'!$G19&gt;0, 'Power Consumption'!$H11,0)</f>
        <v>0</v>
      </c>
      <c r="J140" s="76">
        <f>IF('Power Modes'!$G19&gt;0, 'Power Consumption'!$J11,0)</f>
        <v>62</v>
      </c>
      <c r="K140" s="129"/>
      <c r="L140" s="129">
        <f>IF('Power Modes'!$K19&gt;0, 'Power Consumption'!$D11,0)</f>
        <v>0</v>
      </c>
      <c r="M140" s="76">
        <f>IF('Power Modes'!$K19&gt;0, 'Power Consumption'!$F11,0)</f>
        <v>0</v>
      </c>
      <c r="N140" s="76">
        <f>IF('Power Modes'!$K19&gt;0, 'Power Consumption'!$H11,0)</f>
        <v>0</v>
      </c>
      <c r="O140" s="76">
        <f>IF('Power Modes'!$K19&gt;0, 'Power Consumption'!$J11,0)</f>
        <v>62</v>
      </c>
      <c r="Q140" s="129">
        <f>IF('Power Modes'!$O19&gt;0, 'Power Consumption'!$D11,0)</f>
        <v>0</v>
      </c>
      <c r="R140" s="76">
        <f>IF('Power Modes'!$O19&gt;0, 'Power Consumption'!$F11,0)</f>
        <v>0</v>
      </c>
      <c r="S140" s="76">
        <f>IF('Power Modes'!$O19&gt;0, 'Power Consumption'!$H11,0)</f>
        <v>0</v>
      </c>
      <c r="T140" s="76">
        <f>IF('Power Modes'!$O19&gt;0, 'Power Consumption'!$J11,0)</f>
        <v>62</v>
      </c>
      <c r="V140" s="129">
        <f>IF('Power Modes'!$S19&gt;0, 'Power Consumption'!$D11,0)</f>
        <v>0</v>
      </c>
      <c r="W140" s="76">
        <f>IF('Power Modes'!$S19&gt;0, 'Power Consumption'!$F11,0)</f>
        <v>0</v>
      </c>
      <c r="X140" s="76">
        <f>IF('Power Modes'!$S19&gt;0, 'Power Consumption'!$H11,0)</f>
        <v>0</v>
      </c>
      <c r="Y140" s="76">
        <f>IF('Power Modes'!$S19&gt;0, 'Power Consumption'!$J11,0)</f>
        <v>0</v>
      </c>
      <c r="AA140" s="129">
        <f>IF('Power Modes'!$W19&gt;0, 'Power Consumption'!$D11,0)</f>
        <v>0</v>
      </c>
      <c r="AB140" s="76">
        <f>IF('Power Modes'!$W19&gt;0, 'Power Consumption'!$F11,0)</f>
        <v>0</v>
      </c>
      <c r="AC140" s="76">
        <f>IF('Power Modes'!$W19&gt;0, 'Power Consumption'!$H11,0)</f>
        <v>0</v>
      </c>
      <c r="AD140" s="76">
        <f>IF('Power Modes'!$W19&gt;0, 'Power Consumption'!$J11,0)</f>
        <v>0</v>
      </c>
    </row>
    <row r="141" spans="1:30" s="64" customFormat="1" hidden="1" outlineLevel="1" x14ac:dyDescent="0.25">
      <c r="A141" s="131" t="str">
        <f t="shared" si="0"/>
        <v>CubeADCS Magnetorquer</v>
      </c>
      <c r="B141" s="137">
        <f>IF('Power Modes'!$C20&gt;0, 'Power Consumption'!$D12,0)</f>
        <v>0</v>
      </c>
      <c r="C141" s="76">
        <f>IF('Power Modes'!$C20&gt;0, 'Power Consumption'!$F12,0)</f>
        <v>0</v>
      </c>
      <c r="D141" s="76">
        <f>IF('Power Modes'!$C20&gt;0, 'Power Consumption'!$H12,0)</f>
        <v>228</v>
      </c>
      <c r="E141" s="138">
        <f>IF('Power Modes'!$C20&gt;0, 'Power Consumption'!$J12,0)</f>
        <v>0</v>
      </c>
      <c r="F141" s="147"/>
      <c r="G141" s="129">
        <f>IF('Power Modes'!$G20&gt;0, 'Power Consumption'!$D12,0)</f>
        <v>0</v>
      </c>
      <c r="H141" s="76">
        <f>IF('Power Modes'!$G20&gt;0, 'Power Consumption'!$F12,0)</f>
        <v>0</v>
      </c>
      <c r="I141" s="76">
        <f>IF('Power Modes'!$G20&gt;0, 'Power Consumption'!$H12,0)</f>
        <v>228</v>
      </c>
      <c r="J141" s="76">
        <f>IF('Power Modes'!$G20&gt;0, 'Power Consumption'!$J12,0)</f>
        <v>0</v>
      </c>
      <c r="K141" s="129"/>
      <c r="L141" s="129">
        <f>IF('Power Modes'!$K20&gt;0, 'Power Consumption'!$D12,0)</f>
        <v>0</v>
      </c>
      <c r="M141" s="76">
        <f>IF('Power Modes'!$K20&gt;0, 'Power Consumption'!$F12,0)</f>
        <v>0</v>
      </c>
      <c r="N141" s="76">
        <f>IF('Power Modes'!$K20&gt;0, 'Power Consumption'!$H12,0)</f>
        <v>228</v>
      </c>
      <c r="O141" s="76">
        <f>IF('Power Modes'!$K20&gt;0, 'Power Consumption'!$J12,0)</f>
        <v>0</v>
      </c>
      <c r="Q141" s="129">
        <f>IF('Power Modes'!$O20&gt;0, 'Power Consumption'!$D12,0)</f>
        <v>0</v>
      </c>
      <c r="R141" s="76">
        <f>IF('Power Modes'!$O20&gt;0, 'Power Consumption'!$F12,0)</f>
        <v>0</v>
      </c>
      <c r="S141" s="76">
        <f>IF('Power Modes'!$O20&gt;0, 'Power Consumption'!$H12,0)</f>
        <v>228</v>
      </c>
      <c r="T141" s="76">
        <f>IF('Power Modes'!$O20&gt;0, 'Power Consumption'!$J12,0)</f>
        <v>0</v>
      </c>
      <c r="V141" s="129">
        <f>IF('Power Modes'!$S20&gt;0, 'Power Consumption'!$D12,0)</f>
        <v>0</v>
      </c>
      <c r="W141" s="76">
        <f>IF('Power Modes'!$S20&gt;0, 'Power Consumption'!$F12,0)</f>
        <v>0</v>
      </c>
      <c r="X141" s="76">
        <f>IF('Power Modes'!$S20&gt;0, 'Power Consumption'!$H12,0)</f>
        <v>0</v>
      </c>
      <c r="Y141" s="76">
        <f>IF('Power Modes'!$S20&gt;0, 'Power Consumption'!$J12,0)</f>
        <v>0</v>
      </c>
      <c r="AA141" s="129">
        <f>IF('Power Modes'!$W20&gt;0, 'Power Consumption'!$D12,0)</f>
        <v>0</v>
      </c>
      <c r="AB141" s="76">
        <f>IF('Power Modes'!$W20&gt;0, 'Power Consumption'!$F12,0)</f>
        <v>0</v>
      </c>
      <c r="AC141" s="76">
        <f>IF('Power Modes'!$W20&gt;0, 'Power Consumption'!$H12,0)</f>
        <v>0</v>
      </c>
      <c r="AD141" s="76">
        <f>IF('Power Modes'!$W20&gt;0, 'Power Consumption'!$J12,0)</f>
        <v>0</v>
      </c>
    </row>
    <row r="142" spans="1:30" s="64" customFormat="1" hidden="1" outlineLevel="1" x14ac:dyDescent="0.25">
      <c r="A142" s="131" t="str">
        <f t="shared" si="0"/>
        <v>CubeADCS RWs</v>
      </c>
      <c r="B142" s="137">
        <f>IF('Power Modes'!$C21&gt;0, 'Power Consumption'!$D13,0)</f>
        <v>0</v>
      </c>
      <c r="C142" s="76">
        <f>IF('Power Modes'!$C21&gt;0, 'Power Consumption'!$F13,0)</f>
        <v>0</v>
      </c>
      <c r="D142" s="76">
        <f>IF('Power Modes'!$C21&gt;0, 'Power Consumption'!$H13,0)</f>
        <v>459</v>
      </c>
      <c r="E142" s="138">
        <f>IF('Power Modes'!$C21&gt;0, 'Power Consumption'!$J13,0)</f>
        <v>0</v>
      </c>
      <c r="F142" s="147"/>
      <c r="G142" s="129">
        <f>IF('Power Modes'!$G21&gt;0, 'Power Consumption'!$D13,0)</f>
        <v>0</v>
      </c>
      <c r="H142" s="76">
        <f>IF('Power Modes'!$G21&gt;0, 'Power Consumption'!$F13,0)</f>
        <v>0</v>
      </c>
      <c r="I142" s="76">
        <f>IF('Power Modes'!$G21&gt;0, 'Power Consumption'!$H13,0)</f>
        <v>459</v>
      </c>
      <c r="J142" s="76">
        <f>IF('Power Modes'!$G21&gt;0, 'Power Consumption'!$J13,0)</f>
        <v>0</v>
      </c>
      <c r="K142" s="129"/>
      <c r="L142" s="129">
        <f>IF('Power Modes'!$K21&gt;0, 'Power Consumption'!$D13,0)</f>
        <v>0</v>
      </c>
      <c r="M142" s="76">
        <f>IF('Power Modes'!$K21&gt;0, 'Power Consumption'!$F13,0)</f>
        <v>0</v>
      </c>
      <c r="N142" s="76">
        <f>IF('Power Modes'!$K21&gt;0, 'Power Consumption'!$H13,0)</f>
        <v>459</v>
      </c>
      <c r="O142" s="76">
        <f>IF('Power Modes'!$K21&gt;0, 'Power Consumption'!$J13,0)</f>
        <v>0</v>
      </c>
      <c r="Q142" s="129">
        <f>IF('Power Modes'!$O21&gt;0, 'Power Consumption'!$D13,0)</f>
        <v>0</v>
      </c>
      <c r="R142" s="76">
        <f>IF('Power Modes'!$O21&gt;0, 'Power Consumption'!$F13,0)</f>
        <v>0</v>
      </c>
      <c r="S142" s="76">
        <f>IF('Power Modes'!$O21&gt;0, 'Power Consumption'!$H13,0)</f>
        <v>459</v>
      </c>
      <c r="T142" s="76">
        <f>IF('Power Modes'!$O21&gt;0, 'Power Consumption'!$J13,0)</f>
        <v>0</v>
      </c>
      <c r="V142" s="129">
        <f>IF('Power Modes'!$S21&gt;0, 'Power Consumption'!$D13,0)</f>
        <v>0</v>
      </c>
      <c r="W142" s="76">
        <f>IF('Power Modes'!$S21&gt;0, 'Power Consumption'!$F13,0)</f>
        <v>0</v>
      </c>
      <c r="X142" s="76">
        <f>IF('Power Modes'!$S21&gt;0, 'Power Consumption'!$H13,0)</f>
        <v>0</v>
      </c>
      <c r="Y142" s="76">
        <f>IF('Power Modes'!$S21&gt;0, 'Power Consumption'!$J13,0)</f>
        <v>0</v>
      </c>
      <c r="AA142" s="129">
        <f>IF('Power Modes'!$W21&gt;0, 'Power Consumption'!$D13,0)</f>
        <v>0</v>
      </c>
      <c r="AB142" s="76">
        <f>IF('Power Modes'!$W21&gt;0, 'Power Consumption'!$F13,0)</f>
        <v>0</v>
      </c>
      <c r="AC142" s="76">
        <f>IF('Power Modes'!$W21&gt;0, 'Power Consumption'!$H13,0)</f>
        <v>0</v>
      </c>
      <c r="AD142" s="76">
        <f>IF('Power Modes'!$W21&gt;0, 'Power Consumption'!$J13,0)</f>
        <v>0</v>
      </c>
    </row>
    <row r="143" spans="1:30" s="64" customFormat="1" hidden="1" outlineLevel="1" x14ac:dyDescent="0.25">
      <c r="A143" s="131" t="str">
        <f t="shared" si="0"/>
        <v>EPSON G370 Gyro</v>
      </c>
      <c r="B143" s="137">
        <f>IF('Power Modes'!$C22&gt;0, 'Power Consumption'!$D14,0)</f>
        <v>0</v>
      </c>
      <c r="C143" s="76">
        <f>IF('Power Modes'!$C22&gt;0, 'Power Consumption'!$F14,0)</f>
        <v>0</v>
      </c>
      <c r="D143" s="76">
        <f>IF('Power Modes'!$C22&gt;0, 'Power Consumption'!$H14,0)</f>
        <v>0</v>
      </c>
      <c r="E143" s="138">
        <f>IF('Power Modes'!$C22&gt;0, 'Power Consumption'!$J14,0)</f>
        <v>0</v>
      </c>
      <c r="F143" s="147"/>
      <c r="G143" s="129">
        <f>IF('Power Modes'!$G22&gt;0, 'Power Consumption'!$D14,0)</f>
        <v>0</v>
      </c>
      <c r="H143" s="76">
        <f>IF('Power Modes'!$G22&gt;0, 'Power Consumption'!$F14,0)</f>
        <v>0</v>
      </c>
      <c r="I143" s="76">
        <f>IF('Power Modes'!$G22&gt;0, 'Power Consumption'!$H14,0)</f>
        <v>0</v>
      </c>
      <c r="J143" s="76">
        <f>IF('Power Modes'!$G22&gt;0, 'Power Consumption'!$J14,0)</f>
        <v>0</v>
      </c>
      <c r="K143" s="129"/>
      <c r="L143" s="129">
        <f>IF('Power Modes'!$K22&gt;0, 'Power Consumption'!$D14,0)</f>
        <v>0</v>
      </c>
      <c r="M143" s="76">
        <f>IF('Power Modes'!$K22&gt;0, 'Power Consumption'!$F14,0)</f>
        <v>0</v>
      </c>
      <c r="N143" s="76">
        <f>IF('Power Modes'!$K22&gt;0, 'Power Consumption'!$H14,0)</f>
        <v>0</v>
      </c>
      <c r="O143" s="76">
        <f>IF('Power Modes'!$K22&gt;0, 'Power Consumption'!$J14,0)</f>
        <v>0</v>
      </c>
      <c r="Q143" s="129">
        <f>IF('Power Modes'!$O22&gt;0, 'Power Consumption'!$D14,0)</f>
        <v>0</v>
      </c>
      <c r="R143" s="76">
        <f>IF('Power Modes'!$O22&gt;0, 'Power Consumption'!$F14,0)</f>
        <v>0</v>
      </c>
      <c r="S143" s="76">
        <f>IF('Power Modes'!$O22&gt;0, 'Power Consumption'!$H14,0)</f>
        <v>0</v>
      </c>
      <c r="T143" s="76">
        <f>IF('Power Modes'!$O22&gt;0, 'Power Consumption'!$J14,0)</f>
        <v>0</v>
      </c>
      <c r="V143" s="129">
        <f>IF('Power Modes'!$S22&gt;0, 'Power Consumption'!$D14,0)</f>
        <v>0</v>
      </c>
      <c r="W143" s="76">
        <f>IF('Power Modes'!$S22&gt;0, 'Power Consumption'!$F14,0)</f>
        <v>0</v>
      </c>
      <c r="X143" s="76">
        <f>IF('Power Modes'!$S22&gt;0, 'Power Consumption'!$H14,0)</f>
        <v>0</v>
      </c>
      <c r="Y143" s="76">
        <f>IF('Power Modes'!$S22&gt;0, 'Power Consumption'!$J14,0)</f>
        <v>0</v>
      </c>
      <c r="AA143" s="129">
        <f>IF('Power Modes'!$W22&gt;0, 'Power Consumption'!$D14,0)</f>
        <v>0</v>
      </c>
      <c r="AB143" s="76">
        <f>IF('Power Modes'!$W22&gt;0, 'Power Consumption'!$F14,0)</f>
        <v>0</v>
      </c>
      <c r="AC143" s="76">
        <f>IF('Power Modes'!$W22&gt;0, 'Power Consumption'!$H14,0)</f>
        <v>0</v>
      </c>
      <c r="AD143" s="76">
        <f>IF('Power Modes'!$W22&gt;0, 'Power Consumption'!$J14,0)</f>
        <v>0</v>
      </c>
    </row>
    <row r="144" spans="1:30" s="64" customFormat="1" hidden="1" outlineLevel="1" x14ac:dyDescent="0.25">
      <c r="A144" s="131" t="str">
        <f t="shared" si="0"/>
        <v>NovAtel GNSS Rx</v>
      </c>
      <c r="B144" s="137">
        <f>IF('Power Modes'!$C23&gt;0, 'Power Consumption'!$D15,0)</f>
        <v>0</v>
      </c>
      <c r="C144" s="76">
        <f>IF('Power Modes'!$C23&gt;0, 'Power Consumption'!$F15,0)</f>
        <v>0</v>
      </c>
      <c r="D144" s="76">
        <f>IF('Power Modes'!$C23&gt;0, 'Power Consumption'!$H15,0)</f>
        <v>0</v>
      </c>
      <c r="E144" s="138">
        <f>IF('Power Modes'!$C23&gt;0, 'Power Consumption'!$J15,0)</f>
        <v>0</v>
      </c>
      <c r="F144" s="147"/>
      <c r="G144" s="129">
        <f>IF('Power Modes'!$G23&gt;0, 'Power Consumption'!$D15,0)</f>
        <v>0</v>
      </c>
      <c r="H144" s="76">
        <f>IF('Power Modes'!$G23&gt;0, 'Power Consumption'!$F15,0)</f>
        <v>0</v>
      </c>
      <c r="I144" s="76">
        <f>IF('Power Modes'!$G23&gt;0, 'Power Consumption'!$H15,0)</f>
        <v>0</v>
      </c>
      <c r="J144" s="76">
        <f>IF('Power Modes'!$G23&gt;0, 'Power Consumption'!$J15,0)</f>
        <v>0</v>
      </c>
      <c r="K144" s="129"/>
      <c r="L144" s="129">
        <f>IF('Power Modes'!$K23&gt;0, 'Power Consumption'!$D15,0)</f>
        <v>0</v>
      </c>
      <c r="M144" s="76">
        <f>IF('Power Modes'!$K23&gt;0, 'Power Consumption'!$F15,0)</f>
        <v>0</v>
      </c>
      <c r="N144" s="76">
        <f>IF('Power Modes'!$K23&gt;0, 'Power Consumption'!$H15,0)</f>
        <v>0</v>
      </c>
      <c r="O144" s="76">
        <f>IF('Power Modes'!$K23&gt;0, 'Power Consumption'!$J15,0)</f>
        <v>0</v>
      </c>
      <c r="Q144" s="129">
        <f>IF('Power Modes'!$O23&gt;0, 'Power Consumption'!$D15,0)</f>
        <v>0</v>
      </c>
      <c r="R144" s="76">
        <f>IF('Power Modes'!$O23&gt;0, 'Power Consumption'!$F15,0)</f>
        <v>0</v>
      </c>
      <c r="S144" s="76">
        <f>IF('Power Modes'!$O23&gt;0, 'Power Consumption'!$H15,0)</f>
        <v>0</v>
      </c>
      <c r="T144" s="76">
        <f>IF('Power Modes'!$O23&gt;0, 'Power Consumption'!$J15,0)</f>
        <v>0</v>
      </c>
      <c r="V144" s="129">
        <f>IF('Power Modes'!$S23&gt;0, 'Power Consumption'!$D15,0)</f>
        <v>0</v>
      </c>
      <c r="W144" s="76">
        <f>IF('Power Modes'!$S23&gt;0, 'Power Consumption'!$F15,0)</f>
        <v>0</v>
      </c>
      <c r="X144" s="76">
        <f>IF('Power Modes'!$S23&gt;0, 'Power Consumption'!$H15,0)</f>
        <v>0</v>
      </c>
      <c r="Y144" s="76">
        <f>IF('Power Modes'!$S23&gt;0, 'Power Consumption'!$J15,0)</f>
        <v>0</v>
      </c>
      <c r="AA144" s="129">
        <f>IF('Power Modes'!$W23&gt;0, 'Power Consumption'!$D15,0)</f>
        <v>0</v>
      </c>
      <c r="AB144" s="76">
        <f>IF('Power Modes'!$W23&gt;0, 'Power Consumption'!$F15,0)</f>
        <v>0</v>
      </c>
      <c r="AC144" s="76">
        <f>IF('Power Modes'!$W23&gt;0, 'Power Consumption'!$H15,0)</f>
        <v>0</v>
      </c>
      <c r="AD144" s="76">
        <f>IF('Power Modes'!$W23&gt;0, 'Power Consumption'!$J15,0)</f>
        <v>0</v>
      </c>
    </row>
    <row r="145" spans="1:30" s="64" customFormat="1" hidden="1" outlineLevel="1" x14ac:dyDescent="0.25">
      <c r="A145" s="131" t="str">
        <f t="shared" si="0"/>
        <v>HiSPiCO S-Band SDR Tx</v>
      </c>
      <c r="B145" s="137">
        <f>IF('Power Modes'!$C24&gt;0, 'Power Consumption'!$D16,0)</f>
        <v>0</v>
      </c>
      <c r="C145" s="76">
        <f>IF('Power Modes'!$C24&gt;0, 'Power Consumption'!$F16,0)</f>
        <v>0</v>
      </c>
      <c r="D145" s="76">
        <f>IF('Power Modes'!$C24&gt;0, 'Power Consumption'!$H16,0)</f>
        <v>0</v>
      </c>
      <c r="E145" s="138">
        <f>IF('Power Modes'!$C24&gt;0, 'Power Consumption'!$J16,0)</f>
        <v>0</v>
      </c>
      <c r="F145" s="147"/>
      <c r="G145" s="129">
        <f>IF('Power Modes'!$G24&gt;0, 'Power Consumption'!$D16,0)</f>
        <v>0</v>
      </c>
      <c r="H145" s="76">
        <f>IF('Power Modes'!$G24&gt;0, 'Power Consumption'!$F16,0)</f>
        <v>0</v>
      </c>
      <c r="I145" s="76">
        <f>IF('Power Modes'!$G24&gt;0, 'Power Consumption'!$H16,0)</f>
        <v>0</v>
      </c>
      <c r="J145" s="76">
        <f>IF('Power Modes'!$G24&gt;0, 'Power Consumption'!$J16,0)</f>
        <v>0</v>
      </c>
      <c r="K145" s="129"/>
      <c r="L145" s="129">
        <f>IF('Power Modes'!$K24&gt;0, 'Power Consumption'!$D16,0)</f>
        <v>0</v>
      </c>
      <c r="M145" s="76">
        <f>IF('Power Modes'!$K24&gt;0, 'Power Consumption'!$F16,0)</f>
        <v>0</v>
      </c>
      <c r="N145" s="76">
        <f>IF('Power Modes'!$K24&gt;0, 'Power Consumption'!$H16,0)</f>
        <v>0</v>
      </c>
      <c r="O145" s="76">
        <f>IF('Power Modes'!$K24&gt;0, 'Power Consumption'!$J16,0)</f>
        <v>0</v>
      </c>
      <c r="Q145" s="129">
        <f>IF('Power Modes'!$O24&gt;0, 'Power Consumption'!$D16,0)</f>
        <v>0</v>
      </c>
      <c r="R145" s="76">
        <f>IF('Power Modes'!$O24&gt;0, 'Power Consumption'!$F16,0)</f>
        <v>0</v>
      </c>
      <c r="S145" s="76">
        <f>IF('Power Modes'!$O24&gt;0, 'Power Consumption'!$H16,0)</f>
        <v>0</v>
      </c>
      <c r="T145" s="76">
        <f>IF('Power Modes'!$O24&gt;0, 'Power Consumption'!$J16,0)</f>
        <v>0</v>
      </c>
      <c r="V145" s="129">
        <f>IF('Power Modes'!$S24&gt;0, 'Power Consumption'!$D16,0)</f>
        <v>0</v>
      </c>
      <c r="W145" s="76">
        <f>IF('Power Modes'!$S24&gt;0, 'Power Consumption'!$F16,0)</f>
        <v>0</v>
      </c>
      <c r="X145" s="76">
        <f>IF('Power Modes'!$S24&gt;0, 'Power Consumption'!$H16,0)</f>
        <v>0</v>
      </c>
      <c r="Y145" s="76">
        <f>IF('Power Modes'!$S24&gt;0, 'Power Consumption'!$J16,0)</f>
        <v>0</v>
      </c>
      <c r="AA145" s="129">
        <f>IF('Power Modes'!$W24&gt;0, 'Power Consumption'!$D16,0)</f>
        <v>0</v>
      </c>
      <c r="AB145" s="76">
        <f>IF('Power Modes'!$W24&gt;0, 'Power Consumption'!$F16,0)</f>
        <v>0</v>
      </c>
      <c r="AC145" s="76">
        <f>IF('Power Modes'!$W24&gt;0, 'Power Consumption'!$H16,0)</f>
        <v>0</v>
      </c>
      <c r="AD145" s="76">
        <f>IF('Power Modes'!$W24&gt;0, 'Power Consumption'!$J16,0)</f>
        <v>0</v>
      </c>
    </row>
    <row r="146" spans="1:30" s="64" customFormat="1" hidden="1" outlineLevel="1" x14ac:dyDescent="0.25">
      <c r="A146" s="131" t="str">
        <f t="shared" si="0"/>
        <v>GOS PHU</v>
      </c>
      <c r="B146" s="137">
        <f>IF('Power Modes'!$C25&gt;0, 'Power Consumption'!$D17,0)</f>
        <v>0</v>
      </c>
      <c r="C146" s="76">
        <f>IF('Power Modes'!$C25&gt;0, 'Power Consumption'!$F17,0)</f>
        <v>0</v>
      </c>
      <c r="D146" s="76">
        <f>IF('Power Modes'!$C25&gt;0, 'Power Consumption'!$H17,0)</f>
        <v>0</v>
      </c>
      <c r="E146" s="138">
        <f>IF('Power Modes'!$C25&gt;0, 'Power Consumption'!$J17,0)</f>
        <v>140</v>
      </c>
      <c r="F146" s="147"/>
      <c r="G146" s="129">
        <f>IF('Power Modes'!$G25&gt;0, 'Power Consumption'!$D17,0)</f>
        <v>0</v>
      </c>
      <c r="H146" s="76">
        <f>IF('Power Modes'!$G25&gt;0, 'Power Consumption'!$F17,0)</f>
        <v>0</v>
      </c>
      <c r="I146" s="76">
        <f>IF('Power Modes'!$G25&gt;0, 'Power Consumption'!$H17,0)</f>
        <v>0</v>
      </c>
      <c r="J146" s="76">
        <f>IF('Power Modes'!$G25&gt;0, 'Power Consumption'!$J17,0)</f>
        <v>140</v>
      </c>
      <c r="K146" s="129"/>
      <c r="L146" s="129">
        <f>IF('Power Modes'!$K25&gt;0, 'Power Consumption'!$D17,0)</f>
        <v>0</v>
      </c>
      <c r="M146" s="76">
        <f>IF('Power Modes'!$K25&gt;0, 'Power Consumption'!$F17,0)</f>
        <v>0</v>
      </c>
      <c r="N146" s="76">
        <f>IF('Power Modes'!$K25&gt;0, 'Power Consumption'!$H17,0)</f>
        <v>0</v>
      </c>
      <c r="O146" s="76">
        <f>IF('Power Modes'!$K25&gt;0, 'Power Consumption'!$J17,0)</f>
        <v>140</v>
      </c>
      <c r="Q146" s="129">
        <f>IF('Power Modes'!$O25&gt;0, 'Power Consumption'!$D17,0)</f>
        <v>0</v>
      </c>
      <c r="R146" s="76">
        <f>IF('Power Modes'!$O25&gt;0, 'Power Consumption'!$F17,0)</f>
        <v>0</v>
      </c>
      <c r="S146" s="76">
        <f>IF('Power Modes'!$O25&gt;0, 'Power Consumption'!$H17,0)</f>
        <v>0</v>
      </c>
      <c r="T146" s="76">
        <f>IF('Power Modes'!$O25&gt;0, 'Power Consumption'!$J17,0)</f>
        <v>0</v>
      </c>
      <c r="V146" s="129">
        <f>IF('Power Modes'!$S25&gt;0, 'Power Consumption'!$D17,0)</f>
        <v>0</v>
      </c>
      <c r="W146" s="76">
        <f>IF('Power Modes'!$S25&gt;0, 'Power Consumption'!$F17,0)</f>
        <v>0</v>
      </c>
      <c r="X146" s="76">
        <f>IF('Power Modes'!$S25&gt;0, 'Power Consumption'!$H17,0)</f>
        <v>0</v>
      </c>
      <c r="Y146" s="76">
        <f>IF('Power Modes'!$S25&gt;0, 'Power Consumption'!$J17,0)</f>
        <v>0</v>
      </c>
      <c r="AA146" s="129">
        <f>IF('Power Modes'!$W25&gt;0, 'Power Consumption'!$D17,0)</f>
        <v>0</v>
      </c>
      <c r="AB146" s="76">
        <f>IF('Power Modes'!$W25&gt;0, 'Power Consumption'!$F17,0)</f>
        <v>0</v>
      </c>
      <c r="AC146" s="76">
        <f>IF('Power Modes'!$W25&gt;0, 'Power Consumption'!$H17,0)</f>
        <v>0</v>
      </c>
      <c r="AD146" s="76">
        <f>IF('Power Modes'!$W25&gt;0, 'Power Consumption'!$J17,0)</f>
        <v>0</v>
      </c>
    </row>
    <row r="147" spans="1:30" s="64" customFormat="1" hidden="1" outlineLevel="1" x14ac:dyDescent="0.25">
      <c r="A147" s="131" t="str">
        <f t="shared" si="0"/>
        <v>AURA-2</v>
      </c>
      <c r="B147" s="137">
        <f>IF('Power Modes'!$C26&gt;0, 'Power Consumption'!$D18,0)</f>
        <v>0</v>
      </c>
      <c r="C147" s="76">
        <f>IF('Power Modes'!$C26&gt;0, 'Power Consumption'!$F18,0)</f>
        <v>0</v>
      </c>
      <c r="D147" s="76">
        <f>IF('Power Modes'!$C26&gt;0, 'Power Consumption'!$H18,0)</f>
        <v>0</v>
      </c>
      <c r="E147" s="138">
        <f>IF('Power Modes'!$C26&gt;0, 'Power Consumption'!$J18,0)</f>
        <v>0</v>
      </c>
      <c r="F147" s="147"/>
      <c r="G147" s="129">
        <f>IF('Power Modes'!$G26&gt;0, 'Power Consumption'!$D18,0)</f>
        <v>0</v>
      </c>
      <c r="H147" s="76">
        <f>IF('Power Modes'!$G26&gt;0, 'Power Consumption'!$F18,0)</f>
        <v>0</v>
      </c>
      <c r="I147" s="76">
        <f>IF('Power Modes'!$G26&gt;0, 'Power Consumption'!$H18,0)</f>
        <v>600</v>
      </c>
      <c r="J147" s="76">
        <f>IF('Power Modes'!$G26&gt;0, 'Power Consumption'!$J18,0)</f>
        <v>0</v>
      </c>
      <c r="K147" s="129"/>
      <c r="L147" s="129">
        <f>IF('Power Modes'!$K26&gt;0, 'Power Consumption'!$D18,0)</f>
        <v>0</v>
      </c>
      <c r="M147" s="76">
        <f>IF('Power Modes'!$K26&gt;0, 'Power Consumption'!$F18,0)</f>
        <v>0</v>
      </c>
      <c r="N147" s="76">
        <f>IF('Power Modes'!$K26&gt;0, 'Power Consumption'!$H18,0)</f>
        <v>0</v>
      </c>
      <c r="O147" s="76">
        <f>IF('Power Modes'!$K26&gt;0, 'Power Consumption'!$J18,0)</f>
        <v>0</v>
      </c>
      <c r="Q147" s="129">
        <f>IF('Power Modes'!$O26&gt;0, 'Power Consumption'!$D18,0)</f>
        <v>0</v>
      </c>
      <c r="R147" s="76">
        <f>IF('Power Modes'!$O26&gt;0, 'Power Consumption'!$F18,0)</f>
        <v>0</v>
      </c>
      <c r="S147" s="76">
        <f>IF('Power Modes'!$O26&gt;0, 'Power Consumption'!$H18,0)</f>
        <v>0</v>
      </c>
      <c r="T147" s="76">
        <f>IF('Power Modes'!$O26&gt;0, 'Power Consumption'!$J18,0)</f>
        <v>0</v>
      </c>
      <c r="V147" s="129">
        <f>IF('Power Modes'!$S26&gt;0, 'Power Consumption'!$D18,0)</f>
        <v>0</v>
      </c>
      <c r="W147" s="76">
        <f>IF('Power Modes'!$S26&gt;0, 'Power Consumption'!$F18,0)</f>
        <v>0</v>
      </c>
      <c r="X147" s="76">
        <f>IF('Power Modes'!$S26&gt;0, 'Power Consumption'!$H18,0)</f>
        <v>0</v>
      </c>
      <c r="Y147" s="76">
        <f>IF('Power Modes'!$S26&gt;0, 'Power Consumption'!$J18,0)</f>
        <v>0</v>
      </c>
      <c r="AA147" s="129">
        <f>IF('Power Modes'!$W26&gt;0, 'Power Consumption'!$D18,0)</f>
        <v>0</v>
      </c>
      <c r="AB147" s="76">
        <f>IF('Power Modes'!$W26&gt;0, 'Power Consumption'!$F18,0)</f>
        <v>0</v>
      </c>
      <c r="AC147" s="76">
        <f>IF('Power Modes'!$W26&gt;0, 'Power Consumption'!$H18,0)</f>
        <v>0</v>
      </c>
      <c r="AD147" s="76">
        <f>IF('Power Modes'!$W26&gt;0, 'Power Consumption'!$J18,0)</f>
        <v>0</v>
      </c>
    </row>
    <row r="148" spans="1:30" s="64" customFormat="1" hidden="1" outlineLevel="1" x14ac:dyDescent="0.25">
      <c r="A148" s="131" t="str">
        <f t="shared" si="0"/>
        <v>DÉCOR (1)</v>
      </c>
      <c r="B148" s="137">
        <f>IF('Power Modes'!$C27&gt;0, 'Power Consumption'!$D19,0)</f>
        <v>0</v>
      </c>
      <c r="C148" s="76">
        <f>IF('Power Modes'!$C27&gt;0, 'Power Consumption'!$F19,0)</f>
        <v>0</v>
      </c>
      <c r="D148" s="76">
        <f>IF('Power Modes'!$C27&gt;0, 'Power Consumption'!$H19,0)</f>
        <v>40</v>
      </c>
      <c r="E148" s="138">
        <f>IF('Power Modes'!$C27&gt;0, 'Power Consumption'!$J19,0)</f>
        <v>0</v>
      </c>
      <c r="F148" s="147"/>
      <c r="G148" s="129">
        <f>IF('Power Modes'!$G27&gt;0, 'Power Consumption'!$D19,0)</f>
        <v>0</v>
      </c>
      <c r="H148" s="76">
        <f>IF('Power Modes'!$G27&gt;0, 'Power Consumption'!$F19,0)</f>
        <v>0</v>
      </c>
      <c r="I148" s="76">
        <f>IF('Power Modes'!$G27&gt;0, 'Power Consumption'!$H19,0)</f>
        <v>40</v>
      </c>
      <c r="J148" s="76">
        <f>IF('Power Modes'!$G27&gt;0, 'Power Consumption'!$J19,0)</f>
        <v>0</v>
      </c>
      <c r="K148" s="129"/>
      <c r="L148" s="129">
        <f>IF('Power Modes'!$K27&gt;0, 'Power Consumption'!$D19,0)</f>
        <v>0</v>
      </c>
      <c r="M148" s="76">
        <f>IF('Power Modes'!$K27&gt;0, 'Power Consumption'!$F19,0)</f>
        <v>0</v>
      </c>
      <c r="N148" s="76">
        <f>IF('Power Modes'!$K27&gt;0, 'Power Consumption'!$H19,0)</f>
        <v>40</v>
      </c>
      <c r="O148" s="76">
        <f>IF('Power Modes'!$K27&gt;0, 'Power Consumption'!$J19,0)</f>
        <v>0</v>
      </c>
      <c r="Q148" s="129">
        <f>IF('Power Modes'!$O27&gt;0, 'Power Consumption'!$D19,0)</f>
        <v>0</v>
      </c>
      <c r="R148" s="76">
        <f>IF('Power Modes'!$O27&gt;0, 'Power Consumption'!$F19,0)</f>
        <v>0</v>
      </c>
      <c r="S148" s="76">
        <f>IF('Power Modes'!$O27&gt;0, 'Power Consumption'!$H19,0)</f>
        <v>0</v>
      </c>
      <c r="T148" s="76">
        <f>IF('Power Modes'!$O27&gt;0, 'Power Consumption'!$J19,0)</f>
        <v>0</v>
      </c>
      <c r="V148" s="129">
        <f>IF('Power Modes'!$S27&gt;0, 'Power Consumption'!$D19,0)</f>
        <v>0</v>
      </c>
      <c r="W148" s="76">
        <f>IF('Power Modes'!$S27&gt;0, 'Power Consumption'!$F19,0)</f>
        <v>0</v>
      </c>
      <c r="X148" s="76">
        <f>IF('Power Modes'!$S27&gt;0, 'Power Consumption'!$H19,0)</f>
        <v>0</v>
      </c>
      <c r="Y148" s="76">
        <f>IF('Power Modes'!$S27&gt;0, 'Power Consumption'!$J19,0)</f>
        <v>0</v>
      </c>
      <c r="AA148" s="129">
        <f>IF('Power Modes'!$W27&gt;0, 'Power Consumption'!$D19,0)</f>
        <v>0</v>
      </c>
      <c r="AB148" s="76">
        <f>IF('Power Modes'!$W27&gt;0, 'Power Consumption'!$F19,0)</f>
        <v>0</v>
      </c>
      <c r="AC148" s="76">
        <f>IF('Power Modes'!$W27&gt;0, 'Power Consumption'!$H19,0)</f>
        <v>0</v>
      </c>
      <c r="AD148" s="76">
        <f>IF('Power Modes'!$W27&gt;0, 'Power Consumption'!$J19,0)</f>
        <v>0</v>
      </c>
    </row>
    <row r="149" spans="1:30" s="64" customFormat="1" hidden="1" outlineLevel="1" x14ac:dyDescent="0.25">
      <c r="A149" s="131" t="str">
        <f t="shared" si="0"/>
        <v>DÉCOR (2)</v>
      </c>
      <c r="B149" s="137">
        <f>IF('Power Modes'!$C28&gt;0, 'Power Consumption'!$D20,0)</f>
        <v>0</v>
      </c>
      <c r="C149" s="76">
        <f>IF('Power Modes'!$C28&gt;0, 'Power Consumption'!$F20,0)</f>
        <v>0</v>
      </c>
      <c r="D149" s="76">
        <f>IF('Power Modes'!$C28&gt;0, 'Power Consumption'!$H20,0)</f>
        <v>200</v>
      </c>
      <c r="E149" s="138">
        <f>IF('Power Modes'!$C28&gt;0, 'Power Consumption'!$J20,0)</f>
        <v>0</v>
      </c>
      <c r="F149" s="147"/>
      <c r="G149" s="129">
        <f>IF('Power Modes'!$G28&gt;0, 'Power Consumption'!$D20,0)</f>
        <v>0</v>
      </c>
      <c r="H149" s="76">
        <f>IF('Power Modes'!$G28&gt;0, 'Power Consumption'!$F20,0)</f>
        <v>0</v>
      </c>
      <c r="I149" s="76">
        <f>IF('Power Modes'!$G28&gt;0, 'Power Consumption'!$H20,0)</f>
        <v>200</v>
      </c>
      <c r="J149" s="76">
        <f>IF('Power Modes'!$G28&gt;0, 'Power Consumption'!$J20,0)</f>
        <v>0</v>
      </c>
      <c r="K149" s="129"/>
      <c r="L149" s="129">
        <f>IF('Power Modes'!$K28&gt;0, 'Power Consumption'!$D20,0)</f>
        <v>0</v>
      </c>
      <c r="M149" s="76">
        <f>IF('Power Modes'!$K28&gt;0, 'Power Consumption'!$F20,0)</f>
        <v>0</v>
      </c>
      <c r="N149" s="76">
        <f>IF('Power Modes'!$K28&gt;0, 'Power Consumption'!$H20,0)</f>
        <v>200</v>
      </c>
      <c r="O149" s="76">
        <f>IF('Power Modes'!$K28&gt;0, 'Power Consumption'!$J20,0)</f>
        <v>0</v>
      </c>
      <c r="Q149" s="129">
        <f>IF('Power Modes'!$O28&gt;0, 'Power Consumption'!$D20,0)</f>
        <v>0</v>
      </c>
      <c r="R149" s="76">
        <f>IF('Power Modes'!$O28&gt;0, 'Power Consumption'!$F20,0)</f>
        <v>0</v>
      </c>
      <c r="S149" s="76">
        <f>IF('Power Modes'!$O28&gt;0, 'Power Consumption'!$H20,0)</f>
        <v>0</v>
      </c>
      <c r="T149" s="76">
        <f>IF('Power Modes'!$O28&gt;0, 'Power Consumption'!$J20,0)</f>
        <v>0</v>
      </c>
      <c r="V149" s="129">
        <f>IF('Power Modes'!$S28&gt;0, 'Power Consumption'!$D20,0)</f>
        <v>0</v>
      </c>
      <c r="W149" s="76">
        <f>IF('Power Modes'!$S28&gt;0, 'Power Consumption'!$F20,0)</f>
        <v>0</v>
      </c>
      <c r="X149" s="76">
        <f>IF('Power Modes'!$S28&gt;0, 'Power Consumption'!$H20,0)</f>
        <v>0</v>
      </c>
      <c r="Y149" s="76">
        <f>IF('Power Modes'!$S28&gt;0, 'Power Consumption'!$J20,0)</f>
        <v>0</v>
      </c>
      <c r="AA149" s="129">
        <f>IF('Power Modes'!$W28&gt;0, 'Power Consumption'!$D20,0)</f>
        <v>0</v>
      </c>
      <c r="AB149" s="76">
        <f>IF('Power Modes'!$W28&gt;0, 'Power Consumption'!$F20,0)</f>
        <v>0</v>
      </c>
      <c r="AC149" s="76">
        <f>IF('Power Modes'!$W28&gt;0, 'Power Consumption'!$H20,0)</f>
        <v>0</v>
      </c>
      <c r="AD149" s="76">
        <f>IF('Power Modes'!$W28&gt;0, 'Power Consumption'!$J20,0)</f>
        <v>0</v>
      </c>
    </row>
    <row r="150" spans="1:30" s="64" customFormat="1" hidden="1" outlineLevel="1" x14ac:dyDescent="0.25">
      <c r="A150" s="131" t="str">
        <f t="shared" si="0"/>
        <v>FIAN</v>
      </c>
      <c r="B150" s="137">
        <f>IF('Power Modes'!$C29&gt;0, 'Power Consumption'!$D21,0)</f>
        <v>0</v>
      </c>
      <c r="C150" s="76">
        <f>IF('Power Modes'!$C29&gt;0, 'Power Consumption'!$F21,0)</f>
        <v>0</v>
      </c>
      <c r="D150" s="76">
        <f>IF('Power Modes'!$C29&gt;0, 'Power Consumption'!$H21,0)</f>
        <v>800</v>
      </c>
      <c r="E150" s="138">
        <f>IF('Power Modes'!$C29&gt;0, 'Power Consumption'!$J21,0)</f>
        <v>0</v>
      </c>
      <c r="F150" s="147"/>
      <c r="G150" s="129">
        <f>IF('Power Modes'!$G29&gt;0, 'Power Consumption'!$D21,0)</f>
        <v>0</v>
      </c>
      <c r="H150" s="76">
        <f>IF('Power Modes'!$G29&gt;0, 'Power Consumption'!$F21,0)</f>
        <v>0</v>
      </c>
      <c r="I150" s="76">
        <f>IF('Power Modes'!$G29&gt;0, 'Power Consumption'!$H21,0)</f>
        <v>0</v>
      </c>
      <c r="J150" s="76">
        <f>IF('Power Modes'!$G29&gt;0, 'Power Consumption'!$J21,0)</f>
        <v>0</v>
      </c>
      <c r="K150" s="129"/>
      <c r="L150" s="129">
        <f>IF('Power Modes'!$K29&gt;0, 'Power Consumption'!$D21,0)</f>
        <v>0</v>
      </c>
      <c r="M150" s="76">
        <f>IF('Power Modes'!$K29&gt;0, 'Power Consumption'!$F21,0)</f>
        <v>0</v>
      </c>
      <c r="N150" s="76">
        <f>IF('Power Modes'!$K29&gt;0, 'Power Consumption'!$H21,0)</f>
        <v>0</v>
      </c>
      <c r="O150" s="76">
        <f>IF('Power Modes'!$K29&gt;0, 'Power Consumption'!$J21,0)</f>
        <v>0</v>
      </c>
      <c r="Q150" s="129">
        <f>IF('Power Modes'!$O29&gt;0, 'Power Consumption'!$D21,0)</f>
        <v>0</v>
      </c>
      <c r="R150" s="76">
        <f>IF('Power Modes'!$O29&gt;0, 'Power Consumption'!$F21,0)</f>
        <v>0</v>
      </c>
      <c r="S150" s="76">
        <f>IF('Power Modes'!$O29&gt;0, 'Power Consumption'!$H21,0)</f>
        <v>0</v>
      </c>
      <c r="T150" s="76">
        <f>IF('Power Modes'!$O29&gt;0, 'Power Consumption'!$J21,0)</f>
        <v>0</v>
      </c>
      <c r="V150" s="129">
        <f>IF('Power Modes'!$S29&gt;0, 'Power Consumption'!$D21,0)</f>
        <v>0</v>
      </c>
      <c r="W150" s="76">
        <f>IF('Power Modes'!$S29&gt;0, 'Power Consumption'!$F21,0)</f>
        <v>0</v>
      </c>
      <c r="X150" s="76">
        <f>IF('Power Modes'!$S29&gt;0, 'Power Consumption'!$H21,0)</f>
        <v>0</v>
      </c>
      <c r="Y150" s="76">
        <f>IF('Power Modes'!$S29&gt;0, 'Power Consumption'!$J21,0)</f>
        <v>0</v>
      </c>
      <c r="AA150" s="129">
        <f>IF('Power Modes'!$W29&gt;0, 'Power Consumption'!$D21,0)</f>
        <v>0</v>
      </c>
      <c r="AB150" s="76">
        <f>IF('Power Modes'!$W29&gt;0, 'Power Consumption'!$F21,0)</f>
        <v>0</v>
      </c>
      <c r="AC150" s="76">
        <f>IF('Power Modes'!$W29&gt;0, 'Power Consumption'!$H21,0)</f>
        <v>0</v>
      </c>
      <c r="AD150" s="76">
        <f>IF('Power Modes'!$W29&gt;0, 'Power Consumption'!$J21,0)</f>
        <v>0</v>
      </c>
    </row>
    <row r="151" spans="1:30" s="64" customFormat="1" hidden="1" outlineLevel="1" x14ac:dyDescent="0.25">
      <c r="A151" s="131" t="str">
        <f t="shared" si="0"/>
        <v>AMUR</v>
      </c>
      <c r="B151" s="137">
        <f>IF('Power Modes'!$C30&gt;0, 'Power Consumption'!$D22,0)</f>
        <v>0</v>
      </c>
      <c r="C151" s="76">
        <f>IF('Power Modes'!$C30&gt;0, 'Power Consumption'!$F22,0)</f>
        <v>0</v>
      </c>
      <c r="D151" s="76">
        <f>IF('Power Modes'!$C30&gt;0, 'Power Consumption'!$H22,0)</f>
        <v>40</v>
      </c>
      <c r="E151" s="138">
        <f>IF('Power Modes'!$C30&gt;0, 'Power Consumption'!$J22,0)</f>
        <v>0</v>
      </c>
      <c r="F151" s="147"/>
      <c r="G151" s="129">
        <f>IF('Power Modes'!$G30&gt;0, 'Power Consumption'!$D22,0)</f>
        <v>0</v>
      </c>
      <c r="H151" s="76">
        <f>IF('Power Modes'!$G30&gt;0, 'Power Consumption'!$F22,0)</f>
        <v>0</v>
      </c>
      <c r="I151" s="76">
        <f>IF('Power Modes'!$G30&gt;0, 'Power Consumption'!$H22,0)</f>
        <v>40</v>
      </c>
      <c r="J151" s="76">
        <f>IF('Power Modes'!$G30&gt;0, 'Power Consumption'!$J22,0)</f>
        <v>0</v>
      </c>
      <c r="K151" s="129"/>
      <c r="L151" s="129">
        <f>IF('Power Modes'!$K30&gt;0, 'Power Consumption'!$D22,0)</f>
        <v>0</v>
      </c>
      <c r="M151" s="76">
        <f>IF('Power Modes'!$K30&gt;0, 'Power Consumption'!$F22,0)</f>
        <v>0</v>
      </c>
      <c r="N151" s="76">
        <f>IF('Power Modes'!$K30&gt;0, 'Power Consumption'!$H22,0)</f>
        <v>40</v>
      </c>
      <c r="O151" s="76">
        <f>IF('Power Modes'!$K30&gt;0, 'Power Consumption'!$J22,0)</f>
        <v>0</v>
      </c>
      <c r="Q151" s="129">
        <f>IF('Power Modes'!$O30&gt;0, 'Power Consumption'!$D22,0)</f>
        <v>0</v>
      </c>
      <c r="R151" s="76">
        <f>IF('Power Modes'!$O30&gt;0, 'Power Consumption'!$F22,0)</f>
        <v>0</v>
      </c>
      <c r="S151" s="76">
        <f>IF('Power Modes'!$O30&gt;0, 'Power Consumption'!$H22,0)</f>
        <v>0</v>
      </c>
      <c r="T151" s="76">
        <f>IF('Power Modes'!$O30&gt;0, 'Power Consumption'!$J22,0)</f>
        <v>0</v>
      </c>
      <c r="V151" s="129">
        <f>IF('Power Modes'!$S30&gt;0, 'Power Consumption'!$D22,0)</f>
        <v>0</v>
      </c>
      <c r="W151" s="76">
        <f>IF('Power Modes'!$S30&gt;0, 'Power Consumption'!$F22,0)</f>
        <v>0</v>
      </c>
      <c r="X151" s="76">
        <f>IF('Power Modes'!$S30&gt;0, 'Power Consumption'!$H22,0)</f>
        <v>0</v>
      </c>
      <c r="Y151" s="76">
        <f>IF('Power Modes'!$S30&gt;0, 'Power Consumption'!$J22,0)</f>
        <v>0</v>
      </c>
      <c r="AA151" s="129">
        <f>IF('Power Modes'!$W30&gt;0, 'Power Consumption'!$D22,0)</f>
        <v>0</v>
      </c>
      <c r="AB151" s="76">
        <f>IF('Power Modes'!$W30&gt;0, 'Power Consumption'!$F22,0)</f>
        <v>0</v>
      </c>
      <c r="AC151" s="76">
        <f>IF('Power Modes'!$W30&gt;0, 'Power Consumption'!$H22,0)</f>
        <v>0</v>
      </c>
      <c r="AD151" s="76">
        <f>IF('Power Modes'!$W30&gt;0, 'Power Consumption'!$J22,0)</f>
        <v>0</v>
      </c>
    </row>
    <row r="152" spans="1:30" s="64" customFormat="1" hidden="1" outlineLevel="1" x14ac:dyDescent="0.25">
      <c r="A152" s="131" t="str">
        <f t="shared" si="0"/>
        <v>VISCAM</v>
      </c>
      <c r="B152" s="137">
        <f>IF('Power Modes'!$C31&gt;0, 'Power Consumption'!$D23,0)</f>
        <v>0</v>
      </c>
      <c r="C152" s="76">
        <f>IF('Power Modes'!$C31&gt;0, 'Power Consumption'!$F23,0)</f>
        <v>0</v>
      </c>
      <c r="D152" s="76">
        <f>IF('Power Modes'!$C31&gt;0, 'Power Consumption'!$H23,0)</f>
        <v>0</v>
      </c>
      <c r="E152" s="138">
        <f>IF('Power Modes'!$C31&gt;0, 'Power Consumption'!$J23,0)</f>
        <v>0</v>
      </c>
      <c r="F152" s="147"/>
      <c r="G152" s="129">
        <f>IF('Power Modes'!$G31&gt;0, 'Power Consumption'!$D23,0)</f>
        <v>0</v>
      </c>
      <c r="H152" s="76">
        <f>IF('Power Modes'!$G31&gt;0, 'Power Consumption'!$F23,0)</f>
        <v>0</v>
      </c>
      <c r="I152" s="76">
        <f>IF('Power Modes'!$G31&gt;0, 'Power Consumption'!$H23,0)</f>
        <v>0</v>
      </c>
      <c r="J152" s="76">
        <f>IF('Power Modes'!$G31&gt;0, 'Power Consumption'!$J23,0)</f>
        <v>0</v>
      </c>
      <c r="K152" s="129"/>
      <c r="L152" s="129">
        <f>IF('Power Modes'!$K31&gt;0, 'Power Consumption'!$D23,0)</f>
        <v>0</v>
      </c>
      <c r="M152" s="76">
        <f>IF('Power Modes'!$K31&gt;0, 'Power Consumption'!$F23,0)</f>
        <v>0</v>
      </c>
      <c r="N152" s="76">
        <f>IF('Power Modes'!$K31&gt;0, 'Power Consumption'!$H23,0)</f>
        <v>0</v>
      </c>
      <c r="O152" s="76">
        <f>IF('Power Modes'!$K31&gt;0, 'Power Consumption'!$J23,0)</f>
        <v>0</v>
      </c>
      <c r="Q152" s="129">
        <f>IF('Power Modes'!$O31&gt;0, 'Power Consumption'!$D23,0)</f>
        <v>0</v>
      </c>
      <c r="R152" s="76">
        <f>IF('Power Modes'!$O31&gt;0, 'Power Consumption'!$F23,0)</f>
        <v>0</v>
      </c>
      <c r="S152" s="76">
        <f>IF('Power Modes'!$O31&gt;0, 'Power Consumption'!$H23,0)</f>
        <v>0</v>
      </c>
      <c r="T152" s="76">
        <f>IF('Power Modes'!$O31&gt;0, 'Power Consumption'!$J23,0)</f>
        <v>0</v>
      </c>
      <c r="V152" s="129">
        <f>IF('Power Modes'!$S31&gt;0, 'Power Consumption'!$D23,0)</f>
        <v>0</v>
      </c>
      <c r="W152" s="76">
        <f>IF('Power Modes'!$S31&gt;0, 'Power Consumption'!$F23,0)</f>
        <v>0</v>
      </c>
      <c r="X152" s="76">
        <f>IF('Power Modes'!$S31&gt;0, 'Power Consumption'!$H23,0)</f>
        <v>0</v>
      </c>
      <c r="Y152" s="76">
        <f>IF('Power Modes'!$S31&gt;0, 'Power Consumption'!$J23,0)</f>
        <v>0</v>
      </c>
      <c r="AA152" s="129">
        <f>IF('Power Modes'!$W31&gt;0, 'Power Consumption'!$D23,0)</f>
        <v>0</v>
      </c>
      <c r="AB152" s="76">
        <f>IF('Power Modes'!$W31&gt;0, 'Power Consumption'!$F23,0)</f>
        <v>0</v>
      </c>
      <c r="AC152" s="76">
        <f>IF('Power Modes'!$W31&gt;0, 'Power Consumption'!$H23,0)</f>
        <v>0</v>
      </c>
      <c r="AD152" s="76">
        <f>IF('Power Modes'!$W31&gt;0, 'Power Consumption'!$J23,0)</f>
        <v>0</v>
      </c>
    </row>
    <row r="153" spans="1:30" s="64" customFormat="1" hidden="1" outlineLevel="1" x14ac:dyDescent="0.25">
      <c r="A153" s="131" t="str">
        <f t="shared" si="0"/>
        <v>Consumer #20</v>
      </c>
      <c r="B153" s="137">
        <f>IF('Power Modes'!$C32&gt;0, 'Power Consumption'!$D24,0)</f>
        <v>0</v>
      </c>
      <c r="C153" s="76">
        <f>IF('Power Modes'!$C32&gt;0, 'Power Consumption'!$F24,0)</f>
        <v>0</v>
      </c>
      <c r="D153" s="76">
        <f>IF('Power Modes'!$C32&gt;0, 'Power Consumption'!$H24,0)</f>
        <v>0</v>
      </c>
      <c r="E153" s="138">
        <f>IF('Power Modes'!$C32&gt;0, 'Power Consumption'!$J24,0)</f>
        <v>0</v>
      </c>
      <c r="F153" s="147"/>
      <c r="G153" s="129">
        <f>IF('Power Modes'!$G32&gt;0, 'Power Consumption'!$D24,0)</f>
        <v>0</v>
      </c>
      <c r="H153" s="76">
        <f>IF('Power Modes'!$G32&gt;0, 'Power Consumption'!$F24,0)</f>
        <v>0</v>
      </c>
      <c r="I153" s="76">
        <f>IF('Power Modes'!$G32&gt;0, 'Power Consumption'!$H24,0)</f>
        <v>0</v>
      </c>
      <c r="J153" s="76">
        <f>IF('Power Modes'!$G32&gt;0, 'Power Consumption'!$J24,0)</f>
        <v>0</v>
      </c>
      <c r="K153" s="129"/>
      <c r="L153" s="129">
        <f>IF('Power Modes'!$K32&gt;0, 'Power Consumption'!$D24,0)</f>
        <v>0</v>
      </c>
      <c r="M153" s="76">
        <f>IF('Power Modes'!$K32&gt;0, 'Power Consumption'!$F24,0)</f>
        <v>0</v>
      </c>
      <c r="N153" s="76">
        <f>IF('Power Modes'!$K32&gt;0, 'Power Consumption'!$H24,0)</f>
        <v>0</v>
      </c>
      <c r="O153" s="76">
        <f>IF('Power Modes'!$K32&gt;0, 'Power Consumption'!$J24,0)</f>
        <v>0</v>
      </c>
      <c r="Q153" s="129">
        <f>IF('Power Modes'!$O32&gt;0, 'Power Consumption'!$D24,0)</f>
        <v>0</v>
      </c>
      <c r="R153" s="76">
        <f>IF('Power Modes'!$O32&gt;0, 'Power Consumption'!$F24,0)</f>
        <v>0</v>
      </c>
      <c r="S153" s="76">
        <f>IF('Power Modes'!$O32&gt;0, 'Power Consumption'!$H24,0)</f>
        <v>0</v>
      </c>
      <c r="T153" s="76">
        <f>IF('Power Modes'!$O32&gt;0, 'Power Consumption'!$J24,0)</f>
        <v>0</v>
      </c>
      <c r="V153" s="129">
        <f>IF('Power Modes'!$S32&gt;0, 'Power Consumption'!$D24,0)</f>
        <v>0</v>
      </c>
      <c r="W153" s="76">
        <f>IF('Power Modes'!$S32&gt;0, 'Power Consumption'!$F24,0)</f>
        <v>0</v>
      </c>
      <c r="X153" s="76">
        <f>IF('Power Modes'!$S32&gt;0, 'Power Consumption'!$H24,0)</f>
        <v>0</v>
      </c>
      <c r="Y153" s="76">
        <f>IF('Power Modes'!$S32&gt;0, 'Power Consumption'!$J24,0)</f>
        <v>0</v>
      </c>
      <c r="AA153" s="129">
        <f>IF('Power Modes'!$W32&gt;0, 'Power Consumption'!$D24,0)</f>
        <v>0</v>
      </c>
      <c r="AB153" s="76">
        <f>IF('Power Modes'!$W32&gt;0, 'Power Consumption'!$F24,0)</f>
        <v>0</v>
      </c>
      <c r="AC153" s="76">
        <f>IF('Power Modes'!$W32&gt;0, 'Power Consumption'!$H24,0)</f>
        <v>0</v>
      </c>
      <c r="AD153" s="76">
        <f>IF('Power Modes'!$W32&gt;0, 'Power Consumption'!$J24,0)</f>
        <v>0</v>
      </c>
    </row>
    <row r="154" spans="1:30" s="64" customFormat="1" hidden="1" outlineLevel="1" x14ac:dyDescent="0.25">
      <c r="A154" s="131" t="str">
        <f t="shared" si="0"/>
        <v>Consumer #21</v>
      </c>
      <c r="B154" s="137">
        <f>IF('Power Modes'!$C33&gt;0, 'Power Consumption'!$D25,0)</f>
        <v>0</v>
      </c>
      <c r="C154" s="76">
        <f>IF('Power Modes'!$C33&gt;0, 'Power Consumption'!$F25,0)</f>
        <v>0</v>
      </c>
      <c r="D154" s="76">
        <f>IF('Power Modes'!$C33&gt;0, 'Power Consumption'!$H25,0)</f>
        <v>0</v>
      </c>
      <c r="E154" s="138">
        <f>IF('Power Modes'!$C33&gt;0, 'Power Consumption'!$J25,0)</f>
        <v>0</v>
      </c>
      <c r="F154" s="147"/>
      <c r="G154" s="129">
        <f>IF('Power Modes'!$G33&gt;0, 'Power Consumption'!$D25,0)</f>
        <v>0</v>
      </c>
      <c r="H154" s="76">
        <f>IF('Power Modes'!$G33&gt;0, 'Power Consumption'!$F25,0)</f>
        <v>0</v>
      </c>
      <c r="I154" s="76">
        <f>IF('Power Modes'!$G33&gt;0, 'Power Consumption'!$H25,0)</f>
        <v>0</v>
      </c>
      <c r="J154" s="76">
        <f>IF('Power Modes'!$G33&gt;0, 'Power Consumption'!$J25,0)</f>
        <v>0</v>
      </c>
      <c r="K154" s="129"/>
      <c r="L154" s="129">
        <f>IF('Power Modes'!$K33&gt;0, 'Power Consumption'!$D25,0)</f>
        <v>0</v>
      </c>
      <c r="M154" s="76">
        <f>IF('Power Modes'!$K33&gt;0, 'Power Consumption'!$F25,0)</f>
        <v>0</v>
      </c>
      <c r="N154" s="76">
        <f>IF('Power Modes'!$K33&gt;0, 'Power Consumption'!$H25,0)</f>
        <v>0</v>
      </c>
      <c r="O154" s="76">
        <f>IF('Power Modes'!$K33&gt;0, 'Power Consumption'!$J25,0)</f>
        <v>0</v>
      </c>
      <c r="Q154" s="129">
        <f>IF('Power Modes'!$O33&gt;0, 'Power Consumption'!$D25,0)</f>
        <v>0</v>
      </c>
      <c r="R154" s="76">
        <f>IF('Power Modes'!$O33&gt;0, 'Power Consumption'!$F25,0)</f>
        <v>0</v>
      </c>
      <c r="S154" s="76">
        <f>IF('Power Modes'!$O33&gt;0, 'Power Consumption'!$H25,0)</f>
        <v>0</v>
      </c>
      <c r="T154" s="76">
        <f>IF('Power Modes'!$O33&gt;0, 'Power Consumption'!$J25,0)</f>
        <v>0</v>
      </c>
      <c r="V154" s="129">
        <f>IF('Power Modes'!$S33&gt;0, 'Power Consumption'!$D25,0)</f>
        <v>0</v>
      </c>
      <c r="W154" s="76">
        <f>IF('Power Modes'!$S33&gt;0, 'Power Consumption'!$F25,0)</f>
        <v>0</v>
      </c>
      <c r="X154" s="76">
        <f>IF('Power Modes'!$S33&gt;0, 'Power Consumption'!$H25,0)</f>
        <v>0</v>
      </c>
      <c r="Y154" s="76">
        <f>IF('Power Modes'!$S33&gt;0, 'Power Consumption'!$J25,0)</f>
        <v>0</v>
      </c>
      <c r="AA154" s="129">
        <f>IF('Power Modes'!$W33&gt;0, 'Power Consumption'!$D25,0)</f>
        <v>0</v>
      </c>
      <c r="AB154" s="76">
        <f>IF('Power Modes'!$W33&gt;0, 'Power Consumption'!$F25,0)</f>
        <v>0</v>
      </c>
      <c r="AC154" s="76">
        <f>IF('Power Modes'!$W33&gt;0, 'Power Consumption'!$H25,0)</f>
        <v>0</v>
      </c>
      <c r="AD154" s="76">
        <f>IF('Power Modes'!$W33&gt;0, 'Power Consumption'!$J25,0)</f>
        <v>0</v>
      </c>
    </row>
    <row r="155" spans="1:30" s="64" customFormat="1" hidden="1" outlineLevel="1" x14ac:dyDescent="0.25">
      <c r="A155" s="131" t="str">
        <f t="shared" si="0"/>
        <v>Consumer #22</v>
      </c>
      <c r="B155" s="137">
        <f>IF('Power Modes'!$C34&gt;0, 'Power Consumption'!$D26,0)</f>
        <v>0</v>
      </c>
      <c r="C155" s="76">
        <f>IF('Power Modes'!$C34&gt;0, 'Power Consumption'!$F26,0)</f>
        <v>0</v>
      </c>
      <c r="D155" s="76">
        <f>IF('Power Modes'!$C34&gt;0, 'Power Consumption'!$H26,0)</f>
        <v>0</v>
      </c>
      <c r="E155" s="138">
        <f>IF('Power Modes'!$C34&gt;0, 'Power Consumption'!$J26,0)</f>
        <v>0</v>
      </c>
      <c r="F155" s="147"/>
      <c r="G155" s="129">
        <f>IF('Power Modes'!$G34&gt;0, 'Power Consumption'!$D26,0)</f>
        <v>0</v>
      </c>
      <c r="H155" s="76">
        <f>IF('Power Modes'!$G34&gt;0, 'Power Consumption'!$F26,0)</f>
        <v>0</v>
      </c>
      <c r="I155" s="76">
        <f>IF('Power Modes'!$G34&gt;0, 'Power Consumption'!$H26,0)</f>
        <v>0</v>
      </c>
      <c r="J155" s="76">
        <f>IF('Power Modes'!$G34&gt;0, 'Power Consumption'!$J26,0)</f>
        <v>0</v>
      </c>
      <c r="K155" s="129"/>
      <c r="L155" s="129">
        <f>IF('Power Modes'!$K34&gt;0, 'Power Consumption'!$D26,0)</f>
        <v>0</v>
      </c>
      <c r="M155" s="76">
        <f>IF('Power Modes'!$K34&gt;0, 'Power Consumption'!$F26,0)</f>
        <v>0</v>
      </c>
      <c r="N155" s="76">
        <f>IF('Power Modes'!$K34&gt;0, 'Power Consumption'!$H26,0)</f>
        <v>0</v>
      </c>
      <c r="O155" s="76">
        <f>IF('Power Modes'!$K34&gt;0, 'Power Consumption'!$J26,0)</f>
        <v>0</v>
      </c>
      <c r="Q155" s="129">
        <f>IF('Power Modes'!$O34&gt;0, 'Power Consumption'!$D26,0)</f>
        <v>0</v>
      </c>
      <c r="R155" s="76">
        <f>IF('Power Modes'!$O34&gt;0, 'Power Consumption'!$F26,0)</f>
        <v>0</v>
      </c>
      <c r="S155" s="76">
        <f>IF('Power Modes'!$O34&gt;0, 'Power Consumption'!$H26,0)</f>
        <v>0</v>
      </c>
      <c r="T155" s="76">
        <f>IF('Power Modes'!$O34&gt;0, 'Power Consumption'!$J26,0)</f>
        <v>0</v>
      </c>
      <c r="V155" s="129">
        <f>IF('Power Modes'!$S34&gt;0, 'Power Consumption'!$D26,0)</f>
        <v>0</v>
      </c>
      <c r="W155" s="76">
        <f>IF('Power Modes'!$S34&gt;0, 'Power Consumption'!$F26,0)</f>
        <v>0</v>
      </c>
      <c r="X155" s="76">
        <f>IF('Power Modes'!$S34&gt;0, 'Power Consumption'!$H26,0)</f>
        <v>0</v>
      </c>
      <c r="Y155" s="76">
        <f>IF('Power Modes'!$S34&gt;0, 'Power Consumption'!$J26,0)</f>
        <v>0</v>
      </c>
      <c r="AA155" s="129">
        <f>IF('Power Modes'!$W34&gt;0, 'Power Consumption'!$D26,0)</f>
        <v>0</v>
      </c>
      <c r="AB155" s="76">
        <f>IF('Power Modes'!$W34&gt;0, 'Power Consumption'!$F26,0)</f>
        <v>0</v>
      </c>
      <c r="AC155" s="76">
        <f>IF('Power Modes'!$W34&gt;0, 'Power Consumption'!$H26,0)</f>
        <v>0</v>
      </c>
      <c r="AD155" s="76">
        <f>IF('Power Modes'!$W34&gt;0, 'Power Consumption'!$J26,0)</f>
        <v>0</v>
      </c>
    </row>
    <row r="156" spans="1:30" s="64" customFormat="1" hidden="1" outlineLevel="1" x14ac:dyDescent="0.25">
      <c r="A156" s="131" t="str">
        <f t="shared" si="0"/>
        <v>Consumer #23</v>
      </c>
      <c r="B156" s="137">
        <f>IF('Power Modes'!$C35&gt;0, 'Power Consumption'!$D27,0)</f>
        <v>0</v>
      </c>
      <c r="C156" s="76">
        <f>IF('Power Modes'!$C35&gt;0, 'Power Consumption'!$F27,0)</f>
        <v>0</v>
      </c>
      <c r="D156" s="76">
        <f>IF('Power Modes'!$C35&gt;0, 'Power Consumption'!$H27,0)</f>
        <v>0</v>
      </c>
      <c r="E156" s="138">
        <f>IF('Power Modes'!$C35&gt;0, 'Power Consumption'!$J27,0)</f>
        <v>0</v>
      </c>
      <c r="F156" s="147"/>
      <c r="G156" s="129">
        <f>IF('Power Modes'!$G35&gt;0, 'Power Consumption'!$D27,0)</f>
        <v>0</v>
      </c>
      <c r="H156" s="76">
        <f>IF('Power Modes'!$G35&gt;0, 'Power Consumption'!$F27,0)</f>
        <v>0</v>
      </c>
      <c r="I156" s="76">
        <f>IF('Power Modes'!$G35&gt;0, 'Power Consumption'!$H27,0)</f>
        <v>0</v>
      </c>
      <c r="J156" s="76">
        <f>IF('Power Modes'!$G35&gt;0, 'Power Consumption'!$J27,0)</f>
        <v>0</v>
      </c>
      <c r="K156" s="129"/>
      <c r="L156" s="129">
        <f>IF('Power Modes'!$K35&gt;0, 'Power Consumption'!$D27,0)</f>
        <v>0</v>
      </c>
      <c r="M156" s="76">
        <f>IF('Power Modes'!$K35&gt;0, 'Power Consumption'!$F27,0)</f>
        <v>0</v>
      </c>
      <c r="N156" s="76">
        <f>IF('Power Modes'!$K35&gt;0, 'Power Consumption'!$H27,0)</f>
        <v>0</v>
      </c>
      <c r="O156" s="76">
        <f>IF('Power Modes'!$K35&gt;0, 'Power Consumption'!$J27,0)</f>
        <v>0</v>
      </c>
      <c r="Q156" s="129">
        <f>IF('Power Modes'!$O35&gt;0, 'Power Consumption'!$D27,0)</f>
        <v>0</v>
      </c>
      <c r="R156" s="76">
        <f>IF('Power Modes'!$O35&gt;0, 'Power Consumption'!$F27,0)</f>
        <v>0</v>
      </c>
      <c r="S156" s="76">
        <f>IF('Power Modes'!$O35&gt;0, 'Power Consumption'!$H27,0)</f>
        <v>0</v>
      </c>
      <c r="T156" s="76">
        <f>IF('Power Modes'!$O35&gt;0, 'Power Consumption'!$J27,0)</f>
        <v>0</v>
      </c>
      <c r="V156" s="129">
        <f>IF('Power Modes'!$S35&gt;0, 'Power Consumption'!$D27,0)</f>
        <v>0</v>
      </c>
      <c r="W156" s="76">
        <f>IF('Power Modes'!$S35&gt;0, 'Power Consumption'!$F27,0)</f>
        <v>0</v>
      </c>
      <c r="X156" s="76">
        <f>IF('Power Modes'!$S35&gt;0, 'Power Consumption'!$H27,0)</f>
        <v>0</v>
      </c>
      <c r="Y156" s="76">
        <f>IF('Power Modes'!$S35&gt;0, 'Power Consumption'!$J27,0)</f>
        <v>0</v>
      </c>
      <c r="AA156" s="129">
        <f>IF('Power Modes'!$W35&gt;0, 'Power Consumption'!$D27,0)</f>
        <v>0</v>
      </c>
      <c r="AB156" s="76">
        <f>IF('Power Modes'!$W35&gt;0, 'Power Consumption'!$F27,0)</f>
        <v>0</v>
      </c>
      <c r="AC156" s="76">
        <f>IF('Power Modes'!$W35&gt;0, 'Power Consumption'!$H27,0)</f>
        <v>0</v>
      </c>
      <c r="AD156" s="76">
        <f>IF('Power Modes'!$W35&gt;0, 'Power Consumption'!$J27,0)</f>
        <v>0</v>
      </c>
    </row>
    <row r="157" spans="1:30" s="64" customFormat="1" hidden="1" outlineLevel="1" x14ac:dyDescent="0.25">
      <c r="A157" s="131" t="str">
        <f t="shared" si="0"/>
        <v>Consumer #24</v>
      </c>
      <c r="B157" s="137">
        <f>IF('Power Modes'!$C36&gt;0, 'Power Consumption'!$D28,0)</f>
        <v>0</v>
      </c>
      <c r="C157" s="76">
        <f>IF('Power Modes'!$C36&gt;0, 'Power Consumption'!$F28,0)</f>
        <v>0</v>
      </c>
      <c r="D157" s="76">
        <f>IF('Power Modes'!$C36&gt;0, 'Power Consumption'!$H28,0)</f>
        <v>0</v>
      </c>
      <c r="E157" s="138">
        <f>IF('Power Modes'!$C36&gt;0, 'Power Consumption'!$J28,0)</f>
        <v>0</v>
      </c>
      <c r="F157" s="147"/>
      <c r="G157" s="129">
        <f>IF('Power Modes'!$G36&gt;0, 'Power Consumption'!$D28,0)</f>
        <v>0</v>
      </c>
      <c r="H157" s="76">
        <f>IF('Power Modes'!$G36&gt;0, 'Power Consumption'!$F28,0)</f>
        <v>0</v>
      </c>
      <c r="I157" s="76">
        <f>IF('Power Modes'!$G36&gt;0, 'Power Consumption'!$H28,0)</f>
        <v>0</v>
      </c>
      <c r="J157" s="76">
        <f>IF('Power Modes'!$G36&gt;0, 'Power Consumption'!$J28,0)</f>
        <v>0</v>
      </c>
      <c r="K157" s="129"/>
      <c r="L157" s="129">
        <f>IF('Power Modes'!$K36&gt;0, 'Power Consumption'!$D28,0)</f>
        <v>0</v>
      </c>
      <c r="M157" s="76">
        <f>IF('Power Modes'!$K36&gt;0, 'Power Consumption'!$F28,0)</f>
        <v>0</v>
      </c>
      <c r="N157" s="76">
        <f>IF('Power Modes'!$K36&gt;0, 'Power Consumption'!$H28,0)</f>
        <v>0</v>
      </c>
      <c r="O157" s="76">
        <f>IF('Power Modes'!$K36&gt;0, 'Power Consumption'!$J28,0)</f>
        <v>0</v>
      </c>
      <c r="Q157" s="129">
        <f>IF('Power Modes'!$O36&gt;0, 'Power Consumption'!$D28,0)</f>
        <v>0</v>
      </c>
      <c r="R157" s="76">
        <f>IF('Power Modes'!$O36&gt;0, 'Power Consumption'!$F28,0)</f>
        <v>0</v>
      </c>
      <c r="S157" s="76">
        <f>IF('Power Modes'!$O36&gt;0, 'Power Consumption'!$H28,0)</f>
        <v>0</v>
      </c>
      <c r="T157" s="76">
        <f>IF('Power Modes'!$O36&gt;0, 'Power Consumption'!$J28,0)</f>
        <v>0</v>
      </c>
      <c r="V157" s="129">
        <f>IF('Power Modes'!$S36&gt;0, 'Power Consumption'!$D28,0)</f>
        <v>0</v>
      </c>
      <c r="W157" s="76">
        <f>IF('Power Modes'!$S36&gt;0, 'Power Consumption'!$F28,0)</f>
        <v>0</v>
      </c>
      <c r="X157" s="76">
        <f>IF('Power Modes'!$S36&gt;0, 'Power Consumption'!$H28,0)</f>
        <v>0</v>
      </c>
      <c r="Y157" s="76">
        <f>IF('Power Modes'!$S36&gt;0, 'Power Consumption'!$J28,0)</f>
        <v>0</v>
      </c>
      <c r="AA157" s="129">
        <f>IF('Power Modes'!$W36&gt;0, 'Power Consumption'!$D28,0)</f>
        <v>0</v>
      </c>
      <c r="AB157" s="76">
        <f>IF('Power Modes'!$W36&gt;0, 'Power Consumption'!$F28,0)</f>
        <v>0</v>
      </c>
      <c r="AC157" s="76">
        <f>IF('Power Modes'!$W36&gt;0, 'Power Consumption'!$H28,0)</f>
        <v>0</v>
      </c>
      <c r="AD157" s="76">
        <f>IF('Power Modes'!$W36&gt;0, 'Power Consumption'!$J28,0)</f>
        <v>0</v>
      </c>
    </row>
    <row r="158" spans="1:30" s="64" customFormat="1" hidden="1" outlineLevel="1" x14ac:dyDescent="0.25">
      <c r="A158" s="131" t="str">
        <f t="shared" si="0"/>
        <v>Consumer #25</v>
      </c>
      <c r="B158" s="137">
        <f>IF('Power Modes'!$C37&gt;0, 'Power Consumption'!$D29,0)</f>
        <v>0</v>
      </c>
      <c r="C158" s="76">
        <f>IF('Power Modes'!$C37&gt;0, 'Power Consumption'!$F29,0)</f>
        <v>0</v>
      </c>
      <c r="D158" s="76">
        <f>IF('Power Modes'!$C37&gt;0, 'Power Consumption'!$H29,0)</f>
        <v>0</v>
      </c>
      <c r="E158" s="138">
        <f>IF('Power Modes'!$C37&gt;0, 'Power Consumption'!$J29,0)</f>
        <v>0</v>
      </c>
      <c r="F158" s="147"/>
      <c r="G158" s="129">
        <f>IF('Power Modes'!$G37&gt;0, 'Power Consumption'!$D29,0)</f>
        <v>0</v>
      </c>
      <c r="H158" s="76">
        <f>IF('Power Modes'!$G37&gt;0, 'Power Consumption'!$F29,0)</f>
        <v>0</v>
      </c>
      <c r="I158" s="76">
        <f>IF('Power Modes'!$G37&gt;0, 'Power Consumption'!$H29,0)</f>
        <v>0</v>
      </c>
      <c r="J158" s="76">
        <f>IF('Power Modes'!$G37&gt;0, 'Power Consumption'!$J29,0)</f>
        <v>0</v>
      </c>
      <c r="K158" s="129"/>
      <c r="L158" s="129">
        <f>IF('Power Modes'!$K37&gt;0, 'Power Consumption'!$D29,0)</f>
        <v>0</v>
      </c>
      <c r="M158" s="76">
        <f>IF('Power Modes'!$K37&gt;0, 'Power Consumption'!$F29,0)</f>
        <v>0</v>
      </c>
      <c r="N158" s="76">
        <f>IF('Power Modes'!$K37&gt;0, 'Power Consumption'!$H29,0)</f>
        <v>0</v>
      </c>
      <c r="O158" s="76">
        <f>IF('Power Modes'!$K37&gt;0, 'Power Consumption'!$J29,0)</f>
        <v>0</v>
      </c>
      <c r="Q158" s="129">
        <f>IF('Power Modes'!$O37&gt;0, 'Power Consumption'!$D29,0)</f>
        <v>0</v>
      </c>
      <c r="R158" s="76">
        <f>IF('Power Modes'!$O37&gt;0, 'Power Consumption'!$F29,0)</f>
        <v>0</v>
      </c>
      <c r="S158" s="76">
        <f>IF('Power Modes'!$O37&gt;0, 'Power Consumption'!$H29,0)</f>
        <v>0</v>
      </c>
      <c r="T158" s="76">
        <f>IF('Power Modes'!$O37&gt;0, 'Power Consumption'!$J29,0)</f>
        <v>0</v>
      </c>
      <c r="V158" s="129">
        <f>IF('Power Modes'!$S37&gt;0, 'Power Consumption'!$D29,0)</f>
        <v>0</v>
      </c>
      <c r="W158" s="76">
        <f>IF('Power Modes'!$S37&gt;0, 'Power Consumption'!$F29,0)</f>
        <v>0</v>
      </c>
      <c r="X158" s="76">
        <f>IF('Power Modes'!$S37&gt;0, 'Power Consumption'!$H29,0)</f>
        <v>0</v>
      </c>
      <c r="Y158" s="76">
        <f>IF('Power Modes'!$S37&gt;0, 'Power Consumption'!$J29,0)</f>
        <v>0</v>
      </c>
      <c r="AA158" s="129">
        <f>IF('Power Modes'!$W37&gt;0, 'Power Consumption'!$D29,0)</f>
        <v>0</v>
      </c>
      <c r="AB158" s="76">
        <f>IF('Power Modes'!$W37&gt;0, 'Power Consumption'!$F29,0)</f>
        <v>0</v>
      </c>
      <c r="AC158" s="76">
        <f>IF('Power Modes'!$W37&gt;0, 'Power Consumption'!$H29,0)</f>
        <v>0</v>
      </c>
      <c r="AD158" s="76">
        <f>IF('Power Modes'!$W37&gt;0, 'Power Consumption'!$J29,0)</f>
        <v>0</v>
      </c>
    </row>
    <row r="159" spans="1:30" s="64" customFormat="1" hidden="1" outlineLevel="1" x14ac:dyDescent="0.25">
      <c r="A159" s="131" t="str">
        <f t="shared" si="0"/>
        <v>Consumer #26</v>
      </c>
      <c r="B159" s="137">
        <f>IF('Power Modes'!$C38&gt;0, 'Power Consumption'!$D30,0)</f>
        <v>0</v>
      </c>
      <c r="C159" s="76">
        <f>IF('Power Modes'!$C38&gt;0, 'Power Consumption'!$F30,0)</f>
        <v>0</v>
      </c>
      <c r="D159" s="76">
        <f>IF('Power Modes'!$C38&gt;0, 'Power Consumption'!$H30,0)</f>
        <v>0</v>
      </c>
      <c r="E159" s="138">
        <f>IF('Power Modes'!$C38&gt;0, 'Power Consumption'!$J30,0)</f>
        <v>0</v>
      </c>
      <c r="F159" s="147"/>
      <c r="G159" s="129">
        <f>IF('Power Modes'!$G38&gt;0, 'Power Consumption'!$D30,0)</f>
        <v>0</v>
      </c>
      <c r="H159" s="76">
        <f>IF('Power Modes'!$G38&gt;0, 'Power Consumption'!$F30,0)</f>
        <v>0</v>
      </c>
      <c r="I159" s="76">
        <f>IF('Power Modes'!$G38&gt;0, 'Power Consumption'!$H30,0)</f>
        <v>0</v>
      </c>
      <c r="J159" s="76">
        <f>IF('Power Modes'!$G38&gt;0, 'Power Consumption'!$J30,0)</f>
        <v>0</v>
      </c>
      <c r="K159" s="129"/>
      <c r="L159" s="129">
        <f>IF('Power Modes'!$K38&gt;0, 'Power Consumption'!$D30,0)</f>
        <v>0</v>
      </c>
      <c r="M159" s="76">
        <f>IF('Power Modes'!$K38&gt;0, 'Power Consumption'!$F30,0)</f>
        <v>0</v>
      </c>
      <c r="N159" s="76">
        <f>IF('Power Modes'!$K38&gt;0, 'Power Consumption'!$H30,0)</f>
        <v>0</v>
      </c>
      <c r="O159" s="76">
        <f>IF('Power Modes'!$K38&gt;0, 'Power Consumption'!$J30,0)</f>
        <v>0</v>
      </c>
      <c r="Q159" s="129">
        <f>IF('Power Modes'!$O38&gt;0, 'Power Consumption'!$D30,0)</f>
        <v>0</v>
      </c>
      <c r="R159" s="76">
        <f>IF('Power Modes'!$O38&gt;0, 'Power Consumption'!$F30,0)</f>
        <v>0</v>
      </c>
      <c r="S159" s="76">
        <f>IF('Power Modes'!$O38&gt;0, 'Power Consumption'!$H30,0)</f>
        <v>0</v>
      </c>
      <c r="T159" s="76">
        <f>IF('Power Modes'!$O38&gt;0, 'Power Consumption'!$J30,0)</f>
        <v>0</v>
      </c>
      <c r="V159" s="129">
        <f>IF('Power Modes'!$S38&gt;0, 'Power Consumption'!$D30,0)</f>
        <v>0</v>
      </c>
      <c r="W159" s="76">
        <f>IF('Power Modes'!$S38&gt;0, 'Power Consumption'!$F30,0)</f>
        <v>0</v>
      </c>
      <c r="X159" s="76">
        <f>IF('Power Modes'!$S38&gt;0, 'Power Consumption'!$H30,0)</f>
        <v>0</v>
      </c>
      <c r="Y159" s="76">
        <f>IF('Power Modes'!$S38&gt;0, 'Power Consumption'!$J30,0)</f>
        <v>0</v>
      </c>
      <c r="AA159" s="129">
        <f>IF('Power Modes'!$W38&gt;0, 'Power Consumption'!$D30,0)</f>
        <v>0</v>
      </c>
      <c r="AB159" s="76">
        <f>IF('Power Modes'!$W38&gt;0, 'Power Consumption'!$F30,0)</f>
        <v>0</v>
      </c>
      <c r="AC159" s="76">
        <f>IF('Power Modes'!$W38&gt;0, 'Power Consumption'!$H30,0)</f>
        <v>0</v>
      </c>
      <c r="AD159" s="76">
        <f>IF('Power Modes'!$W38&gt;0, 'Power Consumption'!$J30,0)</f>
        <v>0</v>
      </c>
    </row>
    <row r="160" spans="1:30" s="64" customFormat="1" hidden="1" outlineLevel="1" x14ac:dyDescent="0.25">
      <c r="A160" s="131" t="str">
        <f t="shared" si="0"/>
        <v>Consumer #27</v>
      </c>
      <c r="B160" s="137">
        <f>IF('Power Modes'!$C39&gt;0, 'Power Consumption'!$D31,0)</f>
        <v>0</v>
      </c>
      <c r="C160" s="76">
        <f>IF('Power Modes'!$C39&gt;0, 'Power Consumption'!$F31,0)</f>
        <v>0</v>
      </c>
      <c r="D160" s="76">
        <f>IF('Power Modes'!$C39&gt;0, 'Power Consumption'!$H31,0)</f>
        <v>0</v>
      </c>
      <c r="E160" s="138">
        <f>IF('Power Modes'!$C39&gt;0, 'Power Consumption'!$J31,0)</f>
        <v>0</v>
      </c>
      <c r="F160" s="147"/>
      <c r="G160" s="129">
        <f>IF('Power Modes'!$G39&gt;0, 'Power Consumption'!$D31,0)</f>
        <v>0</v>
      </c>
      <c r="H160" s="76">
        <f>IF('Power Modes'!$G39&gt;0, 'Power Consumption'!$F31,0)</f>
        <v>0</v>
      </c>
      <c r="I160" s="76">
        <f>IF('Power Modes'!$G39&gt;0, 'Power Consumption'!$H31,0)</f>
        <v>0</v>
      </c>
      <c r="J160" s="76">
        <f>IF('Power Modes'!$G39&gt;0, 'Power Consumption'!$J31,0)</f>
        <v>0</v>
      </c>
      <c r="K160" s="129"/>
      <c r="L160" s="129">
        <f>IF('Power Modes'!$K39&gt;0, 'Power Consumption'!$D31,0)</f>
        <v>0</v>
      </c>
      <c r="M160" s="76">
        <f>IF('Power Modes'!$K39&gt;0, 'Power Consumption'!$F31,0)</f>
        <v>0</v>
      </c>
      <c r="N160" s="76">
        <f>IF('Power Modes'!$K39&gt;0, 'Power Consumption'!$H31,0)</f>
        <v>0</v>
      </c>
      <c r="O160" s="76">
        <f>IF('Power Modes'!$K39&gt;0, 'Power Consumption'!$J31,0)</f>
        <v>0</v>
      </c>
      <c r="Q160" s="129">
        <f>IF('Power Modes'!$O39&gt;0, 'Power Consumption'!$D31,0)</f>
        <v>0</v>
      </c>
      <c r="R160" s="76">
        <f>IF('Power Modes'!$O39&gt;0, 'Power Consumption'!$F31,0)</f>
        <v>0</v>
      </c>
      <c r="S160" s="76">
        <f>IF('Power Modes'!$O39&gt;0, 'Power Consumption'!$H31,0)</f>
        <v>0</v>
      </c>
      <c r="T160" s="76">
        <f>IF('Power Modes'!$O39&gt;0, 'Power Consumption'!$J31,0)</f>
        <v>0</v>
      </c>
      <c r="V160" s="129">
        <f>IF('Power Modes'!$S39&gt;0, 'Power Consumption'!$D31,0)</f>
        <v>0</v>
      </c>
      <c r="W160" s="76">
        <f>IF('Power Modes'!$S39&gt;0, 'Power Consumption'!$F31,0)</f>
        <v>0</v>
      </c>
      <c r="X160" s="76">
        <f>IF('Power Modes'!$S39&gt;0, 'Power Consumption'!$H31,0)</f>
        <v>0</v>
      </c>
      <c r="Y160" s="76">
        <f>IF('Power Modes'!$S39&gt;0, 'Power Consumption'!$J31,0)</f>
        <v>0</v>
      </c>
      <c r="AA160" s="129">
        <f>IF('Power Modes'!$W39&gt;0, 'Power Consumption'!$D31,0)</f>
        <v>0</v>
      </c>
      <c r="AB160" s="76">
        <f>IF('Power Modes'!$W39&gt;0, 'Power Consumption'!$F31,0)</f>
        <v>0</v>
      </c>
      <c r="AC160" s="76">
        <f>IF('Power Modes'!$W39&gt;0, 'Power Consumption'!$H31,0)</f>
        <v>0</v>
      </c>
      <c r="AD160" s="76">
        <f>IF('Power Modes'!$W39&gt;0, 'Power Consumption'!$J31,0)</f>
        <v>0</v>
      </c>
    </row>
    <row r="161" spans="1:30" s="64" customFormat="1" hidden="1" outlineLevel="1" x14ac:dyDescent="0.25">
      <c r="A161" s="131" t="str">
        <f t="shared" si="0"/>
        <v>Consumer #28</v>
      </c>
      <c r="B161" s="137">
        <f>IF('Power Modes'!$C40&gt;0, 'Power Consumption'!$D32,0)</f>
        <v>0</v>
      </c>
      <c r="C161" s="76">
        <f>IF('Power Modes'!$C40&gt;0, 'Power Consumption'!$F32,0)</f>
        <v>0</v>
      </c>
      <c r="D161" s="76">
        <f>IF('Power Modes'!$C40&gt;0, 'Power Consumption'!$H32,0)</f>
        <v>0</v>
      </c>
      <c r="E161" s="138">
        <f>IF('Power Modes'!$C40&gt;0, 'Power Consumption'!$J32,0)</f>
        <v>0</v>
      </c>
      <c r="F161" s="147"/>
      <c r="G161" s="129">
        <f>IF('Power Modes'!$G40&gt;0, 'Power Consumption'!$D32,0)</f>
        <v>0</v>
      </c>
      <c r="H161" s="76">
        <f>IF('Power Modes'!$G40&gt;0, 'Power Consumption'!$F32,0)</f>
        <v>0</v>
      </c>
      <c r="I161" s="76">
        <f>IF('Power Modes'!$G40&gt;0, 'Power Consumption'!$H32,0)</f>
        <v>0</v>
      </c>
      <c r="J161" s="76">
        <f>IF('Power Modes'!$G40&gt;0, 'Power Consumption'!$J32,0)</f>
        <v>0</v>
      </c>
      <c r="K161" s="129"/>
      <c r="L161" s="129">
        <f>IF('Power Modes'!$K40&gt;0, 'Power Consumption'!$D32,0)</f>
        <v>0</v>
      </c>
      <c r="M161" s="76">
        <f>IF('Power Modes'!$K40&gt;0, 'Power Consumption'!$F32,0)</f>
        <v>0</v>
      </c>
      <c r="N161" s="76">
        <f>IF('Power Modes'!$K40&gt;0, 'Power Consumption'!$H32,0)</f>
        <v>0</v>
      </c>
      <c r="O161" s="76">
        <f>IF('Power Modes'!$K40&gt;0, 'Power Consumption'!$J32,0)</f>
        <v>0</v>
      </c>
      <c r="Q161" s="129">
        <f>IF('Power Modes'!$O40&gt;0, 'Power Consumption'!$D32,0)</f>
        <v>0</v>
      </c>
      <c r="R161" s="76">
        <f>IF('Power Modes'!$O40&gt;0, 'Power Consumption'!$F32,0)</f>
        <v>0</v>
      </c>
      <c r="S161" s="76">
        <f>IF('Power Modes'!$O40&gt;0, 'Power Consumption'!$H32,0)</f>
        <v>0</v>
      </c>
      <c r="T161" s="76">
        <f>IF('Power Modes'!$O40&gt;0, 'Power Consumption'!$J32,0)</f>
        <v>0</v>
      </c>
      <c r="V161" s="129">
        <f>IF('Power Modes'!$S40&gt;0, 'Power Consumption'!$D32,0)</f>
        <v>0</v>
      </c>
      <c r="W161" s="76">
        <f>IF('Power Modes'!$S40&gt;0, 'Power Consumption'!$F32,0)</f>
        <v>0</v>
      </c>
      <c r="X161" s="76">
        <f>IF('Power Modes'!$S40&gt;0, 'Power Consumption'!$H32,0)</f>
        <v>0</v>
      </c>
      <c r="Y161" s="76">
        <f>IF('Power Modes'!$S40&gt;0, 'Power Consumption'!$J32,0)</f>
        <v>0</v>
      </c>
      <c r="AA161" s="129">
        <f>IF('Power Modes'!$W40&gt;0, 'Power Consumption'!$D32,0)</f>
        <v>0</v>
      </c>
      <c r="AB161" s="76">
        <f>IF('Power Modes'!$W40&gt;0, 'Power Consumption'!$F32,0)</f>
        <v>0</v>
      </c>
      <c r="AC161" s="76">
        <f>IF('Power Modes'!$W40&gt;0, 'Power Consumption'!$H32,0)</f>
        <v>0</v>
      </c>
      <c r="AD161" s="76">
        <f>IF('Power Modes'!$W40&gt;0, 'Power Consumption'!$J32,0)</f>
        <v>0</v>
      </c>
    </row>
    <row r="162" spans="1:30" s="64" customFormat="1" hidden="1" outlineLevel="1" x14ac:dyDescent="0.25">
      <c r="A162" s="131" t="str">
        <f t="shared" si="0"/>
        <v>Consumer #29</v>
      </c>
      <c r="B162" s="137">
        <f>IF('Power Modes'!$C41&gt;0, 'Power Consumption'!$D33,0)</f>
        <v>0</v>
      </c>
      <c r="C162" s="76">
        <f>IF('Power Modes'!$C41&gt;0, 'Power Consumption'!$F33,0)</f>
        <v>0</v>
      </c>
      <c r="D162" s="76">
        <f>IF('Power Modes'!$C41&gt;0, 'Power Consumption'!$H33,0)</f>
        <v>0</v>
      </c>
      <c r="E162" s="138">
        <f>IF('Power Modes'!$C41&gt;0, 'Power Consumption'!$J33,0)</f>
        <v>0</v>
      </c>
      <c r="F162" s="147"/>
      <c r="G162" s="129">
        <f>IF('Power Modes'!$G41&gt;0, 'Power Consumption'!$D33,0)</f>
        <v>0</v>
      </c>
      <c r="H162" s="76">
        <f>IF('Power Modes'!$G41&gt;0, 'Power Consumption'!$F33,0)</f>
        <v>0</v>
      </c>
      <c r="I162" s="76">
        <f>IF('Power Modes'!$G41&gt;0, 'Power Consumption'!$H33,0)</f>
        <v>0</v>
      </c>
      <c r="J162" s="76">
        <f>IF('Power Modes'!$G41&gt;0, 'Power Consumption'!$J33,0)</f>
        <v>0</v>
      </c>
      <c r="K162" s="129"/>
      <c r="L162" s="129">
        <f>IF('Power Modes'!$K41&gt;0, 'Power Consumption'!$D33,0)</f>
        <v>0</v>
      </c>
      <c r="M162" s="76">
        <f>IF('Power Modes'!$K41&gt;0, 'Power Consumption'!$F33,0)</f>
        <v>0</v>
      </c>
      <c r="N162" s="76">
        <f>IF('Power Modes'!$K41&gt;0, 'Power Consumption'!$H33,0)</f>
        <v>0</v>
      </c>
      <c r="O162" s="76">
        <f>IF('Power Modes'!$K41&gt;0, 'Power Consumption'!$J33,0)</f>
        <v>0</v>
      </c>
      <c r="Q162" s="129">
        <f>IF('Power Modes'!$O41&gt;0, 'Power Consumption'!$D33,0)</f>
        <v>0</v>
      </c>
      <c r="R162" s="76">
        <f>IF('Power Modes'!$O41&gt;0, 'Power Consumption'!$F33,0)</f>
        <v>0</v>
      </c>
      <c r="S162" s="76">
        <f>IF('Power Modes'!$O41&gt;0, 'Power Consumption'!$H33,0)</f>
        <v>0</v>
      </c>
      <c r="T162" s="76">
        <f>IF('Power Modes'!$O41&gt;0, 'Power Consumption'!$J33,0)</f>
        <v>0</v>
      </c>
      <c r="V162" s="129">
        <f>IF('Power Modes'!$S41&gt;0, 'Power Consumption'!$D33,0)</f>
        <v>0</v>
      </c>
      <c r="W162" s="76">
        <f>IF('Power Modes'!$S41&gt;0, 'Power Consumption'!$F33,0)</f>
        <v>0</v>
      </c>
      <c r="X162" s="76">
        <f>IF('Power Modes'!$S41&gt;0, 'Power Consumption'!$H33,0)</f>
        <v>0</v>
      </c>
      <c r="Y162" s="76">
        <f>IF('Power Modes'!$S41&gt;0, 'Power Consumption'!$J33,0)</f>
        <v>0</v>
      </c>
      <c r="AA162" s="129">
        <f>IF('Power Modes'!$W41&gt;0, 'Power Consumption'!$D33,0)</f>
        <v>0</v>
      </c>
      <c r="AB162" s="76">
        <f>IF('Power Modes'!$W41&gt;0, 'Power Consumption'!$F33,0)</f>
        <v>0</v>
      </c>
      <c r="AC162" s="76">
        <f>IF('Power Modes'!$W41&gt;0, 'Power Consumption'!$H33,0)</f>
        <v>0</v>
      </c>
      <c r="AD162" s="76">
        <f>IF('Power Modes'!$W41&gt;0, 'Power Consumption'!$J33,0)</f>
        <v>0</v>
      </c>
    </row>
    <row r="163" spans="1:30" s="64" customFormat="1" hidden="1" outlineLevel="1" x14ac:dyDescent="0.25">
      <c r="A163" s="131" t="str">
        <f t="shared" si="0"/>
        <v>Consumer #30</v>
      </c>
      <c r="B163" s="137">
        <f>IF('Power Modes'!$C42&gt;0, 'Power Consumption'!$D34,0)</f>
        <v>0</v>
      </c>
      <c r="C163" s="76">
        <f>IF('Power Modes'!$C42&gt;0, 'Power Consumption'!$F34,0)</f>
        <v>0</v>
      </c>
      <c r="D163" s="76">
        <f>IF('Power Modes'!$C42&gt;0, 'Power Consumption'!$H34,0)</f>
        <v>0</v>
      </c>
      <c r="E163" s="138">
        <f>IF('Power Modes'!$C42&gt;0, 'Power Consumption'!$J34,0)</f>
        <v>0</v>
      </c>
      <c r="F163" s="147"/>
      <c r="G163" s="129">
        <f>IF('Power Modes'!$G42&gt;0, 'Power Consumption'!$D34,0)</f>
        <v>0</v>
      </c>
      <c r="H163" s="76">
        <f>IF('Power Modes'!$G42&gt;0, 'Power Consumption'!$F34,0)</f>
        <v>0</v>
      </c>
      <c r="I163" s="76">
        <f>IF('Power Modes'!$G42&gt;0, 'Power Consumption'!$H34,0)</f>
        <v>0</v>
      </c>
      <c r="J163" s="76">
        <f>IF('Power Modes'!$G42&gt;0, 'Power Consumption'!$J34,0)</f>
        <v>0</v>
      </c>
      <c r="K163" s="129"/>
      <c r="L163" s="129">
        <f>IF('Power Modes'!$K42&gt;0, 'Power Consumption'!$D34,0)</f>
        <v>0</v>
      </c>
      <c r="M163" s="76">
        <f>IF('Power Modes'!$K42&gt;0, 'Power Consumption'!$F34,0)</f>
        <v>0</v>
      </c>
      <c r="N163" s="76">
        <f>IF('Power Modes'!$K42&gt;0, 'Power Consumption'!$H34,0)</f>
        <v>0</v>
      </c>
      <c r="O163" s="76">
        <f>IF('Power Modes'!$K42&gt;0, 'Power Consumption'!$J34,0)</f>
        <v>0</v>
      </c>
      <c r="Q163" s="129">
        <f>IF('Power Modes'!$O42&gt;0, 'Power Consumption'!$D34,0)</f>
        <v>0</v>
      </c>
      <c r="R163" s="76">
        <f>IF('Power Modes'!$O42&gt;0, 'Power Consumption'!$F34,0)</f>
        <v>0</v>
      </c>
      <c r="S163" s="76">
        <f>IF('Power Modes'!$O42&gt;0, 'Power Consumption'!$H34,0)</f>
        <v>0</v>
      </c>
      <c r="T163" s="76">
        <f>IF('Power Modes'!$O42&gt;0, 'Power Consumption'!$J34,0)</f>
        <v>0</v>
      </c>
      <c r="V163" s="129">
        <f>IF('Power Modes'!$S42&gt;0, 'Power Consumption'!$D34,0)</f>
        <v>0</v>
      </c>
      <c r="W163" s="76">
        <f>IF('Power Modes'!$S42&gt;0, 'Power Consumption'!$F34,0)</f>
        <v>0</v>
      </c>
      <c r="X163" s="76">
        <f>IF('Power Modes'!$S42&gt;0, 'Power Consumption'!$H34,0)</f>
        <v>0</v>
      </c>
      <c r="Y163" s="76">
        <f>IF('Power Modes'!$S42&gt;0, 'Power Consumption'!$J34,0)</f>
        <v>0</v>
      </c>
      <c r="AA163" s="129">
        <f>IF('Power Modes'!$W42&gt;0, 'Power Consumption'!$D34,0)</f>
        <v>0</v>
      </c>
      <c r="AB163" s="76">
        <f>IF('Power Modes'!$W42&gt;0, 'Power Consumption'!$F34,0)</f>
        <v>0</v>
      </c>
      <c r="AC163" s="76">
        <f>IF('Power Modes'!$W42&gt;0, 'Power Consumption'!$H34,0)</f>
        <v>0</v>
      </c>
      <c r="AD163" s="76">
        <f>IF('Power Modes'!$W42&gt;0, 'Power Consumption'!$J34,0)</f>
        <v>0</v>
      </c>
    </row>
    <row r="164" spans="1:30" s="64" customFormat="1" hidden="1" outlineLevel="1" x14ac:dyDescent="0.25">
      <c r="A164" s="131" t="str">
        <f t="shared" si="0"/>
        <v>Consumer #31</v>
      </c>
      <c r="B164" s="137">
        <f>IF('Power Modes'!$C43&gt;0, 'Power Consumption'!$D35,0)</f>
        <v>0</v>
      </c>
      <c r="C164" s="76">
        <f>IF('Power Modes'!$C43&gt;0, 'Power Consumption'!$F35,0)</f>
        <v>0</v>
      </c>
      <c r="D164" s="76">
        <f>IF('Power Modes'!$C43&gt;0, 'Power Consumption'!$H35,0)</f>
        <v>0</v>
      </c>
      <c r="E164" s="138">
        <f>IF('Power Modes'!$C43&gt;0, 'Power Consumption'!$J35,0)</f>
        <v>0</v>
      </c>
      <c r="F164" s="147"/>
      <c r="G164" s="129">
        <f>IF('Power Modes'!$G43&gt;0, 'Power Consumption'!$D35,0)</f>
        <v>0</v>
      </c>
      <c r="H164" s="76">
        <f>IF('Power Modes'!$G43&gt;0, 'Power Consumption'!$F35,0)</f>
        <v>0</v>
      </c>
      <c r="I164" s="76">
        <f>IF('Power Modes'!$G43&gt;0, 'Power Consumption'!$H35,0)</f>
        <v>0</v>
      </c>
      <c r="J164" s="76">
        <f>IF('Power Modes'!$G43&gt;0, 'Power Consumption'!$J35,0)</f>
        <v>0</v>
      </c>
      <c r="K164" s="129"/>
      <c r="L164" s="129">
        <f>IF('Power Modes'!$K43&gt;0, 'Power Consumption'!$D35,0)</f>
        <v>0</v>
      </c>
      <c r="M164" s="76">
        <f>IF('Power Modes'!$K43&gt;0, 'Power Consumption'!$F35,0)</f>
        <v>0</v>
      </c>
      <c r="N164" s="76">
        <f>IF('Power Modes'!$K43&gt;0, 'Power Consumption'!$H35,0)</f>
        <v>0</v>
      </c>
      <c r="O164" s="76">
        <f>IF('Power Modes'!$K43&gt;0, 'Power Consumption'!$J35,0)</f>
        <v>0</v>
      </c>
      <c r="Q164" s="129">
        <f>IF('Power Modes'!$O43&gt;0, 'Power Consumption'!$D35,0)</f>
        <v>0</v>
      </c>
      <c r="R164" s="76">
        <f>IF('Power Modes'!$O43&gt;0, 'Power Consumption'!$F35,0)</f>
        <v>0</v>
      </c>
      <c r="S164" s="76">
        <f>IF('Power Modes'!$O43&gt;0, 'Power Consumption'!$H35,0)</f>
        <v>0</v>
      </c>
      <c r="T164" s="76">
        <f>IF('Power Modes'!$O43&gt;0, 'Power Consumption'!$J35,0)</f>
        <v>0</v>
      </c>
      <c r="V164" s="129">
        <f>IF('Power Modes'!$S43&gt;0, 'Power Consumption'!$D35,0)</f>
        <v>0</v>
      </c>
      <c r="W164" s="76">
        <f>IF('Power Modes'!$S43&gt;0, 'Power Consumption'!$F35,0)</f>
        <v>0</v>
      </c>
      <c r="X164" s="76">
        <f>IF('Power Modes'!$S43&gt;0, 'Power Consumption'!$H35,0)</f>
        <v>0</v>
      </c>
      <c r="Y164" s="76">
        <f>IF('Power Modes'!$S43&gt;0, 'Power Consumption'!$J35,0)</f>
        <v>0</v>
      </c>
      <c r="AA164" s="129">
        <f>IF('Power Modes'!$W43&gt;0, 'Power Consumption'!$D35,0)</f>
        <v>0</v>
      </c>
      <c r="AB164" s="76">
        <f>IF('Power Modes'!$W43&gt;0, 'Power Consumption'!$F35,0)</f>
        <v>0</v>
      </c>
      <c r="AC164" s="76">
        <f>IF('Power Modes'!$W43&gt;0, 'Power Consumption'!$H35,0)</f>
        <v>0</v>
      </c>
      <c r="AD164" s="76">
        <f>IF('Power Modes'!$W43&gt;0, 'Power Consumption'!$J35,0)</f>
        <v>0</v>
      </c>
    </row>
    <row r="165" spans="1:30" s="64" customFormat="1" hidden="1" outlineLevel="1" x14ac:dyDescent="0.25">
      <c r="A165" s="131" t="str">
        <f t="shared" si="0"/>
        <v>Consumer #32</v>
      </c>
      <c r="B165" s="137">
        <f>IF('Power Modes'!$C44&gt;0, 'Power Consumption'!$D36,0)</f>
        <v>0</v>
      </c>
      <c r="C165" s="76">
        <f>IF('Power Modes'!$C44&gt;0, 'Power Consumption'!$F36,0)</f>
        <v>0</v>
      </c>
      <c r="D165" s="76">
        <f>IF('Power Modes'!$C44&gt;0, 'Power Consumption'!$H36,0)</f>
        <v>0</v>
      </c>
      <c r="E165" s="138">
        <f>IF('Power Modes'!$C44&gt;0, 'Power Consumption'!$J36,0)</f>
        <v>0</v>
      </c>
      <c r="F165" s="147"/>
      <c r="G165" s="129">
        <f>IF('Power Modes'!$G44&gt;0, 'Power Consumption'!$D36,0)</f>
        <v>0</v>
      </c>
      <c r="H165" s="76">
        <f>IF('Power Modes'!$G44&gt;0, 'Power Consumption'!$F36,0)</f>
        <v>0</v>
      </c>
      <c r="I165" s="76">
        <f>IF('Power Modes'!$G44&gt;0, 'Power Consumption'!$H36,0)</f>
        <v>0</v>
      </c>
      <c r="J165" s="76">
        <f>IF('Power Modes'!$G44&gt;0, 'Power Consumption'!$J36,0)</f>
        <v>0</v>
      </c>
      <c r="K165" s="129"/>
      <c r="L165" s="129">
        <f>IF('Power Modes'!$K44&gt;0, 'Power Consumption'!$D36,0)</f>
        <v>0</v>
      </c>
      <c r="M165" s="76">
        <f>IF('Power Modes'!$K44&gt;0, 'Power Consumption'!$F36,0)</f>
        <v>0</v>
      </c>
      <c r="N165" s="76">
        <f>IF('Power Modes'!$K44&gt;0, 'Power Consumption'!$H36,0)</f>
        <v>0</v>
      </c>
      <c r="O165" s="76">
        <f>IF('Power Modes'!$K44&gt;0, 'Power Consumption'!$J36,0)</f>
        <v>0</v>
      </c>
      <c r="Q165" s="129">
        <f>IF('Power Modes'!$O44&gt;0, 'Power Consumption'!$D36,0)</f>
        <v>0</v>
      </c>
      <c r="R165" s="76">
        <f>IF('Power Modes'!$O44&gt;0, 'Power Consumption'!$F36,0)</f>
        <v>0</v>
      </c>
      <c r="S165" s="76">
        <f>IF('Power Modes'!$O44&gt;0, 'Power Consumption'!$H36,0)</f>
        <v>0</v>
      </c>
      <c r="T165" s="76">
        <f>IF('Power Modes'!$O44&gt;0, 'Power Consumption'!$J36,0)</f>
        <v>0</v>
      </c>
      <c r="V165" s="129">
        <f>IF('Power Modes'!$S44&gt;0, 'Power Consumption'!$D36,0)</f>
        <v>0</v>
      </c>
      <c r="W165" s="76">
        <f>IF('Power Modes'!$S44&gt;0, 'Power Consumption'!$F36,0)</f>
        <v>0</v>
      </c>
      <c r="X165" s="76">
        <f>IF('Power Modes'!$S44&gt;0, 'Power Consumption'!$H36,0)</f>
        <v>0</v>
      </c>
      <c r="Y165" s="76">
        <f>IF('Power Modes'!$S44&gt;0, 'Power Consumption'!$J36,0)</f>
        <v>0</v>
      </c>
      <c r="AA165" s="129">
        <f>IF('Power Modes'!$W44&gt;0, 'Power Consumption'!$D36,0)</f>
        <v>0</v>
      </c>
      <c r="AB165" s="76">
        <f>IF('Power Modes'!$W44&gt;0, 'Power Consumption'!$F36,0)</f>
        <v>0</v>
      </c>
      <c r="AC165" s="76">
        <f>IF('Power Modes'!$W44&gt;0, 'Power Consumption'!$H36,0)</f>
        <v>0</v>
      </c>
      <c r="AD165" s="76">
        <f>IF('Power Modes'!$W44&gt;0, 'Power Consumption'!$J36,0)</f>
        <v>0</v>
      </c>
    </row>
    <row r="166" spans="1:30" s="64" customFormat="1" hidden="1" outlineLevel="1" x14ac:dyDescent="0.25">
      <c r="A166" s="131" t="str">
        <f t="shared" ref="A166:A197" si="1">A51</f>
        <v>Consumer #33</v>
      </c>
      <c r="B166" s="137">
        <f>IF('Power Modes'!$C45&gt;0, 'Power Consumption'!$D37,0)</f>
        <v>0</v>
      </c>
      <c r="C166" s="76">
        <f>IF('Power Modes'!$C45&gt;0, 'Power Consumption'!$F37,0)</f>
        <v>0</v>
      </c>
      <c r="D166" s="76">
        <f>IF('Power Modes'!$C45&gt;0, 'Power Consumption'!$H37,0)</f>
        <v>0</v>
      </c>
      <c r="E166" s="138">
        <f>IF('Power Modes'!$C45&gt;0, 'Power Consumption'!$J37,0)</f>
        <v>0</v>
      </c>
      <c r="F166" s="147"/>
      <c r="G166" s="129">
        <f>IF('Power Modes'!$G45&gt;0, 'Power Consumption'!$D37,0)</f>
        <v>0</v>
      </c>
      <c r="H166" s="76">
        <f>IF('Power Modes'!$G45&gt;0, 'Power Consumption'!$F37,0)</f>
        <v>0</v>
      </c>
      <c r="I166" s="76">
        <f>IF('Power Modes'!$G45&gt;0, 'Power Consumption'!$H37,0)</f>
        <v>0</v>
      </c>
      <c r="J166" s="76">
        <f>IF('Power Modes'!$G45&gt;0, 'Power Consumption'!$J37,0)</f>
        <v>0</v>
      </c>
      <c r="K166" s="129"/>
      <c r="L166" s="129">
        <f>IF('Power Modes'!$K45&gt;0, 'Power Consumption'!$D37,0)</f>
        <v>0</v>
      </c>
      <c r="M166" s="76">
        <f>IF('Power Modes'!$K45&gt;0, 'Power Consumption'!$F37,0)</f>
        <v>0</v>
      </c>
      <c r="N166" s="76">
        <f>IF('Power Modes'!$K45&gt;0, 'Power Consumption'!$H37,0)</f>
        <v>0</v>
      </c>
      <c r="O166" s="76">
        <f>IF('Power Modes'!$K45&gt;0, 'Power Consumption'!$J37,0)</f>
        <v>0</v>
      </c>
      <c r="Q166" s="129">
        <f>IF('Power Modes'!$O45&gt;0, 'Power Consumption'!$D37,0)</f>
        <v>0</v>
      </c>
      <c r="R166" s="76">
        <f>IF('Power Modes'!$O45&gt;0, 'Power Consumption'!$F37,0)</f>
        <v>0</v>
      </c>
      <c r="S166" s="76">
        <f>IF('Power Modes'!$O45&gt;0, 'Power Consumption'!$H37,0)</f>
        <v>0</v>
      </c>
      <c r="T166" s="76">
        <f>IF('Power Modes'!$O45&gt;0, 'Power Consumption'!$J37,0)</f>
        <v>0</v>
      </c>
      <c r="V166" s="129">
        <f>IF('Power Modes'!$S45&gt;0, 'Power Consumption'!$D37,0)</f>
        <v>0</v>
      </c>
      <c r="W166" s="76">
        <f>IF('Power Modes'!$S45&gt;0, 'Power Consumption'!$F37,0)</f>
        <v>0</v>
      </c>
      <c r="X166" s="76">
        <f>IF('Power Modes'!$S45&gt;0, 'Power Consumption'!$H37,0)</f>
        <v>0</v>
      </c>
      <c r="Y166" s="76">
        <f>IF('Power Modes'!$S45&gt;0, 'Power Consumption'!$J37,0)</f>
        <v>0</v>
      </c>
      <c r="AA166" s="129">
        <f>IF('Power Modes'!$W45&gt;0, 'Power Consumption'!$D37,0)</f>
        <v>0</v>
      </c>
      <c r="AB166" s="76">
        <f>IF('Power Modes'!$W45&gt;0, 'Power Consumption'!$F37,0)</f>
        <v>0</v>
      </c>
      <c r="AC166" s="76">
        <f>IF('Power Modes'!$W45&gt;0, 'Power Consumption'!$H37,0)</f>
        <v>0</v>
      </c>
      <c r="AD166" s="76">
        <f>IF('Power Modes'!$W45&gt;0, 'Power Consumption'!$J37,0)</f>
        <v>0</v>
      </c>
    </row>
    <row r="167" spans="1:30" s="64" customFormat="1" hidden="1" outlineLevel="1" x14ac:dyDescent="0.25">
      <c r="A167" s="131" t="str">
        <f t="shared" si="1"/>
        <v>Consumer #34</v>
      </c>
      <c r="B167" s="137">
        <f>IF('Power Modes'!$C46&gt;0, 'Power Consumption'!$D38,0)</f>
        <v>0</v>
      </c>
      <c r="C167" s="76">
        <f>IF('Power Modes'!$C46&gt;0, 'Power Consumption'!$F38,0)</f>
        <v>0</v>
      </c>
      <c r="D167" s="76">
        <f>IF('Power Modes'!$C46&gt;0, 'Power Consumption'!$H38,0)</f>
        <v>0</v>
      </c>
      <c r="E167" s="138">
        <f>IF('Power Modes'!$C46&gt;0, 'Power Consumption'!$J38,0)</f>
        <v>0</v>
      </c>
      <c r="F167" s="147"/>
      <c r="G167" s="129">
        <f>IF('Power Modes'!$G46&gt;0, 'Power Consumption'!$D38,0)</f>
        <v>0</v>
      </c>
      <c r="H167" s="76">
        <f>IF('Power Modes'!$G46&gt;0, 'Power Consumption'!$F38,0)</f>
        <v>0</v>
      </c>
      <c r="I167" s="76">
        <f>IF('Power Modes'!$G46&gt;0, 'Power Consumption'!$H38,0)</f>
        <v>0</v>
      </c>
      <c r="J167" s="76">
        <f>IF('Power Modes'!$G46&gt;0, 'Power Consumption'!$J38,0)</f>
        <v>0</v>
      </c>
      <c r="K167" s="129"/>
      <c r="L167" s="129">
        <f>IF('Power Modes'!$K46&gt;0, 'Power Consumption'!$D38,0)</f>
        <v>0</v>
      </c>
      <c r="M167" s="76">
        <f>IF('Power Modes'!$K46&gt;0, 'Power Consumption'!$F38,0)</f>
        <v>0</v>
      </c>
      <c r="N167" s="76">
        <f>IF('Power Modes'!$K46&gt;0, 'Power Consumption'!$H38,0)</f>
        <v>0</v>
      </c>
      <c r="O167" s="76">
        <f>IF('Power Modes'!$K46&gt;0, 'Power Consumption'!$J38,0)</f>
        <v>0</v>
      </c>
      <c r="Q167" s="129">
        <f>IF('Power Modes'!$O46&gt;0, 'Power Consumption'!$D38,0)</f>
        <v>0</v>
      </c>
      <c r="R167" s="76">
        <f>IF('Power Modes'!$O46&gt;0, 'Power Consumption'!$F38,0)</f>
        <v>0</v>
      </c>
      <c r="S167" s="76">
        <f>IF('Power Modes'!$O46&gt;0, 'Power Consumption'!$H38,0)</f>
        <v>0</v>
      </c>
      <c r="T167" s="76">
        <f>IF('Power Modes'!$O46&gt;0, 'Power Consumption'!$J38,0)</f>
        <v>0</v>
      </c>
      <c r="V167" s="129">
        <f>IF('Power Modes'!$S46&gt;0, 'Power Consumption'!$D38,0)</f>
        <v>0</v>
      </c>
      <c r="W167" s="76">
        <f>IF('Power Modes'!$S46&gt;0, 'Power Consumption'!$F38,0)</f>
        <v>0</v>
      </c>
      <c r="X167" s="76">
        <f>IF('Power Modes'!$S46&gt;0, 'Power Consumption'!$H38,0)</f>
        <v>0</v>
      </c>
      <c r="Y167" s="76">
        <f>IF('Power Modes'!$S46&gt;0, 'Power Consumption'!$J38,0)</f>
        <v>0</v>
      </c>
      <c r="AA167" s="129">
        <f>IF('Power Modes'!$W46&gt;0, 'Power Consumption'!$D38,0)</f>
        <v>0</v>
      </c>
      <c r="AB167" s="76">
        <f>IF('Power Modes'!$W46&gt;0, 'Power Consumption'!$F38,0)</f>
        <v>0</v>
      </c>
      <c r="AC167" s="76">
        <f>IF('Power Modes'!$W46&gt;0, 'Power Consumption'!$H38,0)</f>
        <v>0</v>
      </c>
      <c r="AD167" s="76">
        <f>IF('Power Modes'!$W46&gt;0, 'Power Consumption'!$J38,0)</f>
        <v>0</v>
      </c>
    </row>
    <row r="168" spans="1:30" s="64" customFormat="1" hidden="1" outlineLevel="1" x14ac:dyDescent="0.25">
      <c r="A168" s="131" t="str">
        <f t="shared" si="1"/>
        <v>Consumer #35</v>
      </c>
      <c r="B168" s="137">
        <f>IF('Power Modes'!$C47&gt;0, 'Power Consumption'!$D39,0)</f>
        <v>0</v>
      </c>
      <c r="C168" s="76">
        <f>IF('Power Modes'!$C47&gt;0, 'Power Consumption'!$F39,0)</f>
        <v>0</v>
      </c>
      <c r="D168" s="76">
        <f>IF('Power Modes'!$C47&gt;0, 'Power Consumption'!$H39,0)</f>
        <v>0</v>
      </c>
      <c r="E168" s="138">
        <f>IF('Power Modes'!$C47&gt;0, 'Power Consumption'!$J39,0)</f>
        <v>0</v>
      </c>
      <c r="F168" s="147"/>
      <c r="G168" s="129">
        <f>IF('Power Modes'!$G47&gt;0, 'Power Consumption'!$D39,0)</f>
        <v>0</v>
      </c>
      <c r="H168" s="76">
        <f>IF('Power Modes'!$G47&gt;0, 'Power Consumption'!$F39,0)</f>
        <v>0</v>
      </c>
      <c r="I168" s="76">
        <f>IF('Power Modes'!$G47&gt;0, 'Power Consumption'!$H39,0)</f>
        <v>0</v>
      </c>
      <c r="J168" s="76">
        <f>IF('Power Modes'!$G47&gt;0, 'Power Consumption'!$J39,0)</f>
        <v>0</v>
      </c>
      <c r="K168" s="129"/>
      <c r="L168" s="129">
        <f>IF('Power Modes'!$K47&gt;0, 'Power Consumption'!$D39,0)</f>
        <v>0</v>
      </c>
      <c r="M168" s="76">
        <f>IF('Power Modes'!$K47&gt;0, 'Power Consumption'!$F39,0)</f>
        <v>0</v>
      </c>
      <c r="N168" s="76">
        <f>IF('Power Modes'!$K47&gt;0, 'Power Consumption'!$H39,0)</f>
        <v>0</v>
      </c>
      <c r="O168" s="76">
        <f>IF('Power Modes'!$K47&gt;0, 'Power Consumption'!$J39,0)</f>
        <v>0</v>
      </c>
      <c r="Q168" s="129">
        <f>IF('Power Modes'!$O47&gt;0, 'Power Consumption'!$D39,0)</f>
        <v>0</v>
      </c>
      <c r="R168" s="76">
        <f>IF('Power Modes'!$O47&gt;0, 'Power Consumption'!$F39,0)</f>
        <v>0</v>
      </c>
      <c r="S168" s="76">
        <f>IF('Power Modes'!$O47&gt;0, 'Power Consumption'!$H39,0)</f>
        <v>0</v>
      </c>
      <c r="T168" s="76">
        <f>IF('Power Modes'!$O47&gt;0, 'Power Consumption'!$J39,0)</f>
        <v>0</v>
      </c>
      <c r="V168" s="129">
        <f>IF('Power Modes'!$S47&gt;0, 'Power Consumption'!$D39,0)</f>
        <v>0</v>
      </c>
      <c r="W168" s="76">
        <f>IF('Power Modes'!$S47&gt;0, 'Power Consumption'!$F39,0)</f>
        <v>0</v>
      </c>
      <c r="X168" s="76">
        <f>IF('Power Modes'!$S47&gt;0, 'Power Consumption'!$H39,0)</f>
        <v>0</v>
      </c>
      <c r="Y168" s="76">
        <f>IF('Power Modes'!$S47&gt;0, 'Power Consumption'!$J39,0)</f>
        <v>0</v>
      </c>
      <c r="AA168" s="129">
        <f>IF('Power Modes'!$W47&gt;0, 'Power Consumption'!$D39,0)</f>
        <v>0</v>
      </c>
      <c r="AB168" s="76">
        <f>IF('Power Modes'!$W47&gt;0, 'Power Consumption'!$F39,0)</f>
        <v>0</v>
      </c>
      <c r="AC168" s="76">
        <f>IF('Power Modes'!$W47&gt;0, 'Power Consumption'!$H39,0)</f>
        <v>0</v>
      </c>
      <c r="AD168" s="76">
        <f>IF('Power Modes'!$W47&gt;0, 'Power Consumption'!$J39,0)</f>
        <v>0</v>
      </c>
    </row>
    <row r="169" spans="1:30" s="64" customFormat="1" hidden="1" outlineLevel="1" x14ac:dyDescent="0.25">
      <c r="A169" s="131" t="str">
        <f t="shared" si="1"/>
        <v>Consumer #36</v>
      </c>
      <c r="B169" s="137">
        <f>IF('Power Modes'!$C48&gt;0, 'Power Consumption'!$D40,0)</f>
        <v>0</v>
      </c>
      <c r="C169" s="76">
        <f>IF('Power Modes'!$C48&gt;0, 'Power Consumption'!$F40,0)</f>
        <v>0</v>
      </c>
      <c r="D169" s="76">
        <f>IF('Power Modes'!$C48&gt;0, 'Power Consumption'!$H40,0)</f>
        <v>0</v>
      </c>
      <c r="E169" s="138">
        <f>IF('Power Modes'!$C48&gt;0, 'Power Consumption'!$J40,0)</f>
        <v>0</v>
      </c>
      <c r="F169" s="147"/>
      <c r="G169" s="129">
        <f>IF('Power Modes'!$G48&gt;0, 'Power Consumption'!$D40,0)</f>
        <v>0</v>
      </c>
      <c r="H169" s="76">
        <f>IF('Power Modes'!$G48&gt;0, 'Power Consumption'!$F40,0)</f>
        <v>0</v>
      </c>
      <c r="I169" s="76">
        <f>IF('Power Modes'!$G48&gt;0, 'Power Consumption'!$H40,0)</f>
        <v>0</v>
      </c>
      <c r="J169" s="76">
        <f>IF('Power Modes'!$G48&gt;0, 'Power Consumption'!$J40,0)</f>
        <v>0</v>
      </c>
      <c r="K169" s="129"/>
      <c r="L169" s="129">
        <f>IF('Power Modes'!$K48&gt;0, 'Power Consumption'!$D40,0)</f>
        <v>0</v>
      </c>
      <c r="M169" s="76">
        <f>IF('Power Modes'!$K48&gt;0, 'Power Consumption'!$F40,0)</f>
        <v>0</v>
      </c>
      <c r="N169" s="76">
        <f>IF('Power Modes'!$K48&gt;0, 'Power Consumption'!$H40,0)</f>
        <v>0</v>
      </c>
      <c r="O169" s="76">
        <f>IF('Power Modes'!$K48&gt;0, 'Power Consumption'!$J40,0)</f>
        <v>0</v>
      </c>
      <c r="Q169" s="129">
        <f>IF('Power Modes'!$O48&gt;0, 'Power Consumption'!$D40,0)</f>
        <v>0</v>
      </c>
      <c r="R169" s="76">
        <f>IF('Power Modes'!$O48&gt;0, 'Power Consumption'!$F40,0)</f>
        <v>0</v>
      </c>
      <c r="S169" s="76">
        <f>IF('Power Modes'!$O48&gt;0, 'Power Consumption'!$H40,0)</f>
        <v>0</v>
      </c>
      <c r="T169" s="76">
        <f>IF('Power Modes'!$O48&gt;0, 'Power Consumption'!$J40,0)</f>
        <v>0</v>
      </c>
      <c r="V169" s="129">
        <f>IF('Power Modes'!$S48&gt;0, 'Power Consumption'!$D40,0)</f>
        <v>0</v>
      </c>
      <c r="W169" s="76">
        <f>IF('Power Modes'!$S48&gt;0, 'Power Consumption'!$F40,0)</f>
        <v>0</v>
      </c>
      <c r="X169" s="76">
        <f>IF('Power Modes'!$S48&gt;0, 'Power Consumption'!$H40,0)</f>
        <v>0</v>
      </c>
      <c r="Y169" s="76">
        <f>IF('Power Modes'!$S48&gt;0, 'Power Consumption'!$J40,0)</f>
        <v>0</v>
      </c>
      <c r="AA169" s="129">
        <f>IF('Power Modes'!$W48&gt;0, 'Power Consumption'!$D40,0)</f>
        <v>0</v>
      </c>
      <c r="AB169" s="76">
        <f>IF('Power Modes'!$W48&gt;0, 'Power Consumption'!$F40,0)</f>
        <v>0</v>
      </c>
      <c r="AC169" s="76">
        <f>IF('Power Modes'!$W48&gt;0, 'Power Consumption'!$H40,0)</f>
        <v>0</v>
      </c>
      <c r="AD169" s="76">
        <f>IF('Power Modes'!$W48&gt;0, 'Power Consumption'!$J40,0)</f>
        <v>0</v>
      </c>
    </row>
    <row r="170" spans="1:30" s="64" customFormat="1" hidden="1" outlineLevel="1" x14ac:dyDescent="0.25">
      <c r="A170" s="131" t="str">
        <f t="shared" si="1"/>
        <v>Consumer #37</v>
      </c>
      <c r="B170" s="137">
        <f>IF('Power Modes'!$C49&gt;0, 'Power Consumption'!$D41,0)</f>
        <v>0</v>
      </c>
      <c r="C170" s="76">
        <f>IF('Power Modes'!$C49&gt;0, 'Power Consumption'!$F41,0)</f>
        <v>0</v>
      </c>
      <c r="D170" s="76">
        <f>IF('Power Modes'!$C49&gt;0, 'Power Consumption'!$H41,0)</f>
        <v>0</v>
      </c>
      <c r="E170" s="138">
        <f>IF('Power Modes'!$C49&gt;0, 'Power Consumption'!$J41,0)</f>
        <v>0</v>
      </c>
      <c r="F170" s="147"/>
      <c r="G170" s="129">
        <f>IF('Power Modes'!$G49&gt;0, 'Power Consumption'!$D41,0)</f>
        <v>0</v>
      </c>
      <c r="H170" s="76">
        <f>IF('Power Modes'!$G49&gt;0, 'Power Consumption'!$F41,0)</f>
        <v>0</v>
      </c>
      <c r="I170" s="76">
        <f>IF('Power Modes'!$G49&gt;0, 'Power Consumption'!$H41,0)</f>
        <v>0</v>
      </c>
      <c r="J170" s="76">
        <f>IF('Power Modes'!$G49&gt;0, 'Power Consumption'!$J41,0)</f>
        <v>0</v>
      </c>
      <c r="K170" s="129"/>
      <c r="L170" s="129">
        <f>IF('Power Modes'!$K49&gt;0, 'Power Consumption'!$D41,0)</f>
        <v>0</v>
      </c>
      <c r="M170" s="76">
        <f>IF('Power Modes'!$K49&gt;0, 'Power Consumption'!$F41,0)</f>
        <v>0</v>
      </c>
      <c r="N170" s="76">
        <f>IF('Power Modes'!$K49&gt;0, 'Power Consumption'!$H41,0)</f>
        <v>0</v>
      </c>
      <c r="O170" s="76">
        <f>IF('Power Modes'!$K49&gt;0, 'Power Consumption'!$J41,0)</f>
        <v>0</v>
      </c>
      <c r="Q170" s="129">
        <f>IF('Power Modes'!$O49&gt;0, 'Power Consumption'!$D41,0)</f>
        <v>0</v>
      </c>
      <c r="R170" s="76">
        <f>IF('Power Modes'!$O49&gt;0, 'Power Consumption'!$F41,0)</f>
        <v>0</v>
      </c>
      <c r="S170" s="76">
        <f>IF('Power Modes'!$O49&gt;0, 'Power Consumption'!$H41,0)</f>
        <v>0</v>
      </c>
      <c r="T170" s="76">
        <f>IF('Power Modes'!$O49&gt;0, 'Power Consumption'!$J41,0)</f>
        <v>0</v>
      </c>
      <c r="V170" s="129">
        <f>IF('Power Modes'!$S49&gt;0, 'Power Consumption'!$D41,0)</f>
        <v>0</v>
      </c>
      <c r="W170" s="76">
        <f>IF('Power Modes'!$S49&gt;0, 'Power Consumption'!$F41,0)</f>
        <v>0</v>
      </c>
      <c r="X170" s="76">
        <f>IF('Power Modes'!$S49&gt;0, 'Power Consumption'!$H41,0)</f>
        <v>0</v>
      </c>
      <c r="Y170" s="76">
        <f>IF('Power Modes'!$S49&gt;0, 'Power Consumption'!$J41,0)</f>
        <v>0</v>
      </c>
      <c r="AA170" s="129">
        <f>IF('Power Modes'!$W49&gt;0, 'Power Consumption'!$D41,0)</f>
        <v>0</v>
      </c>
      <c r="AB170" s="76">
        <f>IF('Power Modes'!$W49&gt;0, 'Power Consumption'!$F41,0)</f>
        <v>0</v>
      </c>
      <c r="AC170" s="76">
        <f>IF('Power Modes'!$W49&gt;0, 'Power Consumption'!$H41,0)</f>
        <v>0</v>
      </c>
      <c r="AD170" s="76">
        <f>IF('Power Modes'!$W49&gt;0, 'Power Consumption'!$J41,0)</f>
        <v>0</v>
      </c>
    </row>
    <row r="171" spans="1:30" s="64" customFormat="1" hidden="1" outlineLevel="1" x14ac:dyDescent="0.25">
      <c r="A171" s="131" t="str">
        <f t="shared" si="1"/>
        <v>Consumer #38</v>
      </c>
      <c r="B171" s="137">
        <f>IF('Power Modes'!$C50&gt;0, 'Power Consumption'!$D42,0)</f>
        <v>0</v>
      </c>
      <c r="C171" s="76">
        <f>IF('Power Modes'!$C50&gt;0, 'Power Consumption'!$F42,0)</f>
        <v>0</v>
      </c>
      <c r="D171" s="76">
        <f>IF('Power Modes'!$C50&gt;0, 'Power Consumption'!$H42,0)</f>
        <v>0</v>
      </c>
      <c r="E171" s="138">
        <f>IF('Power Modes'!$C50&gt;0, 'Power Consumption'!$J42,0)</f>
        <v>0</v>
      </c>
      <c r="F171" s="147"/>
      <c r="G171" s="129">
        <f>IF('Power Modes'!$G50&gt;0, 'Power Consumption'!$D42,0)</f>
        <v>0</v>
      </c>
      <c r="H171" s="76">
        <f>IF('Power Modes'!$G50&gt;0, 'Power Consumption'!$F42,0)</f>
        <v>0</v>
      </c>
      <c r="I171" s="76">
        <f>IF('Power Modes'!$G50&gt;0, 'Power Consumption'!$H42,0)</f>
        <v>0</v>
      </c>
      <c r="J171" s="76">
        <f>IF('Power Modes'!$G50&gt;0, 'Power Consumption'!$J42,0)</f>
        <v>0</v>
      </c>
      <c r="K171" s="129"/>
      <c r="L171" s="129">
        <f>IF('Power Modes'!$K50&gt;0, 'Power Consumption'!$D42,0)</f>
        <v>0</v>
      </c>
      <c r="M171" s="76">
        <f>IF('Power Modes'!$K50&gt;0, 'Power Consumption'!$F42,0)</f>
        <v>0</v>
      </c>
      <c r="N171" s="76">
        <f>IF('Power Modes'!$K50&gt;0, 'Power Consumption'!$H42,0)</f>
        <v>0</v>
      </c>
      <c r="O171" s="76">
        <f>IF('Power Modes'!$K50&gt;0, 'Power Consumption'!$J42,0)</f>
        <v>0</v>
      </c>
      <c r="Q171" s="129">
        <f>IF('Power Modes'!$O50&gt;0, 'Power Consumption'!$D42,0)</f>
        <v>0</v>
      </c>
      <c r="R171" s="76">
        <f>IF('Power Modes'!$O50&gt;0, 'Power Consumption'!$F42,0)</f>
        <v>0</v>
      </c>
      <c r="S171" s="76">
        <f>IF('Power Modes'!$O50&gt;0, 'Power Consumption'!$H42,0)</f>
        <v>0</v>
      </c>
      <c r="T171" s="76">
        <f>IF('Power Modes'!$O50&gt;0, 'Power Consumption'!$J42,0)</f>
        <v>0</v>
      </c>
      <c r="V171" s="129">
        <f>IF('Power Modes'!$S50&gt;0, 'Power Consumption'!$D42,0)</f>
        <v>0</v>
      </c>
      <c r="W171" s="76">
        <f>IF('Power Modes'!$S50&gt;0, 'Power Consumption'!$F42,0)</f>
        <v>0</v>
      </c>
      <c r="X171" s="76">
        <f>IF('Power Modes'!$S50&gt;0, 'Power Consumption'!$H42,0)</f>
        <v>0</v>
      </c>
      <c r="Y171" s="76">
        <f>IF('Power Modes'!$S50&gt;0, 'Power Consumption'!$J42,0)</f>
        <v>0</v>
      </c>
      <c r="AA171" s="129">
        <f>IF('Power Modes'!$W50&gt;0, 'Power Consumption'!$D42,0)</f>
        <v>0</v>
      </c>
      <c r="AB171" s="76">
        <f>IF('Power Modes'!$W50&gt;0, 'Power Consumption'!$F42,0)</f>
        <v>0</v>
      </c>
      <c r="AC171" s="76">
        <f>IF('Power Modes'!$W50&gt;0, 'Power Consumption'!$H42,0)</f>
        <v>0</v>
      </c>
      <c r="AD171" s="76">
        <f>IF('Power Modes'!$W50&gt;0, 'Power Consumption'!$J42,0)</f>
        <v>0</v>
      </c>
    </row>
    <row r="172" spans="1:30" s="64" customFormat="1" hidden="1" outlineLevel="1" x14ac:dyDescent="0.25">
      <c r="A172" s="131" t="str">
        <f t="shared" si="1"/>
        <v>Consumer #39</v>
      </c>
      <c r="B172" s="137">
        <f>IF('Power Modes'!$C51&gt;0, 'Power Consumption'!$D43,0)</f>
        <v>0</v>
      </c>
      <c r="C172" s="76">
        <f>IF('Power Modes'!$C51&gt;0, 'Power Consumption'!$F43,0)</f>
        <v>0</v>
      </c>
      <c r="D172" s="76">
        <f>IF('Power Modes'!$C51&gt;0, 'Power Consumption'!$H43,0)</f>
        <v>0</v>
      </c>
      <c r="E172" s="138">
        <f>IF('Power Modes'!$C51&gt;0, 'Power Consumption'!$J43,0)</f>
        <v>0</v>
      </c>
      <c r="F172" s="147"/>
      <c r="G172" s="129">
        <f>IF('Power Modes'!$G51&gt;0, 'Power Consumption'!$D43,0)</f>
        <v>0</v>
      </c>
      <c r="H172" s="76">
        <f>IF('Power Modes'!$G51&gt;0, 'Power Consumption'!$F43,0)</f>
        <v>0</v>
      </c>
      <c r="I172" s="76">
        <f>IF('Power Modes'!$G51&gt;0, 'Power Consumption'!$H43,0)</f>
        <v>0</v>
      </c>
      <c r="J172" s="76">
        <f>IF('Power Modes'!$G51&gt;0, 'Power Consumption'!$J43,0)</f>
        <v>0</v>
      </c>
      <c r="K172" s="129"/>
      <c r="L172" s="129">
        <f>IF('Power Modes'!$K51&gt;0, 'Power Consumption'!$D43,0)</f>
        <v>0</v>
      </c>
      <c r="M172" s="76">
        <f>IF('Power Modes'!$K51&gt;0, 'Power Consumption'!$F43,0)</f>
        <v>0</v>
      </c>
      <c r="N172" s="76">
        <f>IF('Power Modes'!$K51&gt;0, 'Power Consumption'!$H43,0)</f>
        <v>0</v>
      </c>
      <c r="O172" s="76">
        <f>IF('Power Modes'!$K51&gt;0, 'Power Consumption'!$J43,0)</f>
        <v>0</v>
      </c>
      <c r="Q172" s="129">
        <f>IF('Power Modes'!$O51&gt;0, 'Power Consumption'!$D43,0)</f>
        <v>0</v>
      </c>
      <c r="R172" s="76">
        <f>IF('Power Modes'!$O51&gt;0, 'Power Consumption'!$F43,0)</f>
        <v>0</v>
      </c>
      <c r="S172" s="76">
        <f>IF('Power Modes'!$O51&gt;0, 'Power Consumption'!$H43,0)</f>
        <v>0</v>
      </c>
      <c r="T172" s="76">
        <f>IF('Power Modes'!$O51&gt;0, 'Power Consumption'!$J43,0)</f>
        <v>0</v>
      </c>
      <c r="V172" s="129">
        <f>IF('Power Modes'!$S51&gt;0, 'Power Consumption'!$D43,0)</f>
        <v>0</v>
      </c>
      <c r="W172" s="76">
        <f>IF('Power Modes'!$S51&gt;0, 'Power Consumption'!$F43,0)</f>
        <v>0</v>
      </c>
      <c r="X172" s="76">
        <f>IF('Power Modes'!$S51&gt;0, 'Power Consumption'!$H43,0)</f>
        <v>0</v>
      </c>
      <c r="Y172" s="76">
        <f>IF('Power Modes'!$S51&gt;0, 'Power Consumption'!$J43,0)</f>
        <v>0</v>
      </c>
      <c r="AA172" s="129">
        <f>IF('Power Modes'!$W51&gt;0, 'Power Consumption'!$D43,0)</f>
        <v>0</v>
      </c>
      <c r="AB172" s="76">
        <f>IF('Power Modes'!$W51&gt;0, 'Power Consumption'!$F43,0)</f>
        <v>0</v>
      </c>
      <c r="AC172" s="76">
        <f>IF('Power Modes'!$W51&gt;0, 'Power Consumption'!$H43,0)</f>
        <v>0</v>
      </c>
      <c r="AD172" s="76">
        <f>IF('Power Modes'!$W51&gt;0, 'Power Consumption'!$J43,0)</f>
        <v>0</v>
      </c>
    </row>
    <row r="173" spans="1:30" s="64" customFormat="1" hidden="1" outlineLevel="1" x14ac:dyDescent="0.25">
      <c r="A173" s="131" t="str">
        <f t="shared" si="1"/>
        <v>Consumer #40</v>
      </c>
      <c r="B173" s="137">
        <f>IF('Power Modes'!$C52&gt;0, 'Power Consumption'!$D44,0)</f>
        <v>0</v>
      </c>
      <c r="C173" s="76">
        <f>IF('Power Modes'!$C52&gt;0, 'Power Consumption'!$F44,0)</f>
        <v>0</v>
      </c>
      <c r="D173" s="76">
        <f>IF('Power Modes'!$C52&gt;0, 'Power Consumption'!$H44,0)</f>
        <v>0</v>
      </c>
      <c r="E173" s="138">
        <f>IF('Power Modes'!$C52&gt;0, 'Power Consumption'!$J44,0)</f>
        <v>0</v>
      </c>
      <c r="F173" s="147"/>
      <c r="G173" s="129">
        <f>IF('Power Modes'!$G52&gt;0, 'Power Consumption'!$D44,0)</f>
        <v>0</v>
      </c>
      <c r="H173" s="76">
        <f>IF('Power Modes'!$G52&gt;0, 'Power Consumption'!$F44,0)</f>
        <v>0</v>
      </c>
      <c r="I173" s="76">
        <f>IF('Power Modes'!$G52&gt;0, 'Power Consumption'!$H44,0)</f>
        <v>0</v>
      </c>
      <c r="J173" s="76">
        <f>IF('Power Modes'!$G52&gt;0, 'Power Consumption'!$J44,0)</f>
        <v>0</v>
      </c>
      <c r="K173" s="129"/>
      <c r="L173" s="129">
        <f>IF('Power Modes'!$K52&gt;0, 'Power Consumption'!$D44,0)</f>
        <v>0</v>
      </c>
      <c r="M173" s="76">
        <f>IF('Power Modes'!$K52&gt;0, 'Power Consumption'!$F44,0)</f>
        <v>0</v>
      </c>
      <c r="N173" s="76">
        <f>IF('Power Modes'!$K52&gt;0, 'Power Consumption'!$H44,0)</f>
        <v>0</v>
      </c>
      <c r="O173" s="76">
        <f>IF('Power Modes'!$K52&gt;0, 'Power Consumption'!$J44,0)</f>
        <v>0</v>
      </c>
      <c r="Q173" s="129">
        <f>IF('Power Modes'!$O52&gt;0, 'Power Consumption'!$D44,0)</f>
        <v>0</v>
      </c>
      <c r="R173" s="76">
        <f>IF('Power Modes'!$O52&gt;0, 'Power Consumption'!$F44,0)</f>
        <v>0</v>
      </c>
      <c r="S173" s="76">
        <f>IF('Power Modes'!$O52&gt;0, 'Power Consumption'!$H44,0)</f>
        <v>0</v>
      </c>
      <c r="T173" s="76">
        <f>IF('Power Modes'!$O52&gt;0, 'Power Consumption'!$J44,0)</f>
        <v>0</v>
      </c>
      <c r="V173" s="129">
        <f>IF('Power Modes'!$S52&gt;0, 'Power Consumption'!$D44,0)</f>
        <v>0</v>
      </c>
      <c r="W173" s="76">
        <f>IF('Power Modes'!$S52&gt;0, 'Power Consumption'!$F44,0)</f>
        <v>0</v>
      </c>
      <c r="X173" s="76">
        <f>IF('Power Modes'!$S52&gt;0, 'Power Consumption'!$H44,0)</f>
        <v>0</v>
      </c>
      <c r="Y173" s="76">
        <f>IF('Power Modes'!$S52&gt;0, 'Power Consumption'!$J44,0)</f>
        <v>0</v>
      </c>
      <c r="AA173" s="129">
        <f>IF('Power Modes'!$W52&gt;0, 'Power Consumption'!$D44,0)</f>
        <v>0</v>
      </c>
      <c r="AB173" s="76">
        <f>IF('Power Modes'!$W52&gt;0, 'Power Consumption'!$F44,0)</f>
        <v>0</v>
      </c>
      <c r="AC173" s="76">
        <f>IF('Power Modes'!$W52&gt;0, 'Power Consumption'!$H44,0)</f>
        <v>0</v>
      </c>
      <c r="AD173" s="76">
        <f>IF('Power Modes'!$W52&gt;0, 'Power Consumption'!$J44,0)</f>
        <v>0</v>
      </c>
    </row>
    <row r="174" spans="1:30" s="64" customFormat="1" hidden="1" outlineLevel="1" x14ac:dyDescent="0.25">
      <c r="A174" s="131" t="str">
        <f t="shared" si="1"/>
        <v>Consumer #41</v>
      </c>
      <c r="B174" s="137">
        <f>IF('Power Modes'!$C53&gt;0, 'Power Consumption'!$D45,0)</f>
        <v>0</v>
      </c>
      <c r="C174" s="76">
        <f>IF('Power Modes'!$C53&gt;0, 'Power Consumption'!$F45,0)</f>
        <v>0</v>
      </c>
      <c r="D174" s="76">
        <f>IF('Power Modes'!$C53&gt;0, 'Power Consumption'!$H45,0)</f>
        <v>0</v>
      </c>
      <c r="E174" s="138">
        <f>IF('Power Modes'!$C53&gt;0, 'Power Consumption'!$J45,0)</f>
        <v>0</v>
      </c>
      <c r="F174" s="147"/>
      <c r="G174" s="129">
        <f>IF('Power Modes'!$G53&gt;0, 'Power Consumption'!$D45,0)</f>
        <v>0</v>
      </c>
      <c r="H174" s="76">
        <f>IF('Power Modes'!$G53&gt;0, 'Power Consumption'!$F45,0)</f>
        <v>0</v>
      </c>
      <c r="I174" s="76">
        <f>IF('Power Modes'!$G53&gt;0, 'Power Consumption'!$H45,0)</f>
        <v>0</v>
      </c>
      <c r="J174" s="76">
        <f>IF('Power Modes'!$G53&gt;0, 'Power Consumption'!$J45,0)</f>
        <v>0</v>
      </c>
      <c r="K174" s="129"/>
      <c r="L174" s="129">
        <f>IF('Power Modes'!$K53&gt;0, 'Power Consumption'!$D45,0)</f>
        <v>0</v>
      </c>
      <c r="M174" s="76">
        <f>IF('Power Modes'!$K53&gt;0, 'Power Consumption'!$F45,0)</f>
        <v>0</v>
      </c>
      <c r="N174" s="76">
        <f>IF('Power Modes'!$K53&gt;0, 'Power Consumption'!$H45,0)</f>
        <v>0</v>
      </c>
      <c r="O174" s="76">
        <f>IF('Power Modes'!$K53&gt;0, 'Power Consumption'!$J45,0)</f>
        <v>0</v>
      </c>
      <c r="Q174" s="129">
        <f>IF('Power Modes'!$O53&gt;0, 'Power Consumption'!$D45,0)</f>
        <v>0</v>
      </c>
      <c r="R174" s="76">
        <f>IF('Power Modes'!$O53&gt;0, 'Power Consumption'!$F45,0)</f>
        <v>0</v>
      </c>
      <c r="S174" s="76">
        <f>IF('Power Modes'!$O53&gt;0, 'Power Consumption'!$H45,0)</f>
        <v>0</v>
      </c>
      <c r="T174" s="76">
        <f>IF('Power Modes'!$O53&gt;0, 'Power Consumption'!$J45,0)</f>
        <v>0</v>
      </c>
      <c r="V174" s="129">
        <f>IF('Power Modes'!$S53&gt;0, 'Power Consumption'!$D45,0)</f>
        <v>0</v>
      </c>
      <c r="W174" s="76">
        <f>IF('Power Modes'!$S53&gt;0, 'Power Consumption'!$F45,0)</f>
        <v>0</v>
      </c>
      <c r="X174" s="76">
        <f>IF('Power Modes'!$S53&gt;0, 'Power Consumption'!$H45,0)</f>
        <v>0</v>
      </c>
      <c r="Y174" s="76">
        <f>IF('Power Modes'!$S53&gt;0, 'Power Consumption'!$J45,0)</f>
        <v>0</v>
      </c>
      <c r="AA174" s="129">
        <f>IF('Power Modes'!$W53&gt;0, 'Power Consumption'!$D45,0)</f>
        <v>0</v>
      </c>
      <c r="AB174" s="76">
        <f>IF('Power Modes'!$W53&gt;0, 'Power Consumption'!$F45,0)</f>
        <v>0</v>
      </c>
      <c r="AC174" s="76">
        <f>IF('Power Modes'!$W53&gt;0, 'Power Consumption'!$H45,0)</f>
        <v>0</v>
      </c>
      <c r="AD174" s="76">
        <f>IF('Power Modes'!$W53&gt;0, 'Power Consumption'!$J45,0)</f>
        <v>0</v>
      </c>
    </row>
    <row r="175" spans="1:30" s="64" customFormat="1" hidden="1" outlineLevel="1" x14ac:dyDescent="0.25">
      <c r="A175" s="131" t="str">
        <f t="shared" si="1"/>
        <v>Consumer #42</v>
      </c>
      <c r="B175" s="137">
        <f>IF('Power Modes'!$C54&gt;0, 'Power Consumption'!$D46,0)</f>
        <v>0</v>
      </c>
      <c r="C175" s="76">
        <f>IF('Power Modes'!$C54&gt;0, 'Power Consumption'!$F46,0)</f>
        <v>0</v>
      </c>
      <c r="D175" s="76">
        <f>IF('Power Modes'!$C54&gt;0, 'Power Consumption'!$H46,0)</f>
        <v>0</v>
      </c>
      <c r="E175" s="138">
        <f>IF('Power Modes'!$C54&gt;0, 'Power Consumption'!$J46,0)</f>
        <v>0</v>
      </c>
      <c r="F175" s="147"/>
      <c r="G175" s="129">
        <f>IF('Power Modes'!$G54&gt;0, 'Power Consumption'!$D46,0)</f>
        <v>0</v>
      </c>
      <c r="H175" s="76">
        <f>IF('Power Modes'!$G54&gt;0, 'Power Consumption'!$F46,0)</f>
        <v>0</v>
      </c>
      <c r="I175" s="76">
        <f>IF('Power Modes'!$G54&gt;0, 'Power Consumption'!$H46,0)</f>
        <v>0</v>
      </c>
      <c r="J175" s="76">
        <f>IF('Power Modes'!$G54&gt;0, 'Power Consumption'!$J46,0)</f>
        <v>0</v>
      </c>
      <c r="K175" s="129"/>
      <c r="L175" s="129">
        <f>IF('Power Modes'!$K54&gt;0, 'Power Consumption'!$D46,0)</f>
        <v>0</v>
      </c>
      <c r="M175" s="76">
        <f>IF('Power Modes'!$K54&gt;0, 'Power Consumption'!$F46,0)</f>
        <v>0</v>
      </c>
      <c r="N175" s="76">
        <f>IF('Power Modes'!$K54&gt;0, 'Power Consumption'!$H46,0)</f>
        <v>0</v>
      </c>
      <c r="O175" s="76">
        <f>IF('Power Modes'!$K54&gt;0, 'Power Consumption'!$J46,0)</f>
        <v>0</v>
      </c>
      <c r="Q175" s="129">
        <f>IF('Power Modes'!$O54&gt;0, 'Power Consumption'!$D46,0)</f>
        <v>0</v>
      </c>
      <c r="R175" s="76">
        <f>IF('Power Modes'!$O54&gt;0, 'Power Consumption'!$F46,0)</f>
        <v>0</v>
      </c>
      <c r="S175" s="76">
        <f>IF('Power Modes'!$O54&gt;0, 'Power Consumption'!$H46,0)</f>
        <v>0</v>
      </c>
      <c r="T175" s="76">
        <f>IF('Power Modes'!$O54&gt;0, 'Power Consumption'!$J46,0)</f>
        <v>0</v>
      </c>
      <c r="V175" s="129">
        <f>IF('Power Modes'!$S54&gt;0, 'Power Consumption'!$D46,0)</f>
        <v>0</v>
      </c>
      <c r="W175" s="76">
        <f>IF('Power Modes'!$S54&gt;0, 'Power Consumption'!$F46,0)</f>
        <v>0</v>
      </c>
      <c r="X175" s="76">
        <f>IF('Power Modes'!$S54&gt;0, 'Power Consumption'!$H46,0)</f>
        <v>0</v>
      </c>
      <c r="Y175" s="76">
        <f>IF('Power Modes'!$S54&gt;0, 'Power Consumption'!$J46,0)</f>
        <v>0</v>
      </c>
      <c r="AA175" s="129">
        <f>IF('Power Modes'!$W54&gt;0, 'Power Consumption'!$D46,0)</f>
        <v>0</v>
      </c>
      <c r="AB175" s="76">
        <f>IF('Power Modes'!$W54&gt;0, 'Power Consumption'!$F46,0)</f>
        <v>0</v>
      </c>
      <c r="AC175" s="76">
        <f>IF('Power Modes'!$W54&gt;0, 'Power Consumption'!$H46,0)</f>
        <v>0</v>
      </c>
      <c r="AD175" s="76">
        <f>IF('Power Modes'!$W54&gt;0, 'Power Consumption'!$J46,0)</f>
        <v>0</v>
      </c>
    </row>
    <row r="176" spans="1:30" s="64" customFormat="1" hidden="1" outlineLevel="1" x14ac:dyDescent="0.25">
      <c r="A176" s="131" t="str">
        <f t="shared" si="1"/>
        <v>Consumer #43</v>
      </c>
      <c r="B176" s="137">
        <f>IF('Power Modes'!$C55&gt;0, 'Power Consumption'!$D47,0)</f>
        <v>0</v>
      </c>
      <c r="C176" s="76">
        <f>IF('Power Modes'!$C55&gt;0, 'Power Consumption'!$F47,0)</f>
        <v>0</v>
      </c>
      <c r="D176" s="76">
        <f>IF('Power Modes'!$C55&gt;0, 'Power Consumption'!$H47,0)</f>
        <v>0</v>
      </c>
      <c r="E176" s="138">
        <f>IF('Power Modes'!$C55&gt;0, 'Power Consumption'!$J47,0)</f>
        <v>0</v>
      </c>
      <c r="F176" s="147"/>
      <c r="G176" s="129">
        <f>IF('Power Modes'!$G55&gt;0, 'Power Consumption'!$D47,0)</f>
        <v>0</v>
      </c>
      <c r="H176" s="76">
        <f>IF('Power Modes'!$G55&gt;0, 'Power Consumption'!$F47,0)</f>
        <v>0</v>
      </c>
      <c r="I176" s="76">
        <f>IF('Power Modes'!$G55&gt;0, 'Power Consumption'!$H47,0)</f>
        <v>0</v>
      </c>
      <c r="J176" s="76">
        <f>IF('Power Modes'!$G55&gt;0, 'Power Consumption'!$J47,0)</f>
        <v>0</v>
      </c>
      <c r="K176" s="129"/>
      <c r="L176" s="129">
        <f>IF('Power Modes'!$K55&gt;0, 'Power Consumption'!$D47,0)</f>
        <v>0</v>
      </c>
      <c r="M176" s="76">
        <f>IF('Power Modes'!$K55&gt;0, 'Power Consumption'!$F47,0)</f>
        <v>0</v>
      </c>
      <c r="N176" s="76">
        <f>IF('Power Modes'!$K55&gt;0, 'Power Consumption'!$H47,0)</f>
        <v>0</v>
      </c>
      <c r="O176" s="76">
        <f>IF('Power Modes'!$K55&gt;0, 'Power Consumption'!$J47,0)</f>
        <v>0</v>
      </c>
      <c r="Q176" s="129">
        <f>IF('Power Modes'!$O55&gt;0, 'Power Consumption'!$D47,0)</f>
        <v>0</v>
      </c>
      <c r="R176" s="76">
        <f>IF('Power Modes'!$O55&gt;0, 'Power Consumption'!$F47,0)</f>
        <v>0</v>
      </c>
      <c r="S176" s="76">
        <f>IF('Power Modes'!$O55&gt;0, 'Power Consumption'!$H47,0)</f>
        <v>0</v>
      </c>
      <c r="T176" s="76">
        <f>IF('Power Modes'!$O55&gt;0, 'Power Consumption'!$J47,0)</f>
        <v>0</v>
      </c>
      <c r="V176" s="129">
        <f>IF('Power Modes'!$S55&gt;0, 'Power Consumption'!$D47,0)</f>
        <v>0</v>
      </c>
      <c r="W176" s="76">
        <f>IF('Power Modes'!$S55&gt;0, 'Power Consumption'!$F47,0)</f>
        <v>0</v>
      </c>
      <c r="X176" s="76">
        <f>IF('Power Modes'!$S55&gt;0, 'Power Consumption'!$H47,0)</f>
        <v>0</v>
      </c>
      <c r="Y176" s="76">
        <f>IF('Power Modes'!$S55&gt;0, 'Power Consumption'!$J47,0)</f>
        <v>0</v>
      </c>
      <c r="AA176" s="129">
        <f>IF('Power Modes'!$W55&gt;0, 'Power Consumption'!$D47,0)</f>
        <v>0</v>
      </c>
      <c r="AB176" s="76">
        <f>IF('Power Modes'!$W55&gt;0, 'Power Consumption'!$F47,0)</f>
        <v>0</v>
      </c>
      <c r="AC176" s="76">
        <f>IF('Power Modes'!$W55&gt;0, 'Power Consumption'!$H47,0)</f>
        <v>0</v>
      </c>
      <c r="AD176" s="76">
        <f>IF('Power Modes'!$W55&gt;0, 'Power Consumption'!$J47,0)</f>
        <v>0</v>
      </c>
    </row>
    <row r="177" spans="1:30" s="64" customFormat="1" hidden="1" outlineLevel="1" x14ac:dyDescent="0.25">
      <c r="A177" s="131" t="str">
        <f t="shared" si="1"/>
        <v>Consumer #44</v>
      </c>
      <c r="B177" s="137">
        <f>IF('Power Modes'!$C56&gt;0, 'Power Consumption'!$D48,0)</f>
        <v>0</v>
      </c>
      <c r="C177" s="76">
        <f>IF('Power Modes'!$C56&gt;0, 'Power Consumption'!$F48,0)</f>
        <v>0</v>
      </c>
      <c r="D177" s="76">
        <f>IF('Power Modes'!$C56&gt;0, 'Power Consumption'!$H48,0)</f>
        <v>0</v>
      </c>
      <c r="E177" s="138">
        <f>IF('Power Modes'!$C56&gt;0, 'Power Consumption'!$J48,0)</f>
        <v>0</v>
      </c>
      <c r="F177" s="147"/>
      <c r="G177" s="129">
        <f>IF('Power Modes'!$G56&gt;0, 'Power Consumption'!$D48,0)</f>
        <v>0</v>
      </c>
      <c r="H177" s="76">
        <f>IF('Power Modes'!$G56&gt;0, 'Power Consumption'!$F48,0)</f>
        <v>0</v>
      </c>
      <c r="I177" s="76">
        <f>IF('Power Modes'!$G56&gt;0, 'Power Consumption'!$H48,0)</f>
        <v>0</v>
      </c>
      <c r="J177" s="76">
        <f>IF('Power Modes'!$G56&gt;0, 'Power Consumption'!$J48,0)</f>
        <v>0</v>
      </c>
      <c r="K177" s="129"/>
      <c r="L177" s="129">
        <f>IF('Power Modes'!$K56&gt;0, 'Power Consumption'!$D48,0)</f>
        <v>0</v>
      </c>
      <c r="M177" s="76">
        <f>IF('Power Modes'!$K56&gt;0, 'Power Consumption'!$F48,0)</f>
        <v>0</v>
      </c>
      <c r="N177" s="76">
        <f>IF('Power Modes'!$K56&gt;0, 'Power Consumption'!$H48,0)</f>
        <v>0</v>
      </c>
      <c r="O177" s="76">
        <f>IF('Power Modes'!$K56&gt;0, 'Power Consumption'!$J48,0)</f>
        <v>0</v>
      </c>
      <c r="Q177" s="129">
        <f>IF('Power Modes'!$O56&gt;0, 'Power Consumption'!$D48,0)</f>
        <v>0</v>
      </c>
      <c r="R177" s="76">
        <f>IF('Power Modes'!$O56&gt;0, 'Power Consumption'!$F48,0)</f>
        <v>0</v>
      </c>
      <c r="S177" s="76">
        <f>IF('Power Modes'!$O56&gt;0, 'Power Consumption'!$H48,0)</f>
        <v>0</v>
      </c>
      <c r="T177" s="76">
        <f>IF('Power Modes'!$O56&gt;0, 'Power Consumption'!$J48,0)</f>
        <v>0</v>
      </c>
      <c r="V177" s="129">
        <f>IF('Power Modes'!$S56&gt;0, 'Power Consumption'!$D48,0)</f>
        <v>0</v>
      </c>
      <c r="W177" s="76">
        <f>IF('Power Modes'!$S56&gt;0, 'Power Consumption'!$F48,0)</f>
        <v>0</v>
      </c>
      <c r="X177" s="76">
        <f>IF('Power Modes'!$S56&gt;0, 'Power Consumption'!$H48,0)</f>
        <v>0</v>
      </c>
      <c r="Y177" s="76">
        <f>IF('Power Modes'!$S56&gt;0, 'Power Consumption'!$J48,0)</f>
        <v>0</v>
      </c>
      <c r="AA177" s="129">
        <f>IF('Power Modes'!$W56&gt;0, 'Power Consumption'!$D48,0)</f>
        <v>0</v>
      </c>
      <c r="AB177" s="76">
        <f>IF('Power Modes'!$W56&gt;0, 'Power Consumption'!$F48,0)</f>
        <v>0</v>
      </c>
      <c r="AC177" s="76">
        <f>IF('Power Modes'!$W56&gt;0, 'Power Consumption'!$H48,0)</f>
        <v>0</v>
      </c>
      <c r="AD177" s="76">
        <f>IF('Power Modes'!$W56&gt;0, 'Power Consumption'!$J48,0)</f>
        <v>0</v>
      </c>
    </row>
    <row r="178" spans="1:30" s="64" customFormat="1" hidden="1" outlineLevel="1" x14ac:dyDescent="0.25">
      <c r="A178" s="131" t="str">
        <f t="shared" si="1"/>
        <v>Consumer #45</v>
      </c>
      <c r="B178" s="137">
        <f>IF('Power Modes'!$C57&gt;0, 'Power Consumption'!$D49,0)</f>
        <v>0</v>
      </c>
      <c r="C178" s="76">
        <f>IF('Power Modes'!$C57&gt;0, 'Power Consumption'!$F49,0)</f>
        <v>0</v>
      </c>
      <c r="D178" s="76">
        <f>IF('Power Modes'!$C57&gt;0, 'Power Consumption'!$H49,0)</f>
        <v>0</v>
      </c>
      <c r="E178" s="138">
        <f>IF('Power Modes'!$C57&gt;0, 'Power Consumption'!$J49,0)</f>
        <v>0</v>
      </c>
      <c r="F178" s="147"/>
      <c r="G178" s="129">
        <f>IF('Power Modes'!$G57&gt;0, 'Power Consumption'!$D49,0)</f>
        <v>0</v>
      </c>
      <c r="H178" s="76">
        <f>IF('Power Modes'!$G57&gt;0, 'Power Consumption'!$F49,0)</f>
        <v>0</v>
      </c>
      <c r="I178" s="76">
        <f>IF('Power Modes'!$G57&gt;0, 'Power Consumption'!$H49,0)</f>
        <v>0</v>
      </c>
      <c r="J178" s="76">
        <f>IF('Power Modes'!$G57&gt;0, 'Power Consumption'!$J49,0)</f>
        <v>0</v>
      </c>
      <c r="K178" s="129"/>
      <c r="L178" s="129">
        <f>IF('Power Modes'!$K57&gt;0, 'Power Consumption'!$D49,0)</f>
        <v>0</v>
      </c>
      <c r="M178" s="76">
        <f>IF('Power Modes'!$K57&gt;0, 'Power Consumption'!$F49,0)</f>
        <v>0</v>
      </c>
      <c r="N178" s="76">
        <f>IF('Power Modes'!$K57&gt;0, 'Power Consumption'!$H49,0)</f>
        <v>0</v>
      </c>
      <c r="O178" s="76">
        <f>IF('Power Modes'!$K57&gt;0, 'Power Consumption'!$J49,0)</f>
        <v>0</v>
      </c>
      <c r="Q178" s="129">
        <f>IF('Power Modes'!$O57&gt;0, 'Power Consumption'!$D49,0)</f>
        <v>0</v>
      </c>
      <c r="R178" s="76">
        <f>IF('Power Modes'!$O57&gt;0, 'Power Consumption'!$F49,0)</f>
        <v>0</v>
      </c>
      <c r="S178" s="76">
        <f>IF('Power Modes'!$O57&gt;0, 'Power Consumption'!$H49,0)</f>
        <v>0</v>
      </c>
      <c r="T178" s="76">
        <f>IF('Power Modes'!$O57&gt;0, 'Power Consumption'!$J49,0)</f>
        <v>0</v>
      </c>
      <c r="V178" s="129">
        <f>IF('Power Modes'!$S57&gt;0, 'Power Consumption'!$D49,0)</f>
        <v>0</v>
      </c>
      <c r="W178" s="76">
        <f>IF('Power Modes'!$S57&gt;0, 'Power Consumption'!$F49,0)</f>
        <v>0</v>
      </c>
      <c r="X178" s="76">
        <f>IF('Power Modes'!$S57&gt;0, 'Power Consumption'!$H49,0)</f>
        <v>0</v>
      </c>
      <c r="Y178" s="76">
        <f>IF('Power Modes'!$S57&gt;0, 'Power Consumption'!$J49,0)</f>
        <v>0</v>
      </c>
      <c r="AA178" s="129">
        <f>IF('Power Modes'!$W57&gt;0, 'Power Consumption'!$D49,0)</f>
        <v>0</v>
      </c>
      <c r="AB178" s="76">
        <f>IF('Power Modes'!$W57&gt;0, 'Power Consumption'!$F49,0)</f>
        <v>0</v>
      </c>
      <c r="AC178" s="76">
        <f>IF('Power Modes'!$W57&gt;0, 'Power Consumption'!$H49,0)</f>
        <v>0</v>
      </c>
      <c r="AD178" s="76">
        <f>IF('Power Modes'!$W57&gt;0, 'Power Consumption'!$J49,0)</f>
        <v>0</v>
      </c>
    </row>
    <row r="179" spans="1:30" s="64" customFormat="1" hidden="1" outlineLevel="1" x14ac:dyDescent="0.25">
      <c r="A179" s="131" t="str">
        <f t="shared" si="1"/>
        <v>Consumer #46</v>
      </c>
      <c r="B179" s="137">
        <f>IF('Power Modes'!$C58&gt;0, 'Power Consumption'!$D50,0)</f>
        <v>0</v>
      </c>
      <c r="C179" s="76">
        <f>IF('Power Modes'!$C58&gt;0, 'Power Consumption'!$F50,0)</f>
        <v>0</v>
      </c>
      <c r="D179" s="76">
        <f>IF('Power Modes'!$C58&gt;0, 'Power Consumption'!$H50,0)</f>
        <v>0</v>
      </c>
      <c r="E179" s="138">
        <f>IF('Power Modes'!$C58&gt;0, 'Power Consumption'!$J50,0)</f>
        <v>0</v>
      </c>
      <c r="F179" s="147"/>
      <c r="G179" s="129">
        <f>IF('Power Modes'!$G58&gt;0, 'Power Consumption'!$D50,0)</f>
        <v>0</v>
      </c>
      <c r="H179" s="76">
        <f>IF('Power Modes'!$G58&gt;0, 'Power Consumption'!$F50,0)</f>
        <v>0</v>
      </c>
      <c r="I179" s="76">
        <f>IF('Power Modes'!$G58&gt;0, 'Power Consumption'!$H50,0)</f>
        <v>0</v>
      </c>
      <c r="J179" s="76">
        <f>IF('Power Modes'!$G58&gt;0, 'Power Consumption'!$J50,0)</f>
        <v>0</v>
      </c>
      <c r="K179" s="129"/>
      <c r="L179" s="129">
        <f>IF('Power Modes'!$K58&gt;0, 'Power Consumption'!$D50,0)</f>
        <v>0</v>
      </c>
      <c r="M179" s="76">
        <f>IF('Power Modes'!$K58&gt;0, 'Power Consumption'!$F50,0)</f>
        <v>0</v>
      </c>
      <c r="N179" s="76">
        <f>IF('Power Modes'!$K58&gt;0, 'Power Consumption'!$H50,0)</f>
        <v>0</v>
      </c>
      <c r="O179" s="76">
        <f>IF('Power Modes'!$K58&gt;0, 'Power Consumption'!$J50,0)</f>
        <v>0</v>
      </c>
      <c r="Q179" s="129">
        <f>IF('Power Modes'!$O58&gt;0, 'Power Consumption'!$D50,0)</f>
        <v>0</v>
      </c>
      <c r="R179" s="76">
        <f>IF('Power Modes'!$O58&gt;0, 'Power Consumption'!$F50,0)</f>
        <v>0</v>
      </c>
      <c r="S179" s="76">
        <f>IF('Power Modes'!$O58&gt;0, 'Power Consumption'!$H50,0)</f>
        <v>0</v>
      </c>
      <c r="T179" s="76">
        <f>IF('Power Modes'!$O58&gt;0, 'Power Consumption'!$J50,0)</f>
        <v>0</v>
      </c>
      <c r="V179" s="129">
        <f>IF('Power Modes'!$S58&gt;0, 'Power Consumption'!$D50,0)</f>
        <v>0</v>
      </c>
      <c r="W179" s="76">
        <f>IF('Power Modes'!$S58&gt;0, 'Power Consumption'!$F50,0)</f>
        <v>0</v>
      </c>
      <c r="X179" s="76">
        <f>IF('Power Modes'!$S58&gt;0, 'Power Consumption'!$H50,0)</f>
        <v>0</v>
      </c>
      <c r="Y179" s="76">
        <f>IF('Power Modes'!$S58&gt;0, 'Power Consumption'!$J50,0)</f>
        <v>0</v>
      </c>
      <c r="AA179" s="129">
        <f>IF('Power Modes'!$W58&gt;0, 'Power Consumption'!$D50,0)</f>
        <v>0</v>
      </c>
      <c r="AB179" s="76">
        <f>IF('Power Modes'!$W58&gt;0, 'Power Consumption'!$F50,0)</f>
        <v>0</v>
      </c>
      <c r="AC179" s="76">
        <f>IF('Power Modes'!$W58&gt;0, 'Power Consumption'!$H50,0)</f>
        <v>0</v>
      </c>
      <c r="AD179" s="76">
        <f>IF('Power Modes'!$W58&gt;0, 'Power Consumption'!$J50,0)</f>
        <v>0</v>
      </c>
    </row>
    <row r="180" spans="1:30" s="64" customFormat="1" hidden="1" outlineLevel="1" x14ac:dyDescent="0.25">
      <c r="A180" s="131" t="str">
        <f t="shared" si="1"/>
        <v>Consumer #47</v>
      </c>
      <c r="B180" s="137">
        <f>IF('Power Modes'!$C59&gt;0, 'Power Consumption'!$D51,0)</f>
        <v>0</v>
      </c>
      <c r="C180" s="76">
        <f>IF('Power Modes'!$C59&gt;0, 'Power Consumption'!$F51,0)</f>
        <v>0</v>
      </c>
      <c r="D180" s="76">
        <f>IF('Power Modes'!$C59&gt;0, 'Power Consumption'!$H51,0)</f>
        <v>0</v>
      </c>
      <c r="E180" s="138">
        <f>IF('Power Modes'!$C59&gt;0, 'Power Consumption'!$J51,0)</f>
        <v>0</v>
      </c>
      <c r="F180" s="147"/>
      <c r="G180" s="129">
        <f>IF('Power Modes'!$G59&gt;0, 'Power Consumption'!$D51,0)</f>
        <v>0</v>
      </c>
      <c r="H180" s="76">
        <f>IF('Power Modes'!$G59&gt;0, 'Power Consumption'!$F51,0)</f>
        <v>0</v>
      </c>
      <c r="I180" s="76">
        <f>IF('Power Modes'!$G59&gt;0, 'Power Consumption'!$H51,0)</f>
        <v>0</v>
      </c>
      <c r="J180" s="76">
        <f>IF('Power Modes'!$G59&gt;0, 'Power Consumption'!$J51,0)</f>
        <v>0</v>
      </c>
      <c r="K180" s="129"/>
      <c r="L180" s="129">
        <f>IF('Power Modes'!$K59&gt;0, 'Power Consumption'!$D51,0)</f>
        <v>0</v>
      </c>
      <c r="M180" s="76">
        <f>IF('Power Modes'!$K59&gt;0, 'Power Consumption'!$F51,0)</f>
        <v>0</v>
      </c>
      <c r="N180" s="76">
        <f>IF('Power Modes'!$K59&gt;0, 'Power Consumption'!$H51,0)</f>
        <v>0</v>
      </c>
      <c r="O180" s="76">
        <f>IF('Power Modes'!$K59&gt;0, 'Power Consumption'!$J51,0)</f>
        <v>0</v>
      </c>
      <c r="Q180" s="129">
        <f>IF('Power Modes'!$O59&gt;0, 'Power Consumption'!$D51,0)</f>
        <v>0</v>
      </c>
      <c r="R180" s="76">
        <f>IF('Power Modes'!$O59&gt;0, 'Power Consumption'!$F51,0)</f>
        <v>0</v>
      </c>
      <c r="S180" s="76">
        <f>IF('Power Modes'!$O59&gt;0, 'Power Consumption'!$H51,0)</f>
        <v>0</v>
      </c>
      <c r="T180" s="76">
        <f>IF('Power Modes'!$O59&gt;0, 'Power Consumption'!$J51,0)</f>
        <v>0</v>
      </c>
      <c r="V180" s="129">
        <f>IF('Power Modes'!$S59&gt;0, 'Power Consumption'!$D51,0)</f>
        <v>0</v>
      </c>
      <c r="W180" s="76">
        <f>IF('Power Modes'!$S59&gt;0, 'Power Consumption'!$F51,0)</f>
        <v>0</v>
      </c>
      <c r="X180" s="76">
        <f>IF('Power Modes'!$S59&gt;0, 'Power Consumption'!$H51,0)</f>
        <v>0</v>
      </c>
      <c r="Y180" s="76">
        <f>IF('Power Modes'!$S59&gt;0, 'Power Consumption'!$J51,0)</f>
        <v>0</v>
      </c>
      <c r="AA180" s="129">
        <f>IF('Power Modes'!$W59&gt;0, 'Power Consumption'!$D51,0)</f>
        <v>0</v>
      </c>
      <c r="AB180" s="76">
        <f>IF('Power Modes'!$W59&gt;0, 'Power Consumption'!$F51,0)</f>
        <v>0</v>
      </c>
      <c r="AC180" s="76">
        <f>IF('Power Modes'!$W59&gt;0, 'Power Consumption'!$H51,0)</f>
        <v>0</v>
      </c>
      <c r="AD180" s="76">
        <f>IF('Power Modes'!$W59&gt;0, 'Power Consumption'!$J51,0)</f>
        <v>0</v>
      </c>
    </row>
    <row r="181" spans="1:30" s="64" customFormat="1" hidden="1" outlineLevel="1" x14ac:dyDescent="0.25">
      <c r="A181" s="131" t="str">
        <f t="shared" si="1"/>
        <v>Consumer #48</v>
      </c>
      <c r="B181" s="137">
        <f>IF('Power Modes'!$C60&gt;0, 'Power Consumption'!$D52,0)</f>
        <v>0</v>
      </c>
      <c r="C181" s="76">
        <f>IF('Power Modes'!$C60&gt;0, 'Power Consumption'!$F52,0)</f>
        <v>0</v>
      </c>
      <c r="D181" s="76">
        <f>IF('Power Modes'!$C60&gt;0, 'Power Consumption'!$H52,0)</f>
        <v>0</v>
      </c>
      <c r="E181" s="138">
        <f>IF('Power Modes'!$C60&gt;0, 'Power Consumption'!$J52,0)</f>
        <v>0</v>
      </c>
      <c r="F181" s="147"/>
      <c r="G181" s="129">
        <f>IF('Power Modes'!$G60&gt;0, 'Power Consumption'!$D52,0)</f>
        <v>0</v>
      </c>
      <c r="H181" s="76">
        <f>IF('Power Modes'!$G60&gt;0, 'Power Consumption'!$F52,0)</f>
        <v>0</v>
      </c>
      <c r="I181" s="76">
        <f>IF('Power Modes'!$G60&gt;0, 'Power Consumption'!$H52,0)</f>
        <v>0</v>
      </c>
      <c r="J181" s="76">
        <f>IF('Power Modes'!$G60&gt;0, 'Power Consumption'!$J52,0)</f>
        <v>0</v>
      </c>
      <c r="K181" s="129"/>
      <c r="L181" s="129">
        <f>IF('Power Modes'!$K60&gt;0, 'Power Consumption'!$D52,0)</f>
        <v>0</v>
      </c>
      <c r="M181" s="76">
        <f>IF('Power Modes'!$K60&gt;0, 'Power Consumption'!$F52,0)</f>
        <v>0</v>
      </c>
      <c r="N181" s="76">
        <f>IF('Power Modes'!$K60&gt;0, 'Power Consumption'!$H52,0)</f>
        <v>0</v>
      </c>
      <c r="O181" s="76">
        <f>IF('Power Modes'!$K60&gt;0, 'Power Consumption'!$J52,0)</f>
        <v>0</v>
      </c>
      <c r="Q181" s="129">
        <f>IF('Power Modes'!$O60&gt;0, 'Power Consumption'!$D52,0)</f>
        <v>0</v>
      </c>
      <c r="R181" s="76">
        <f>IF('Power Modes'!$O60&gt;0, 'Power Consumption'!$F52,0)</f>
        <v>0</v>
      </c>
      <c r="S181" s="76">
        <f>IF('Power Modes'!$O60&gt;0, 'Power Consumption'!$H52,0)</f>
        <v>0</v>
      </c>
      <c r="T181" s="76">
        <f>IF('Power Modes'!$O60&gt;0, 'Power Consumption'!$J52,0)</f>
        <v>0</v>
      </c>
      <c r="V181" s="129">
        <f>IF('Power Modes'!$S60&gt;0, 'Power Consumption'!$D52,0)</f>
        <v>0</v>
      </c>
      <c r="W181" s="76">
        <f>IF('Power Modes'!$S60&gt;0, 'Power Consumption'!$F52,0)</f>
        <v>0</v>
      </c>
      <c r="X181" s="76">
        <f>IF('Power Modes'!$S60&gt;0, 'Power Consumption'!$H52,0)</f>
        <v>0</v>
      </c>
      <c r="Y181" s="76">
        <f>IF('Power Modes'!$S60&gt;0, 'Power Consumption'!$J52,0)</f>
        <v>0</v>
      </c>
      <c r="AA181" s="129">
        <f>IF('Power Modes'!$W60&gt;0, 'Power Consumption'!$D52,0)</f>
        <v>0</v>
      </c>
      <c r="AB181" s="76">
        <f>IF('Power Modes'!$W60&gt;0, 'Power Consumption'!$F52,0)</f>
        <v>0</v>
      </c>
      <c r="AC181" s="76">
        <f>IF('Power Modes'!$W60&gt;0, 'Power Consumption'!$H52,0)</f>
        <v>0</v>
      </c>
      <c r="AD181" s="76">
        <f>IF('Power Modes'!$W60&gt;0, 'Power Consumption'!$J52,0)</f>
        <v>0</v>
      </c>
    </row>
    <row r="182" spans="1:30" s="64" customFormat="1" hidden="1" outlineLevel="1" x14ac:dyDescent="0.25">
      <c r="A182" s="131" t="str">
        <f t="shared" si="1"/>
        <v>Consumer #49</v>
      </c>
      <c r="B182" s="137">
        <f>IF('Power Modes'!$C61&gt;0, 'Power Consumption'!$D53,0)</f>
        <v>0</v>
      </c>
      <c r="C182" s="76">
        <f>IF('Power Modes'!$C61&gt;0, 'Power Consumption'!$F53,0)</f>
        <v>0</v>
      </c>
      <c r="D182" s="76">
        <f>IF('Power Modes'!$C61&gt;0, 'Power Consumption'!$H53,0)</f>
        <v>0</v>
      </c>
      <c r="E182" s="138">
        <f>IF('Power Modes'!$C61&gt;0, 'Power Consumption'!$J53,0)</f>
        <v>0</v>
      </c>
      <c r="F182" s="147"/>
      <c r="G182" s="129">
        <f>IF('Power Modes'!$G61&gt;0, 'Power Consumption'!$D53,0)</f>
        <v>0</v>
      </c>
      <c r="H182" s="76">
        <f>IF('Power Modes'!$G61&gt;0, 'Power Consumption'!$F53,0)</f>
        <v>0</v>
      </c>
      <c r="I182" s="76">
        <f>IF('Power Modes'!$G61&gt;0, 'Power Consumption'!$H53,0)</f>
        <v>0</v>
      </c>
      <c r="J182" s="76">
        <f>IF('Power Modes'!$G61&gt;0, 'Power Consumption'!$J53,0)</f>
        <v>0</v>
      </c>
      <c r="K182" s="129"/>
      <c r="L182" s="129">
        <f>IF('Power Modes'!$K61&gt;0, 'Power Consumption'!$D53,0)</f>
        <v>0</v>
      </c>
      <c r="M182" s="76">
        <f>IF('Power Modes'!$K61&gt;0, 'Power Consumption'!$F53,0)</f>
        <v>0</v>
      </c>
      <c r="N182" s="76">
        <f>IF('Power Modes'!$K61&gt;0, 'Power Consumption'!$H53,0)</f>
        <v>0</v>
      </c>
      <c r="O182" s="76">
        <f>IF('Power Modes'!$K61&gt;0, 'Power Consumption'!$J53,0)</f>
        <v>0</v>
      </c>
      <c r="Q182" s="129">
        <f>IF('Power Modes'!$O61&gt;0, 'Power Consumption'!$D53,0)</f>
        <v>0</v>
      </c>
      <c r="R182" s="76">
        <f>IF('Power Modes'!$O61&gt;0, 'Power Consumption'!$F53,0)</f>
        <v>0</v>
      </c>
      <c r="S182" s="76">
        <f>IF('Power Modes'!$O61&gt;0, 'Power Consumption'!$H53,0)</f>
        <v>0</v>
      </c>
      <c r="T182" s="76">
        <f>IF('Power Modes'!$O61&gt;0, 'Power Consumption'!$J53,0)</f>
        <v>0</v>
      </c>
      <c r="V182" s="129">
        <f>IF('Power Modes'!$S61&gt;0, 'Power Consumption'!$D53,0)</f>
        <v>0</v>
      </c>
      <c r="W182" s="76">
        <f>IF('Power Modes'!$S61&gt;0, 'Power Consumption'!$F53,0)</f>
        <v>0</v>
      </c>
      <c r="X182" s="76">
        <f>IF('Power Modes'!$S61&gt;0, 'Power Consumption'!$H53,0)</f>
        <v>0</v>
      </c>
      <c r="Y182" s="76">
        <f>IF('Power Modes'!$S61&gt;0, 'Power Consumption'!$J53,0)</f>
        <v>0</v>
      </c>
      <c r="AA182" s="129">
        <f>IF('Power Modes'!$W61&gt;0, 'Power Consumption'!$D53,0)</f>
        <v>0</v>
      </c>
      <c r="AB182" s="76">
        <f>IF('Power Modes'!$W61&gt;0, 'Power Consumption'!$F53,0)</f>
        <v>0</v>
      </c>
      <c r="AC182" s="76">
        <f>IF('Power Modes'!$W61&gt;0, 'Power Consumption'!$H53,0)</f>
        <v>0</v>
      </c>
      <c r="AD182" s="76">
        <f>IF('Power Modes'!$W61&gt;0, 'Power Consumption'!$J53,0)</f>
        <v>0</v>
      </c>
    </row>
    <row r="183" spans="1:30" s="64" customFormat="1" hidden="1" outlineLevel="1" x14ac:dyDescent="0.25">
      <c r="A183" s="131" t="str">
        <f t="shared" si="1"/>
        <v>Consumer #50</v>
      </c>
      <c r="B183" s="137">
        <f>IF('Power Modes'!$C62&gt;0, 'Power Consumption'!$D54,0)</f>
        <v>0</v>
      </c>
      <c r="C183" s="76">
        <f>IF('Power Modes'!$C62&gt;0, 'Power Consumption'!$F54,0)</f>
        <v>0</v>
      </c>
      <c r="D183" s="76">
        <f>IF('Power Modes'!$C62&gt;0, 'Power Consumption'!$H54,0)</f>
        <v>0</v>
      </c>
      <c r="E183" s="138">
        <f>IF('Power Modes'!$C62&gt;0, 'Power Consumption'!$J54,0)</f>
        <v>0</v>
      </c>
      <c r="F183" s="147"/>
      <c r="G183" s="129">
        <f>IF('Power Modes'!$G62&gt;0, 'Power Consumption'!$D54,0)</f>
        <v>0</v>
      </c>
      <c r="H183" s="76">
        <f>IF('Power Modes'!$G62&gt;0, 'Power Consumption'!$F54,0)</f>
        <v>0</v>
      </c>
      <c r="I183" s="76">
        <f>IF('Power Modes'!$G62&gt;0, 'Power Consumption'!$H54,0)</f>
        <v>0</v>
      </c>
      <c r="J183" s="76">
        <f>IF('Power Modes'!$G62&gt;0, 'Power Consumption'!$J54,0)</f>
        <v>0</v>
      </c>
      <c r="K183" s="129"/>
      <c r="L183" s="129">
        <f>IF('Power Modes'!$K62&gt;0, 'Power Consumption'!$D54,0)</f>
        <v>0</v>
      </c>
      <c r="M183" s="76">
        <f>IF('Power Modes'!$K62&gt;0, 'Power Consumption'!$F54,0)</f>
        <v>0</v>
      </c>
      <c r="N183" s="76">
        <f>IF('Power Modes'!$K62&gt;0, 'Power Consumption'!$H54,0)</f>
        <v>0</v>
      </c>
      <c r="O183" s="76">
        <f>IF('Power Modes'!$K62&gt;0, 'Power Consumption'!$J54,0)</f>
        <v>0</v>
      </c>
      <c r="Q183" s="129">
        <f>IF('Power Modes'!$O62&gt;0, 'Power Consumption'!$D54,0)</f>
        <v>0</v>
      </c>
      <c r="R183" s="76">
        <f>IF('Power Modes'!$O62&gt;0, 'Power Consumption'!$F54,0)</f>
        <v>0</v>
      </c>
      <c r="S183" s="76">
        <f>IF('Power Modes'!$O62&gt;0, 'Power Consumption'!$H54,0)</f>
        <v>0</v>
      </c>
      <c r="T183" s="76">
        <f>IF('Power Modes'!$O62&gt;0, 'Power Consumption'!$J54,0)</f>
        <v>0</v>
      </c>
      <c r="V183" s="129">
        <f>IF('Power Modes'!$S62&gt;0, 'Power Consumption'!$D54,0)</f>
        <v>0</v>
      </c>
      <c r="W183" s="76">
        <f>IF('Power Modes'!$S62&gt;0, 'Power Consumption'!$F54,0)</f>
        <v>0</v>
      </c>
      <c r="X183" s="76">
        <f>IF('Power Modes'!$S62&gt;0, 'Power Consumption'!$H54,0)</f>
        <v>0</v>
      </c>
      <c r="Y183" s="76">
        <f>IF('Power Modes'!$S62&gt;0, 'Power Consumption'!$J54,0)</f>
        <v>0</v>
      </c>
      <c r="AA183" s="129">
        <f>IF('Power Modes'!$W62&gt;0, 'Power Consumption'!$D54,0)</f>
        <v>0</v>
      </c>
      <c r="AB183" s="76">
        <f>IF('Power Modes'!$W62&gt;0, 'Power Consumption'!$F54,0)</f>
        <v>0</v>
      </c>
      <c r="AC183" s="76">
        <f>IF('Power Modes'!$W62&gt;0, 'Power Consumption'!$H54,0)</f>
        <v>0</v>
      </c>
      <c r="AD183" s="76">
        <f>IF('Power Modes'!$W62&gt;0, 'Power Consumption'!$J54,0)</f>
        <v>0</v>
      </c>
    </row>
    <row r="184" spans="1:30" s="64" customFormat="1" hidden="1" outlineLevel="1" x14ac:dyDescent="0.25">
      <c r="A184" s="131" t="str">
        <f t="shared" si="1"/>
        <v>Consumer #51</v>
      </c>
      <c r="B184" s="137">
        <f>IF('Power Modes'!$C63&gt;0, 'Power Consumption'!$D55,0)</f>
        <v>0</v>
      </c>
      <c r="C184" s="76">
        <f>IF('Power Modes'!$C63&gt;0, 'Power Consumption'!$F55,0)</f>
        <v>0</v>
      </c>
      <c r="D184" s="76">
        <f>IF('Power Modes'!$C63&gt;0, 'Power Consumption'!$H55,0)</f>
        <v>0</v>
      </c>
      <c r="E184" s="138">
        <f>IF('Power Modes'!$C63&gt;0, 'Power Consumption'!$J55,0)</f>
        <v>0</v>
      </c>
      <c r="F184" s="147"/>
      <c r="G184" s="129">
        <f>IF('Power Modes'!$G63&gt;0, 'Power Consumption'!$D55,0)</f>
        <v>0</v>
      </c>
      <c r="H184" s="76">
        <f>IF('Power Modes'!$G63&gt;0, 'Power Consumption'!$F55,0)</f>
        <v>0</v>
      </c>
      <c r="I184" s="76">
        <f>IF('Power Modes'!$G63&gt;0, 'Power Consumption'!$H55,0)</f>
        <v>0</v>
      </c>
      <c r="J184" s="76">
        <f>IF('Power Modes'!$G63&gt;0, 'Power Consumption'!$J55,0)</f>
        <v>0</v>
      </c>
      <c r="K184" s="129"/>
      <c r="L184" s="129">
        <f>IF('Power Modes'!$K63&gt;0, 'Power Consumption'!$D55,0)</f>
        <v>0</v>
      </c>
      <c r="M184" s="76">
        <f>IF('Power Modes'!$K63&gt;0, 'Power Consumption'!$F55,0)</f>
        <v>0</v>
      </c>
      <c r="N184" s="76">
        <f>IF('Power Modes'!$K63&gt;0, 'Power Consumption'!$H55,0)</f>
        <v>0</v>
      </c>
      <c r="O184" s="76">
        <f>IF('Power Modes'!$K63&gt;0, 'Power Consumption'!$J55,0)</f>
        <v>0</v>
      </c>
      <c r="Q184" s="129">
        <f>IF('Power Modes'!$O63&gt;0, 'Power Consumption'!$D55,0)</f>
        <v>0</v>
      </c>
      <c r="R184" s="76">
        <f>IF('Power Modes'!$O63&gt;0, 'Power Consumption'!$F55,0)</f>
        <v>0</v>
      </c>
      <c r="S184" s="76">
        <f>IF('Power Modes'!$O63&gt;0, 'Power Consumption'!$H55,0)</f>
        <v>0</v>
      </c>
      <c r="T184" s="76">
        <f>IF('Power Modes'!$O63&gt;0, 'Power Consumption'!$J55,0)</f>
        <v>0</v>
      </c>
      <c r="V184" s="129">
        <f>IF('Power Modes'!$S63&gt;0, 'Power Consumption'!$D55,0)</f>
        <v>0</v>
      </c>
      <c r="W184" s="76">
        <f>IF('Power Modes'!$S63&gt;0, 'Power Consumption'!$F55,0)</f>
        <v>0</v>
      </c>
      <c r="X184" s="76">
        <f>IF('Power Modes'!$S63&gt;0, 'Power Consumption'!$H55,0)</f>
        <v>0</v>
      </c>
      <c r="Y184" s="76">
        <f>IF('Power Modes'!$S63&gt;0, 'Power Consumption'!$J55,0)</f>
        <v>0</v>
      </c>
      <c r="AA184" s="129">
        <f>IF('Power Modes'!$W63&gt;0, 'Power Consumption'!$D55,0)</f>
        <v>0</v>
      </c>
      <c r="AB184" s="76">
        <f>IF('Power Modes'!$W63&gt;0, 'Power Consumption'!$F55,0)</f>
        <v>0</v>
      </c>
      <c r="AC184" s="76">
        <f>IF('Power Modes'!$W63&gt;0, 'Power Consumption'!$H55,0)</f>
        <v>0</v>
      </c>
      <c r="AD184" s="76">
        <f>IF('Power Modes'!$W63&gt;0, 'Power Consumption'!$J55,0)</f>
        <v>0</v>
      </c>
    </row>
    <row r="185" spans="1:30" s="64" customFormat="1" hidden="1" outlineLevel="1" x14ac:dyDescent="0.25">
      <c r="A185" s="131" t="str">
        <f t="shared" si="1"/>
        <v>Consumer #52</v>
      </c>
      <c r="B185" s="137">
        <f>IF('Power Modes'!$C64&gt;0, 'Power Consumption'!$D56,0)</f>
        <v>0</v>
      </c>
      <c r="C185" s="76">
        <f>IF('Power Modes'!$C64&gt;0, 'Power Consumption'!$F56,0)</f>
        <v>0</v>
      </c>
      <c r="D185" s="76">
        <f>IF('Power Modes'!$C64&gt;0, 'Power Consumption'!$H56,0)</f>
        <v>0</v>
      </c>
      <c r="E185" s="138">
        <f>IF('Power Modes'!$C64&gt;0, 'Power Consumption'!$J56,0)</f>
        <v>0</v>
      </c>
      <c r="F185" s="147"/>
      <c r="G185" s="129">
        <f>IF('Power Modes'!$G64&gt;0, 'Power Consumption'!$D56,0)</f>
        <v>0</v>
      </c>
      <c r="H185" s="76">
        <f>IF('Power Modes'!$G64&gt;0, 'Power Consumption'!$F56,0)</f>
        <v>0</v>
      </c>
      <c r="I185" s="76">
        <f>IF('Power Modes'!$G64&gt;0, 'Power Consumption'!$H56,0)</f>
        <v>0</v>
      </c>
      <c r="J185" s="76">
        <f>IF('Power Modes'!$G64&gt;0, 'Power Consumption'!$J56,0)</f>
        <v>0</v>
      </c>
      <c r="K185" s="129"/>
      <c r="L185" s="129">
        <f>IF('Power Modes'!$K64&gt;0, 'Power Consumption'!$D56,0)</f>
        <v>0</v>
      </c>
      <c r="M185" s="76">
        <f>IF('Power Modes'!$K64&gt;0, 'Power Consumption'!$F56,0)</f>
        <v>0</v>
      </c>
      <c r="N185" s="76">
        <f>IF('Power Modes'!$K64&gt;0, 'Power Consumption'!$H56,0)</f>
        <v>0</v>
      </c>
      <c r="O185" s="76">
        <f>IF('Power Modes'!$K64&gt;0, 'Power Consumption'!$J56,0)</f>
        <v>0</v>
      </c>
      <c r="Q185" s="129">
        <f>IF('Power Modes'!$O64&gt;0, 'Power Consumption'!$D56,0)</f>
        <v>0</v>
      </c>
      <c r="R185" s="76">
        <f>IF('Power Modes'!$O64&gt;0, 'Power Consumption'!$F56,0)</f>
        <v>0</v>
      </c>
      <c r="S185" s="76">
        <f>IF('Power Modes'!$O64&gt;0, 'Power Consumption'!$H56,0)</f>
        <v>0</v>
      </c>
      <c r="T185" s="76">
        <f>IF('Power Modes'!$O64&gt;0, 'Power Consumption'!$J56,0)</f>
        <v>0</v>
      </c>
      <c r="V185" s="129">
        <f>IF('Power Modes'!$S64&gt;0, 'Power Consumption'!$D56,0)</f>
        <v>0</v>
      </c>
      <c r="W185" s="76">
        <f>IF('Power Modes'!$S64&gt;0, 'Power Consumption'!$F56,0)</f>
        <v>0</v>
      </c>
      <c r="X185" s="76">
        <f>IF('Power Modes'!$S64&gt;0, 'Power Consumption'!$H56,0)</f>
        <v>0</v>
      </c>
      <c r="Y185" s="76">
        <f>IF('Power Modes'!$S64&gt;0, 'Power Consumption'!$J56,0)</f>
        <v>0</v>
      </c>
      <c r="AA185" s="129">
        <f>IF('Power Modes'!$W64&gt;0, 'Power Consumption'!$D56,0)</f>
        <v>0</v>
      </c>
      <c r="AB185" s="76">
        <f>IF('Power Modes'!$W64&gt;0, 'Power Consumption'!$F56,0)</f>
        <v>0</v>
      </c>
      <c r="AC185" s="76">
        <f>IF('Power Modes'!$W64&gt;0, 'Power Consumption'!$H56,0)</f>
        <v>0</v>
      </c>
      <c r="AD185" s="76">
        <f>IF('Power Modes'!$W64&gt;0, 'Power Consumption'!$J56,0)</f>
        <v>0</v>
      </c>
    </row>
    <row r="186" spans="1:30" s="64" customFormat="1" hidden="1" outlineLevel="1" x14ac:dyDescent="0.25">
      <c r="A186" s="131" t="str">
        <f t="shared" si="1"/>
        <v>Consumer #53</v>
      </c>
      <c r="B186" s="137">
        <f>IF('Power Modes'!$C65&gt;0, 'Power Consumption'!$D57,0)</f>
        <v>0</v>
      </c>
      <c r="C186" s="76">
        <f>IF('Power Modes'!$C65&gt;0, 'Power Consumption'!$F57,0)</f>
        <v>0</v>
      </c>
      <c r="D186" s="76">
        <f>IF('Power Modes'!$C65&gt;0, 'Power Consumption'!$H57,0)</f>
        <v>0</v>
      </c>
      <c r="E186" s="138">
        <f>IF('Power Modes'!$C65&gt;0, 'Power Consumption'!$J57,0)</f>
        <v>0</v>
      </c>
      <c r="F186" s="147"/>
      <c r="G186" s="129">
        <f>IF('Power Modes'!$G65&gt;0, 'Power Consumption'!$D57,0)</f>
        <v>0</v>
      </c>
      <c r="H186" s="76">
        <f>IF('Power Modes'!$G65&gt;0, 'Power Consumption'!$F57,0)</f>
        <v>0</v>
      </c>
      <c r="I186" s="76">
        <f>IF('Power Modes'!$G65&gt;0, 'Power Consumption'!$H57,0)</f>
        <v>0</v>
      </c>
      <c r="J186" s="76">
        <f>IF('Power Modes'!$G65&gt;0, 'Power Consumption'!$J57,0)</f>
        <v>0</v>
      </c>
      <c r="K186" s="129"/>
      <c r="L186" s="129">
        <f>IF('Power Modes'!$K65&gt;0, 'Power Consumption'!$D57,0)</f>
        <v>0</v>
      </c>
      <c r="M186" s="76">
        <f>IF('Power Modes'!$K65&gt;0, 'Power Consumption'!$F57,0)</f>
        <v>0</v>
      </c>
      <c r="N186" s="76">
        <f>IF('Power Modes'!$K65&gt;0, 'Power Consumption'!$H57,0)</f>
        <v>0</v>
      </c>
      <c r="O186" s="76">
        <f>IF('Power Modes'!$K65&gt;0, 'Power Consumption'!$J57,0)</f>
        <v>0</v>
      </c>
      <c r="Q186" s="129">
        <f>IF('Power Modes'!$O65&gt;0, 'Power Consumption'!$D57,0)</f>
        <v>0</v>
      </c>
      <c r="R186" s="76">
        <f>IF('Power Modes'!$O65&gt;0, 'Power Consumption'!$F57,0)</f>
        <v>0</v>
      </c>
      <c r="S186" s="76">
        <f>IF('Power Modes'!$O65&gt;0, 'Power Consumption'!$H57,0)</f>
        <v>0</v>
      </c>
      <c r="T186" s="76">
        <f>IF('Power Modes'!$O65&gt;0, 'Power Consumption'!$J57,0)</f>
        <v>0</v>
      </c>
      <c r="V186" s="129">
        <f>IF('Power Modes'!$S65&gt;0, 'Power Consumption'!$D57,0)</f>
        <v>0</v>
      </c>
      <c r="W186" s="76">
        <f>IF('Power Modes'!$S65&gt;0, 'Power Consumption'!$F57,0)</f>
        <v>0</v>
      </c>
      <c r="X186" s="76">
        <f>IF('Power Modes'!$S65&gt;0, 'Power Consumption'!$H57,0)</f>
        <v>0</v>
      </c>
      <c r="Y186" s="76">
        <f>IF('Power Modes'!$S65&gt;0, 'Power Consumption'!$J57,0)</f>
        <v>0</v>
      </c>
      <c r="AA186" s="129">
        <f>IF('Power Modes'!$W65&gt;0, 'Power Consumption'!$D57,0)</f>
        <v>0</v>
      </c>
      <c r="AB186" s="76">
        <f>IF('Power Modes'!$W65&gt;0, 'Power Consumption'!$F57,0)</f>
        <v>0</v>
      </c>
      <c r="AC186" s="76">
        <f>IF('Power Modes'!$W65&gt;0, 'Power Consumption'!$H57,0)</f>
        <v>0</v>
      </c>
      <c r="AD186" s="76">
        <f>IF('Power Modes'!$W65&gt;0, 'Power Consumption'!$J57,0)</f>
        <v>0</v>
      </c>
    </row>
    <row r="187" spans="1:30" s="64" customFormat="1" hidden="1" outlineLevel="1" x14ac:dyDescent="0.25">
      <c r="A187" s="131" t="str">
        <f t="shared" si="1"/>
        <v>Consumer #54</v>
      </c>
      <c r="B187" s="137">
        <f>IF('Power Modes'!$C66&gt;0, 'Power Consumption'!$D58,0)</f>
        <v>0</v>
      </c>
      <c r="C187" s="76">
        <f>IF('Power Modes'!$C66&gt;0, 'Power Consumption'!$F58,0)</f>
        <v>0</v>
      </c>
      <c r="D187" s="76">
        <f>IF('Power Modes'!$C66&gt;0, 'Power Consumption'!$H58,0)</f>
        <v>0</v>
      </c>
      <c r="E187" s="138">
        <f>IF('Power Modes'!$C66&gt;0, 'Power Consumption'!$J58,0)</f>
        <v>0</v>
      </c>
      <c r="F187" s="147"/>
      <c r="G187" s="129">
        <f>IF('Power Modes'!$G66&gt;0, 'Power Consumption'!$D58,0)</f>
        <v>0</v>
      </c>
      <c r="H187" s="76">
        <f>IF('Power Modes'!$G66&gt;0, 'Power Consumption'!$F58,0)</f>
        <v>0</v>
      </c>
      <c r="I187" s="76">
        <f>IF('Power Modes'!$G66&gt;0, 'Power Consumption'!$H58,0)</f>
        <v>0</v>
      </c>
      <c r="J187" s="76">
        <f>IF('Power Modes'!$G66&gt;0, 'Power Consumption'!$J58,0)</f>
        <v>0</v>
      </c>
      <c r="K187" s="129"/>
      <c r="L187" s="129">
        <f>IF('Power Modes'!$K66&gt;0, 'Power Consumption'!$D58,0)</f>
        <v>0</v>
      </c>
      <c r="M187" s="76">
        <f>IF('Power Modes'!$K66&gt;0, 'Power Consumption'!$F58,0)</f>
        <v>0</v>
      </c>
      <c r="N187" s="76">
        <f>IF('Power Modes'!$K66&gt;0, 'Power Consumption'!$H58,0)</f>
        <v>0</v>
      </c>
      <c r="O187" s="76">
        <f>IF('Power Modes'!$K66&gt;0, 'Power Consumption'!$J58,0)</f>
        <v>0</v>
      </c>
      <c r="Q187" s="129">
        <f>IF('Power Modes'!$O66&gt;0, 'Power Consumption'!$D58,0)</f>
        <v>0</v>
      </c>
      <c r="R187" s="76">
        <f>IF('Power Modes'!$O66&gt;0, 'Power Consumption'!$F58,0)</f>
        <v>0</v>
      </c>
      <c r="S187" s="76">
        <f>IF('Power Modes'!$O66&gt;0, 'Power Consumption'!$H58,0)</f>
        <v>0</v>
      </c>
      <c r="T187" s="76">
        <f>IF('Power Modes'!$O66&gt;0, 'Power Consumption'!$J58,0)</f>
        <v>0</v>
      </c>
      <c r="V187" s="129">
        <f>IF('Power Modes'!$S66&gt;0, 'Power Consumption'!$D58,0)</f>
        <v>0</v>
      </c>
      <c r="W187" s="76">
        <f>IF('Power Modes'!$S66&gt;0, 'Power Consumption'!$F58,0)</f>
        <v>0</v>
      </c>
      <c r="X187" s="76">
        <f>IF('Power Modes'!$S66&gt;0, 'Power Consumption'!$H58,0)</f>
        <v>0</v>
      </c>
      <c r="Y187" s="76">
        <f>IF('Power Modes'!$S66&gt;0, 'Power Consumption'!$J58,0)</f>
        <v>0</v>
      </c>
      <c r="AA187" s="129">
        <f>IF('Power Modes'!$W66&gt;0, 'Power Consumption'!$D58,0)</f>
        <v>0</v>
      </c>
      <c r="AB187" s="76">
        <f>IF('Power Modes'!$W66&gt;0, 'Power Consumption'!$F58,0)</f>
        <v>0</v>
      </c>
      <c r="AC187" s="76">
        <f>IF('Power Modes'!$W66&gt;0, 'Power Consumption'!$H58,0)</f>
        <v>0</v>
      </c>
      <c r="AD187" s="76">
        <f>IF('Power Modes'!$W66&gt;0, 'Power Consumption'!$J58,0)</f>
        <v>0</v>
      </c>
    </row>
    <row r="188" spans="1:30" s="64" customFormat="1" hidden="1" outlineLevel="1" x14ac:dyDescent="0.25">
      <c r="A188" s="131" t="str">
        <f t="shared" si="1"/>
        <v>Consumer #55</v>
      </c>
      <c r="B188" s="137">
        <f>IF('Power Modes'!$C67&gt;0, 'Power Consumption'!$D59,0)</f>
        <v>0</v>
      </c>
      <c r="C188" s="76">
        <f>IF('Power Modes'!$C67&gt;0, 'Power Consumption'!$F59,0)</f>
        <v>0</v>
      </c>
      <c r="D188" s="76">
        <f>IF('Power Modes'!$C67&gt;0, 'Power Consumption'!$H59,0)</f>
        <v>0</v>
      </c>
      <c r="E188" s="138">
        <f>IF('Power Modes'!$C67&gt;0, 'Power Consumption'!$J59,0)</f>
        <v>0</v>
      </c>
      <c r="F188" s="147"/>
      <c r="G188" s="129">
        <f>IF('Power Modes'!$G67&gt;0, 'Power Consumption'!$D59,0)</f>
        <v>0</v>
      </c>
      <c r="H188" s="76">
        <f>IF('Power Modes'!$G67&gt;0, 'Power Consumption'!$F59,0)</f>
        <v>0</v>
      </c>
      <c r="I188" s="76">
        <f>IF('Power Modes'!$G67&gt;0, 'Power Consumption'!$H59,0)</f>
        <v>0</v>
      </c>
      <c r="J188" s="76">
        <f>IF('Power Modes'!$G67&gt;0, 'Power Consumption'!$J59,0)</f>
        <v>0</v>
      </c>
      <c r="K188" s="129"/>
      <c r="L188" s="129">
        <f>IF('Power Modes'!$K67&gt;0, 'Power Consumption'!$D59,0)</f>
        <v>0</v>
      </c>
      <c r="M188" s="76">
        <f>IF('Power Modes'!$K67&gt;0, 'Power Consumption'!$F59,0)</f>
        <v>0</v>
      </c>
      <c r="N188" s="76">
        <f>IF('Power Modes'!$K67&gt;0, 'Power Consumption'!$H59,0)</f>
        <v>0</v>
      </c>
      <c r="O188" s="76">
        <f>IF('Power Modes'!$K67&gt;0, 'Power Consumption'!$J59,0)</f>
        <v>0</v>
      </c>
      <c r="Q188" s="129">
        <f>IF('Power Modes'!$O67&gt;0, 'Power Consumption'!$D59,0)</f>
        <v>0</v>
      </c>
      <c r="R188" s="76">
        <f>IF('Power Modes'!$O67&gt;0, 'Power Consumption'!$F59,0)</f>
        <v>0</v>
      </c>
      <c r="S188" s="76">
        <f>IF('Power Modes'!$O67&gt;0, 'Power Consumption'!$H59,0)</f>
        <v>0</v>
      </c>
      <c r="T188" s="76">
        <f>IF('Power Modes'!$O67&gt;0, 'Power Consumption'!$J59,0)</f>
        <v>0</v>
      </c>
      <c r="V188" s="129">
        <f>IF('Power Modes'!$S67&gt;0, 'Power Consumption'!$D59,0)</f>
        <v>0</v>
      </c>
      <c r="W188" s="76">
        <f>IF('Power Modes'!$S67&gt;0, 'Power Consumption'!$F59,0)</f>
        <v>0</v>
      </c>
      <c r="X188" s="76">
        <f>IF('Power Modes'!$S67&gt;0, 'Power Consumption'!$H59,0)</f>
        <v>0</v>
      </c>
      <c r="Y188" s="76">
        <f>IF('Power Modes'!$S67&gt;0, 'Power Consumption'!$J59,0)</f>
        <v>0</v>
      </c>
      <c r="AA188" s="129">
        <f>IF('Power Modes'!$W67&gt;0, 'Power Consumption'!$D59,0)</f>
        <v>0</v>
      </c>
      <c r="AB188" s="76">
        <f>IF('Power Modes'!$W67&gt;0, 'Power Consumption'!$F59,0)</f>
        <v>0</v>
      </c>
      <c r="AC188" s="76">
        <f>IF('Power Modes'!$W67&gt;0, 'Power Consumption'!$H59,0)</f>
        <v>0</v>
      </c>
      <c r="AD188" s="76">
        <f>IF('Power Modes'!$W67&gt;0, 'Power Consumption'!$J59,0)</f>
        <v>0</v>
      </c>
    </row>
    <row r="189" spans="1:30" s="64" customFormat="1" hidden="1" outlineLevel="1" x14ac:dyDescent="0.25">
      <c r="A189" s="131" t="str">
        <f t="shared" si="1"/>
        <v>Consumer #56</v>
      </c>
      <c r="B189" s="137">
        <f>IF('Power Modes'!$C68&gt;0, 'Power Consumption'!$D60,0)</f>
        <v>0</v>
      </c>
      <c r="C189" s="76">
        <f>IF('Power Modes'!$C68&gt;0, 'Power Consumption'!$F60,0)</f>
        <v>0</v>
      </c>
      <c r="D189" s="76">
        <f>IF('Power Modes'!$C68&gt;0, 'Power Consumption'!$H60,0)</f>
        <v>0</v>
      </c>
      <c r="E189" s="138">
        <f>IF('Power Modes'!$C68&gt;0, 'Power Consumption'!$J60,0)</f>
        <v>0</v>
      </c>
      <c r="F189" s="147"/>
      <c r="G189" s="129">
        <f>IF('Power Modes'!$G68&gt;0, 'Power Consumption'!$D60,0)</f>
        <v>0</v>
      </c>
      <c r="H189" s="76">
        <f>IF('Power Modes'!$G68&gt;0, 'Power Consumption'!$F60,0)</f>
        <v>0</v>
      </c>
      <c r="I189" s="76">
        <f>IF('Power Modes'!$G68&gt;0, 'Power Consumption'!$H60,0)</f>
        <v>0</v>
      </c>
      <c r="J189" s="76">
        <f>IF('Power Modes'!$G68&gt;0, 'Power Consumption'!$J60,0)</f>
        <v>0</v>
      </c>
      <c r="K189" s="129"/>
      <c r="L189" s="129">
        <f>IF('Power Modes'!$K68&gt;0, 'Power Consumption'!$D60,0)</f>
        <v>0</v>
      </c>
      <c r="M189" s="76">
        <f>IF('Power Modes'!$K68&gt;0, 'Power Consumption'!$F60,0)</f>
        <v>0</v>
      </c>
      <c r="N189" s="76">
        <f>IF('Power Modes'!$K68&gt;0, 'Power Consumption'!$H60,0)</f>
        <v>0</v>
      </c>
      <c r="O189" s="76">
        <f>IF('Power Modes'!$K68&gt;0, 'Power Consumption'!$J60,0)</f>
        <v>0</v>
      </c>
      <c r="Q189" s="129">
        <f>IF('Power Modes'!$O68&gt;0, 'Power Consumption'!$D60,0)</f>
        <v>0</v>
      </c>
      <c r="R189" s="76">
        <f>IF('Power Modes'!$O68&gt;0, 'Power Consumption'!$F60,0)</f>
        <v>0</v>
      </c>
      <c r="S189" s="76">
        <f>IF('Power Modes'!$O68&gt;0, 'Power Consumption'!$H60,0)</f>
        <v>0</v>
      </c>
      <c r="T189" s="76">
        <f>IF('Power Modes'!$O68&gt;0, 'Power Consumption'!$J60,0)</f>
        <v>0</v>
      </c>
      <c r="V189" s="129">
        <f>IF('Power Modes'!$S68&gt;0, 'Power Consumption'!$D60,0)</f>
        <v>0</v>
      </c>
      <c r="W189" s="76">
        <f>IF('Power Modes'!$S68&gt;0, 'Power Consumption'!$F60,0)</f>
        <v>0</v>
      </c>
      <c r="X189" s="76">
        <f>IF('Power Modes'!$S68&gt;0, 'Power Consumption'!$H60,0)</f>
        <v>0</v>
      </c>
      <c r="Y189" s="76">
        <f>IF('Power Modes'!$S68&gt;0, 'Power Consumption'!$J60,0)</f>
        <v>0</v>
      </c>
      <c r="AA189" s="129">
        <f>IF('Power Modes'!$W68&gt;0, 'Power Consumption'!$D60,0)</f>
        <v>0</v>
      </c>
      <c r="AB189" s="76">
        <f>IF('Power Modes'!$W68&gt;0, 'Power Consumption'!$F60,0)</f>
        <v>0</v>
      </c>
      <c r="AC189" s="76">
        <f>IF('Power Modes'!$W68&gt;0, 'Power Consumption'!$H60,0)</f>
        <v>0</v>
      </c>
      <c r="AD189" s="76">
        <f>IF('Power Modes'!$W68&gt;0, 'Power Consumption'!$J60,0)</f>
        <v>0</v>
      </c>
    </row>
    <row r="190" spans="1:30" s="64" customFormat="1" hidden="1" outlineLevel="1" x14ac:dyDescent="0.25">
      <c r="A190" s="131" t="str">
        <f t="shared" si="1"/>
        <v>Consumer #57</v>
      </c>
      <c r="B190" s="137">
        <f>IF('Power Modes'!$C69&gt;0, 'Power Consumption'!$D61,0)</f>
        <v>0</v>
      </c>
      <c r="C190" s="76">
        <f>IF('Power Modes'!$C69&gt;0, 'Power Consumption'!$F61,0)</f>
        <v>0</v>
      </c>
      <c r="D190" s="76">
        <f>IF('Power Modes'!$C69&gt;0, 'Power Consumption'!$H61,0)</f>
        <v>0</v>
      </c>
      <c r="E190" s="138">
        <f>IF('Power Modes'!$C69&gt;0, 'Power Consumption'!$J61,0)</f>
        <v>0</v>
      </c>
      <c r="F190" s="147"/>
      <c r="G190" s="129">
        <f>IF('Power Modes'!$G69&gt;0, 'Power Consumption'!$D61,0)</f>
        <v>0</v>
      </c>
      <c r="H190" s="76">
        <f>IF('Power Modes'!$G69&gt;0, 'Power Consumption'!$F61,0)</f>
        <v>0</v>
      </c>
      <c r="I190" s="76">
        <f>IF('Power Modes'!$G69&gt;0, 'Power Consumption'!$H61,0)</f>
        <v>0</v>
      </c>
      <c r="J190" s="76">
        <f>IF('Power Modes'!$G69&gt;0, 'Power Consumption'!$J61,0)</f>
        <v>0</v>
      </c>
      <c r="K190" s="129"/>
      <c r="L190" s="129">
        <f>IF('Power Modes'!$K69&gt;0, 'Power Consumption'!$D61,0)</f>
        <v>0</v>
      </c>
      <c r="M190" s="76">
        <f>IF('Power Modes'!$K69&gt;0, 'Power Consumption'!$F61,0)</f>
        <v>0</v>
      </c>
      <c r="N190" s="76">
        <f>IF('Power Modes'!$K69&gt;0, 'Power Consumption'!$H61,0)</f>
        <v>0</v>
      </c>
      <c r="O190" s="76">
        <f>IF('Power Modes'!$K69&gt;0, 'Power Consumption'!$J61,0)</f>
        <v>0</v>
      </c>
      <c r="Q190" s="129">
        <f>IF('Power Modes'!$O69&gt;0, 'Power Consumption'!$D61,0)</f>
        <v>0</v>
      </c>
      <c r="R190" s="76">
        <f>IF('Power Modes'!$O69&gt;0, 'Power Consumption'!$F61,0)</f>
        <v>0</v>
      </c>
      <c r="S190" s="76">
        <f>IF('Power Modes'!$O69&gt;0, 'Power Consumption'!$H61,0)</f>
        <v>0</v>
      </c>
      <c r="T190" s="76">
        <f>IF('Power Modes'!$O69&gt;0, 'Power Consumption'!$J61,0)</f>
        <v>0</v>
      </c>
      <c r="V190" s="129">
        <f>IF('Power Modes'!$S69&gt;0, 'Power Consumption'!$D61,0)</f>
        <v>0</v>
      </c>
      <c r="W190" s="76">
        <f>IF('Power Modes'!$S69&gt;0, 'Power Consumption'!$F61,0)</f>
        <v>0</v>
      </c>
      <c r="X190" s="76">
        <f>IF('Power Modes'!$S69&gt;0, 'Power Consumption'!$H61,0)</f>
        <v>0</v>
      </c>
      <c r="Y190" s="76">
        <f>IF('Power Modes'!$S69&gt;0, 'Power Consumption'!$J61,0)</f>
        <v>0</v>
      </c>
      <c r="AA190" s="129">
        <f>IF('Power Modes'!$W69&gt;0, 'Power Consumption'!$D61,0)</f>
        <v>0</v>
      </c>
      <c r="AB190" s="76">
        <f>IF('Power Modes'!$W69&gt;0, 'Power Consumption'!$F61,0)</f>
        <v>0</v>
      </c>
      <c r="AC190" s="76">
        <f>IF('Power Modes'!$W69&gt;0, 'Power Consumption'!$H61,0)</f>
        <v>0</v>
      </c>
      <c r="AD190" s="76">
        <f>IF('Power Modes'!$W69&gt;0, 'Power Consumption'!$J61,0)</f>
        <v>0</v>
      </c>
    </row>
    <row r="191" spans="1:30" s="64" customFormat="1" hidden="1" outlineLevel="1" x14ac:dyDescent="0.25">
      <c r="A191" s="131" t="str">
        <f t="shared" si="1"/>
        <v>Consumer #58</v>
      </c>
      <c r="B191" s="137">
        <f>IF('Power Modes'!$C70&gt;0, 'Power Consumption'!$D62,0)</f>
        <v>0</v>
      </c>
      <c r="C191" s="76">
        <f>IF('Power Modes'!$C70&gt;0, 'Power Consumption'!$F62,0)</f>
        <v>0</v>
      </c>
      <c r="D191" s="76">
        <f>IF('Power Modes'!$C70&gt;0, 'Power Consumption'!$H62,0)</f>
        <v>0</v>
      </c>
      <c r="E191" s="138">
        <f>IF('Power Modes'!$C70&gt;0, 'Power Consumption'!$J62,0)</f>
        <v>0</v>
      </c>
      <c r="F191" s="147"/>
      <c r="G191" s="129">
        <f>IF('Power Modes'!$G70&gt;0, 'Power Consumption'!$D62,0)</f>
        <v>0</v>
      </c>
      <c r="H191" s="76">
        <f>IF('Power Modes'!$G70&gt;0, 'Power Consumption'!$F62,0)</f>
        <v>0</v>
      </c>
      <c r="I191" s="76">
        <f>IF('Power Modes'!$G70&gt;0, 'Power Consumption'!$H62,0)</f>
        <v>0</v>
      </c>
      <c r="J191" s="76">
        <f>IF('Power Modes'!$G70&gt;0, 'Power Consumption'!$J62,0)</f>
        <v>0</v>
      </c>
      <c r="K191" s="129"/>
      <c r="L191" s="129">
        <f>IF('Power Modes'!$K70&gt;0, 'Power Consumption'!$D62,0)</f>
        <v>0</v>
      </c>
      <c r="M191" s="76">
        <f>IF('Power Modes'!$K70&gt;0, 'Power Consumption'!$F62,0)</f>
        <v>0</v>
      </c>
      <c r="N191" s="76">
        <f>IF('Power Modes'!$K70&gt;0, 'Power Consumption'!$H62,0)</f>
        <v>0</v>
      </c>
      <c r="O191" s="76">
        <f>IF('Power Modes'!$K70&gt;0, 'Power Consumption'!$J62,0)</f>
        <v>0</v>
      </c>
      <c r="Q191" s="129">
        <f>IF('Power Modes'!$O70&gt;0, 'Power Consumption'!$D62,0)</f>
        <v>0</v>
      </c>
      <c r="R191" s="76">
        <f>IF('Power Modes'!$O70&gt;0, 'Power Consumption'!$F62,0)</f>
        <v>0</v>
      </c>
      <c r="S191" s="76">
        <f>IF('Power Modes'!$O70&gt;0, 'Power Consumption'!$H62,0)</f>
        <v>0</v>
      </c>
      <c r="T191" s="76">
        <f>IF('Power Modes'!$O70&gt;0, 'Power Consumption'!$J62,0)</f>
        <v>0</v>
      </c>
      <c r="V191" s="129">
        <f>IF('Power Modes'!$S70&gt;0, 'Power Consumption'!$D62,0)</f>
        <v>0</v>
      </c>
      <c r="W191" s="76">
        <f>IF('Power Modes'!$S70&gt;0, 'Power Consumption'!$F62,0)</f>
        <v>0</v>
      </c>
      <c r="X191" s="76">
        <f>IF('Power Modes'!$S70&gt;0, 'Power Consumption'!$H62,0)</f>
        <v>0</v>
      </c>
      <c r="Y191" s="76">
        <f>IF('Power Modes'!$S70&gt;0, 'Power Consumption'!$J62,0)</f>
        <v>0</v>
      </c>
      <c r="AA191" s="129">
        <f>IF('Power Modes'!$W70&gt;0, 'Power Consumption'!$D62,0)</f>
        <v>0</v>
      </c>
      <c r="AB191" s="76">
        <f>IF('Power Modes'!$W70&gt;0, 'Power Consumption'!$F62,0)</f>
        <v>0</v>
      </c>
      <c r="AC191" s="76">
        <f>IF('Power Modes'!$W70&gt;0, 'Power Consumption'!$H62,0)</f>
        <v>0</v>
      </c>
      <c r="AD191" s="76">
        <f>IF('Power Modes'!$W70&gt;0, 'Power Consumption'!$J62,0)</f>
        <v>0</v>
      </c>
    </row>
    <row r="192" spans="1:30" s="64" customFormat="1" hidden="1" outlineLevel="1" x14ac:dyDescent="0.25">
      <c r="A192" s="131" t="str">
        <f t="shared" si="1"/>
        <v>Consumer #59</v>
      </c>
      <c r="B192" s="137">
        <f>IF('Power Modes'!$C71&gt;0, 'Power Consumption'!$D63,0)</f>
        <v>0</v>
      </c>
      <c r="C192" s="76">
        <f>IF('Power Modes'!$C71&gt;0, 'Power Consumption'!$F63,0)</f>
        <v>0</v>
      </c>
      <c r="D192" s="76">
        <f>IF('Power Modes'!$C71&gt;0, 'Power Consumption'!$H63,0)</f>
        <v>0</v>
      </c>
      <c r="E192" s="138">
        <f>IF('Power Modes'!$C71&gt;0, 'Power Consumption'!$J63,0)</f>
        <v>0</v>
      </c>
      <c r="F192" s="147"/>
      <c r="G192" s="129">
        <f>IF('Power Modes'!$G71&gt;0, 'Power Consumption'!$D63,0)</f>
        <v>0</v>
      </c>
      <c r="H192" s="76">
        <f>IF('Power Modes'!$G71&gt;0, 'Power Consumption'!$F63,0)</f>
        <v>0</v>
      </c>
      <c r="I192" s="76">
        <f>IF('Power Modes'!$G71&gt;0, 'Power Consumption'!$H63,0)</f>
        <v>0</v>
      </c>
      <c r="J192" s="76">
        <f>IF('Power Modes'!$G71&gt;0, 'Power Consumption'!$J63,0)</f>
        <v>0</v>
      </c>
      <c r="K192" s="129"/>
      <c r="L192" s="129">
        <f>IF('Power Modes'!$K71&gt;0, 'Power Consumption'!$D63,0)</f>
        <v>0</v>
      </c>
      <c r="M192" s="76">
        <f>IF('Power Modes'!$K71&gt;0, 'Power Consumption'!$F63,0)</f>
        <v>0</v>
      </c>
      <c r="N192" s="76">
        <f>IF('Power Modes'!$K71&gt;0, 'Power Consumption'!$H63,0)</f>
        <v>0</v>
      </c>
      <c r="O192" s="76">
        <f>IF('Power Modes'!$K71&gt;0, 'Power Consumption'!$J63,0)</f>
        <v>0</v>
      </c>
      <c r="Q192" s="129">
        <f>IF('Power Modes'!$O71&gt;0, 'Power Consumption'!$D63,0)</f>
        <v>0</v>
      </c>
      <c r="R192" s="76">
        <f>IF('Power Modes'!$O71&gt;0, 'Power Consumption'!$F63,0)</f>
        <v>0</v>
      </c>
      <c r="S192" s="76">
        <f>IF('Power Modes'!$O71&gt;0, 'Power Consumption'!$H63,0)</f>
        <v>0</v>
      </c>
      <c r="T192" s="76">
        <f>IF('Power Modes'!$O71&gt;0, 'Power Consumption'!$J63,0)</f>
        <v>0</v>
      </c>
      <c r="V192" s="129">
        <f>IF('Power Modes'!$S71&gt;0, 'Power Consumption'!$D63,0)</f>
        <v>0</v>
      </c>
      <c r="W192" s="76">
        <f>IF('Power Modes'!$S71&gt;0, 'Power Consumption'!$F63,0)</f>
        <v>0</v>
      </c>
      <c r="X192" s="76">
        <f>IF('Power Modes'!$S71&gt;0, 'Power Consumption'!$H63,0)</f>
        <v>0</v>
      </c>
      <c r="Y192" s="76">
        <f>IF('Power Modes'!$S71&gt;0, 'Power Consumption'!$J63,0)</f>
        <v>0</v>
      </c>
      <c r="AA192" s="129">
        <f>IF('Power Modes'!$W71&gt;0, 'Power Consumption'!$D63,0)</f>
        <v>0</v>
      </c>
      <c r="AB192" s="76">
        <f>IF('Power Modes'!$W71&gt;0, 'Power Consumption'!$F63,0)</f>
        <v>0</v>
      </c>
      <c r="AC192" s="76">
        <f>IF('Power Modes'!$W71&gt;0, 'Power Consumption'!$H63,0)</f>
        <v>0</v>
      </c>
      <c r="AD192" s="76">
        <f>IF('Power Modes'!$W71&gt;0, 'Power Consumption'!$J63,0)</f>
        <v>0</v>
      </c>
    </row>
    <row r="193" spans="1:30" s="64" customFormat="1" hidden="1" outlineLevel="1" x14ac:dyDescent="0.25">
      <c r="A193" s="131" t="str">
        <f t="shared" si="1"/>
        <v>Consumer #60</v>
      </c>
      <c r="B193" s="137">
        <f>IF('Power Modes'!$C72&gt;0, 'Power Consumption'!$D64,0)</f>
        <v>0</v>
      </c>
      <c r="C193" s="76">
        <f>IF('Power Modes'!$C72&gt;0, 'Power Consumption'!$F64,0)</f>
        <v>0</v>
      </c>
      <c r="D193" s="76">
        <f>IF('Power Modes'!$C72&gt;0, 'Power Consumption'!$H64,0)</f>
        <v>0</v>
      </c>
      <c r="E193" s="138">
        <f>IF('Power Modes'!$C72&gt;0, 'Power Consumption'!$J64,0)</f>
        <v>0</v>
      </c>
      <c r="F193" s="147"/>
      <c r="G193" s="129">
        <f>IF('Power Modes'!$G72&gt;0, 'Power Consumption'!$D64,0)</f>
        <v>0</v>
      </c>
      <c r="H193" s="76">
        <f>IF('Power Modes'!$G72&gt;0, 'Power Consumption'!$F64,0)</f>
        <v>0</v>
      </c>
      <c r="I193" s="76">
        <f>IF('Power Modes'!$G72&gt;0, 'Power Consumption'!$H64,0)</f>
        <v>0</v>
      </c>
      <c r="J193" s="76">
        <f>IF('Power Modes'!$G72&gt;0, 'Power Consumption'!$J64,0)</f>
        <v>0</v>
      </c>
      <c r="K193" s="129"/>
      <c r="L193" s="129">
        <f>IF('Power Modes'!$K72&gt;0, 'Power Consumption'!$D64,0)</f>
        <v>0</v>
      </c>
      <c r="M193" s="76">
        <f>IF('Power Modes'!$K72&gt;0, 'Power Consumption'!$F64,0)</f>
        <v>0</v>
      </c>
      <c r="N193" s="76">
        <f>IF('Power Modes'!$K72&gt;0, 'Power Consumption'!$H64,0)</f>
        <v>0</v>
      </c>
      <c r="O193" s="76">
        <f>IF('Power Modes'!$K72&gt;0, 'Power Consumption'!$J64,0)</f>
        <v>0</v>
      </c>
      <c r="Q193" s="129">
        <f>IF('Power Modes'!$O72&gt;0, 'Power Consumption'!$D64,0)</f>
        <v>0</v>
      </c>
      <c r="R193" s="76">
        <f>IF('Power Modes'!$O72&gt;0, 'Power Consumption'!$F64,0)</f>
        <v>0</v>
      </c>
      <c r="S193" s="76">
        <f>IF('Power Modes'!$O72&gt;0, 'Power Consumption'!$H64,0)</f>
        <v>0</v>
      </c>
      <c r="T193" s="76">
        <f>IF('Power Modes'!$O72&gt;0, 'Power Consumption'!$J64,0)</f>
        <v>0</v>
      </c>
      <c r="V193" s="129">
        <f>IF('Power Modes'!$S72&gt;0, 'Power Consumption'!$D64,0)</f>
        <v>0</v>
      </c>
      <c r="W193" s="76">
        <f>IF('Power Modes'!$S72&gt;0, 'Power Consumption'!$F64,0)</f>
        <v>0</v>
      </c>
      <c r="X193" s="76">
        <f>IF('Power Modes'!$S72&gt;0, 'Power Consumption'!$H64,0)</f>
        <v>0</v>
      </c>
      <c r="Y193" s="76">
        <f>IF('Power Modes'!$S72&gt;0, 'Power Consumption'!$J64,0)</f>
        <v>0</v>
      </c>
      <c r="AA193" s="129">
        <f>IF('Power Modes'!$W72&gt;0, 'Power Consumption'!$D64,0)</f>
        <v>0</v>
      </c>
      <c r="AB193" s="76">
        <f>IF('Power Modes'!$W72&gt;0, 'Power Consumption'!$F64,0)</f>
        <v>0</v>
      </c>
      <c r="AC193" s="76">
        <f>IF('Power Modes'!$W72&gt;0, 'Power Consumption'!$H64,0)</f>
        <v>0</v>
      </c>
      <c r="AD193" s="76">
        <f>IF('Power Modes'!$W72&gt;0, 'Power Consumption'!$J64,0)</f>
        <v>0</v>
      </c>
    </row>
    <row r="194" spans="1:30" s="64" customFormat="1" hidden="1" outlineLevel="1" x14ac:dyDescent="0.25">
      <c r="A194" s="131" t="str">
        <f t="shared" si="1"/>
        <v>Consumer #61</v>
      </c>
      <c r="B194" s="137">
        <f>IF('Power Modes'!$C73&gt;0, 'Power Consumption'!$D65,0)</f>
        <v>0</v>
      </c>
      <c r="C194" s="76">
        <f>IF('Power Modes'!$C73&gt;0, 'Power Consumption'!$F65,0)</f>
        <v>0</v>
      </c>
      <c r="D194" s="76">
        <f>IF('Power Modes'!$C73&gt;0, 'Power Consumption'!$H65,0)</f>
        <v>0</v>
      </c>
      <c r="E194" s="138">
        <f>IF('Power Modes'!$C73&gt;0, 'Power Consumption'!$J65,0)</f>
        <v>0</v>
      </c>
      <c r="F194" s="147"/>
      <c r="G194" s="129">
        <f>IF('Power Modes'!$G73&gt;0, 'Power Consumption'!$D65,0)</f>
        <v>0</v>
      </c>
      <c r="H194" s="76">
        <f>IF('Power Modes'!$G73&gt;0, 'Power Consumption'!$F65,0)</f>
        <v>0</v>
      </c>
      <c r="I194" s="76">
        <f>IF('Power Modes'!$G73&gt;0, 'Power Consumption'!$H65,0)</f>
        <v>0</v>
      </c>
      <c r="J194" s="76">
        <f>IF('Power Modes'!$G73&gt;0, 'Power Consumption'!$J65,0)</f>
        <v>0</v>
      </c>
      <c r="K194" s="129"/>
      <c r="L194" s="129">
        <f>IF('Power Modes'!$K73&gt;0, 'Power Consumption'!$D65,0)</f>
        <v>0</v>
      </c>
      <c r="M194" s="76">
        <f>IF('Power Modes'!$K73&gt;0, 'Power Consumption'!$F65,0)</f>
        <v>0</v>
      </c>
      <c r="N194" s="76">
        <f>IF('Power Modes'!$K73&gt;0, 'Power Consumption'!$H65,0)</f>
        <v>0</v>
      </c>
      <c r="O194" s="76">
        <f>IF('Power Modes'!$K73&gt;0, 'Power Consumption'!$J65,0)</f>
        <v>0</v>
      </c>
      <c r="Q194" s="129">
        <f>IF('Power Modes'!$O73&gt;0, 'Power Consumption'!$D65,0)</f>
        <v>0</v>
      </c>
      <c r="R194" s="76">
        <f>IF('Power Modes'!$O73&gt;0, 'Power Consumption'!$F65,0)</f>
        <v>0</v>
      </c>
      <c r="S194" s="76">
        <f>IF('Power Modes'!$O73&gt;0, 'Power Consumption'!$H65,0)</f>
        <v>0</v>
      </c>
      <c r="T194" s="76">
        <f>IF('Power Modes'!$O73&gt;0, 'Power Consumption'!$J65,0)</f>
        <v>0</v>
      </c>
      <c r="V194" s="129">
        <f>IF('Power Modes'!$S73&gt;0, 'Power Consumption'!$D65,0)</f>
        <v>0</v>
      </c>
      <c r="W194" s="76">
        <f>IF('Power Modes'!$S73&gt;0, 'Power Consumption'!$F65,0)</f>
        <v>0</v>
      </c>
      <c r="X194" s="76">
        <f>IF('Power Modes'!$S73&gt;0, 'Power Consumption'!$H65,0)</f>
        <v>0</v>
      </c>
      <c r="Y194" s="76">
        <f>IF('Power Modes'!$S73&gt;0, 'Power Consumption'!$J65,0)</f>
        <v>0</v>
      </c>
      <c r="AA194" s="129">
        <f>IF('Power Modes'!$W73&gt;0, 'Power Consumption'!$D65,0)</f>
        <v>0</v>
      </c>
      <c r="AB194" s="76">
        <f>IF('Power Modes'!$W73&gt;0, 'Power Consumption'!$F65,0)</f>
        <v>0</v>
      </c>
      <c r="AC194" s="76">
        <f>IF('Power Modes'!$W73&gt;0, 'Power Consumption'!$H65,0)</f>
        <v>0</v>
      </c>
      <c r="AD194" s="76">
        <f>IF('Power Modes'!$W73&gt;0, 'Power Consumption'!$J65,0)</f>
        <v>0</v>
      </c>
    </row>
    <row r="195" spans="1:30" s="64" customFormat="1" hidden="1" outlineLevel="1" x14ac:dyDescent="0.25">
      <c r="A195" s="131" t="str">
        <f t="shared" si="1"/>
        <v>Consumer #62</v>
      </c>
      <c r="B195" s="137">
        <f>IF('Power Modes'!$C74&gt;0, 'Power Consumption'!$D66,0)</f>
        <v>0</v>
      </c>
      <c r="C195" s="76">
        <f>IF('Power Modes'!$C74&gt;0, 'Power Consumption'!$F66,0)</f>
        <v>0</v>
      </c>
      <c r="D195" s="76">
        <f>IF('Power Modes'!$C74&gt;0, 'Power Consumption'!$H66,0)</f>
        <v>0</v>
      </c>
      <c r="E195" s="138">
        <f>IF('Power Modes'!$C74&gt;0, 'Power Consumption'!$J66,0)</f>
        <v>0</v>
      </c>
      <c r="F195" s="147"/>
      <c r="G195" s="129">
        <f>IF('Power Modes'!$G74&gt;0, 'Power Consumption'!$D66,0)</f>
        <v>0</v>
      </c>
      <c r="H195" s="76">
        <f>IF('Power Modes'!$G74&gt;0, 'Power Consumption'!$F66,0)</f>
        <v>0</v>
      </c>
      <c r="I195" s="76">
        <f>IF('Power Modes'!$G74&gt;0, 'Power Consumption'!$H66,0)</f>
        <v>0</v>
      </c>
      <c r="J195" s="76">
        <f>IF('Power Modes'!$G74&gt;0, 'Power Consumption'!$J66,0)</f>
        <v>0</v>
      </c>
      <c r="K195" s="129"/>
      <c r="L195" s="129">
        <f>IF('Power Modes'!$K74&gt;0, 'Power Consumption'!$D66,0)</f>
        <v>0</v>
      </c>
      <c r="M195" s="76">
        <f>IF('Power Modes'!$K74&gt;0, 'Power Consumption'!$F66,0)</f>
        <v>0</v>
      </c>
      <c r="N195" s="76">
        <f>IF('Power Modes'!$K74&gt;0, 'Power Consumption'!$H66,0)</f>
        <v>0</v>
      </c>
      <c r="O195" s="76">
        <f>IF('Power Modes'!$K74&gt;0, 'Power Consumption'!$J66,0)</f>
        <v>0</v>
      </c>
      <c r="Q195" s="129">
        <f>IF('Power Modes'!$O74&gt;0, 'Power Consumption'!$D66,0)</f>
        <v>0</v>
      </c>
      <c r="R195" s="76">
        <f>IF('Power Modes'!$O74&gt;0, 'Power Consumption'!$F66,0)</f>
        <v>0</v>
      </c>
      <c r="S195" s="76">
        <f>IF('Power Modes'!$O74&gt;0, 'Power Consumption'!$H66,0)</f>
        <v>0</v>
      </c>
      <c r="T195" s="76">
        <f>IF('Power Modes'!$O74&gt;0, 'Power Consumption'!$J66,0)</f>
        <v>0</v>
      </c>
      <c r="V195" s="129">
        <f>IF('Power Modes'!$S74&gt;0, 'Power Consumption'!$D66,0)</f>
        <v>0</v>
      </c>
      <c r="W195" s="76">
        <f>IF('Power Modes'!$S74&gt;0, 'Power Consumption'!$F66,0)</f>
        <v>0</v>
      </c>
      <c r="X195" s="76">
        <f>IF('Power Modes'!$S74&gt;0, 'Power Consumption'!$H66,0)</f>
        <v>0</v>
      </c>
      <c r="Y195" s="76">
        <f>IF('Power Modes'!$S74&gt;0, 'Power Consumption'!$J66,0)</f>
        <v>0</v>
      </c>
      <c r="AA195" s="129">
        <f>IF('Power Modes'!$W74&gt;0, 'Power Consumption'!$D66,0)</f>
        <v>0</v>
      </c>
      <c r="AB195" s="76">
        <f>IF('Power Modes'!$W74&gt;0, 'Power Consumption'!$F66,0)</f>
        <v>0</v>
      </c>
      <c r="AC195" s="76">
        <f>IF('Power Modes'!$W74&gt;0, 'Power Consumption'!$H66,0)</f>
        <v>0</v>
      </c>
      <c r="AD195" s="76">
        <f>IF('Power Modes'!$W74&gt;0, 'Power Consumption'!$J66,0)</f>
        <v>0</v>
      </c>
    </row>
    <row r="196" spans="1:30" s="64" customFormat="1" hidden="1" outlineLevel="1" x14ac:dyDescent="0.25">
      <c r="A196" s="131" t="str">
        <f t="shared" si="1"/>
        <v>Consumer #63</v>
      </c>
      <c r="B196" s="137">
        <f>IF('Power Modes'!$C75&gt;0, 'Power Consumption'!$D67,0)</f>
        <v>0</v>
      </c>
      <c r="C196" s="76">
        <f>IF('Power Modes'!$C75&gt;0, 'Power Consumption'!$F67,0)</f>
        <v>0</v>
      </c>
      <c r="D196" s="76">
        <f>IF('Power Modes'!$C75&gt;0, 'Power Consumption'!$H67,0)</f>
        <v>0</v>
      </c>
      <c r="E196" s="138">
        <f>IF('Power Modes'!$C75&gt;0, 'Power Consumption'!$J67,0)</f>
        <v>0</v>
      </c>
      <c r="F196" s="147"/>
      <c r="G196" s="129">
        <f>IF('Power Modes'!$G75&gt;0, 'Power Consumption'!$D67,0)</f>
        <v>0</v>
      </c>
      <c r="H196" s="76">
        <f>IF('Power Modes'!$G75&gt;0, 'Power Consumption'!$F67,0)</f>
        <v>0</v>
      </c>
      <c r="I196" s="76">
        <f>IF('Power Modes'!$G75&gt;0, 'Power Consumption'!$H67,0)</f>
        <v>0</v>
      </c>
      <c r="J196" s="76">
        <f>IF('Power Modes'!$G75&gt;0, 'Power Consumption'!$J67,0)</f>
        <v>0</v>
      </c>
      <c r="K196" s="129"/>
      <c r="L196" s="129">
        <f>IF('Power Modes'!$K75&gt;0, 'Power Consumption'!$D67,0)</f>
        <v>0</v>
      </c>
      <c r="M196" s="76">
        <f>IF('Power Modes'!$K75&gt;0, 'Power Consumption'!$F67,0)</f>
        <v>0</v>
      </c>
      <c r="N196" s="76">
        <f>IF('Power Modes'!$K75&gt;0, 'Power Consumption'!$H67,0)</f>
        <v>0</v>
      </c>
      <c r="O196" s="76">
        <f>IF('Power Modes'!$K75&gt;0, 'Power Consumption'!$J67,0)</f>
        <v>0</v>
      </c>
      <c r="Q196" s="129">
        <f>IF('Power Modes'!$O75&gt;0, 'Power Consumption'!$D67,0)</f>
        <v>0</v>
      </c>
      <c r="R196" s="76">
        <f>IF('Power Modes'!$O75&gt;0, 'Power Consumption'!$F67,0)</f>
        <v>0</v>
      </c>
      <c r="S196" s="76">
        <f>IF('Power Modes'!$O75&gt;0, 'Power Consumption'!$H67,0)</f>
        <v>0</v>
      </c>
      <c r="T196" s="76">
        <f>IF('Power Modes'!$O75&gt;0, 'Power Consumption'!$J67,0)</f>
        <v>0</v>
      </c>
      <c r="V196" s="129">
        <f>IF('Power Modes'!$S75&gt;0, 'Power Consumption'!$D67,0)</f>
        <v>0</v>
      </c>
      <c r="W196" s="76">
        <f>IF('Power Modes'!$S75&gt;0, 'Power Consumption'!$F67,0)</f>
        <v>0</v>
      </c>
      <c r="X196" s="76">
        <f>IF('Power Modes'!$S75&gt;0, 'Power Consumption'!$H67,0)</f>
        <v>0</v>
      </c>
      <c r="Y196" s="76">
        <f>IF('Power Modes'!$S75&gt;0, 'Power Consumption'!$J67,0)</f>
        <v>0</v>
      </c>
      <c r="AA196" s="129">
        <f>IF('Power Modes'!$W75&gt;0, 'Power Consumption'!$D67,0)</f>
        <v>0</v>
      </c>
      <c r="AB196" s="76">
        <f>IF('Power Modes'!$W75&gt;0, 'Power Consumption'!$F67,0)</f>
        <v>0</v>
      </c>
      <c r="AC196" s="76">
        <f>IF('Power Modes'!$W75&gt;0, 'Power Consumption'!$H67,0)</f>
        <v>0</v>
      </c>
      <c r="AD196" s="76">
        <f>IF('Power Modes'!$W75&gt;0, 'Power Consumption'!$J67,0)</f>
        <v>0</v>
      </c>
    </row>
    <row r="197" spans="1:30" s="64" customFormat="1" hidden="1" outlineLevel="1" x14ac:dyDescent="0.25">
      <c r="A197" s="131" t="str">
        <f t="shared" si="1"/>
        <v>Consumer #64</v>
      </c>
      <c r="B197" s="137">
        <f>IF('Power Modes'!$C76&gt;0, 'Power Consumption'!$D68,0)</f>
        <v>0</v>
      </c>
      <c r="C197" s="76">
        <f>IF('Power Modes'!$C76&gt;0, 'Power Consumption'!$F68,0)</f>
        <v>0</v>
      </c>
      <c r="D197" s="76">
        <f>IF('Power Modes'!$C76&gt;0, 'Power Consumption'!$H68,0)</f>
        <v>0</v>
      </c>
      <c r="E197" s="138">
        <f>IF('Power Modes'!$C76&gt;0, 'Power Consumption'!$J68,0)</f>
        <v>0</v>
      </c>
      <c r="F197" s="147"/>
      <c r="G197" s="129">
        <f>IF('Power Modes'!$G76&gt;0, 'Power Consumption'!$D68,0)</f>
        <v>0</v>
      </c>
      <c r="H197" s="76">
        <f>IF('Power Modes'!$G76&gt;0, 'Power Consumption'!$F68,0)</f>
        <v>0</v>
      </c>
      <c r="I197" s="76">
        <f>IF('Power Modes'!$G76&gt;0, 'Power Consumption'!$H68,0)</f>
        <v>0</v>
      </c>
      <c r="J197" s="76">
        <f>IF('Power Modes'!$G76&gt;0, 'Power Consumption'!$J68,0)</f>
        <v>0</v>
      </c>
      <c r="K197" s="129"/>
      <c r="L197" s="129">
        <f>IF('Power Modes'!$K76&gt;0, 'Power Consumption'!$D68,0)</f>
        <v>0</v>
      </c>
      <c r="M197" s="76">
        <f>IF('Power Modes'!$K76&gt;0, 'Power Consumption'!$F68,0)</f>
        <v>0</v>
      </c>
      <c r="N197" s="76">
        <f>IF('Power Modes'!$K76&gt;0, 'Power Consumption'!$H68,0)</f>
        <v>0</v>
      </c>
      <c r="O197" s="76">
        <f>IF('Power Modes'!$K76&gt;0, 'Power Consumption'!$J68,0)</f>
        <v>0</v>
      </c>
      <c r="Q197" s="129">
        <f>IF('Power Modes'!$O76&gt;0, 'Power Consumption'!$D68,0)</f>
        <v>0</v>
      </c>
      <c r="R197" s="76">
        <f>IF('Power Modes'!$O76&gt;0, 'Power Consumption'!$F68,0)</f>
        <v>0</v>
      </c>
      <c r="S197" s="76">
        <f>IF('Power Modes'!$O76&gt;0, 'Power Consumption'!$H68,0)</f>
        <v>0</v>
      </c>
      <c r="T197" s="76">
        <f>IF('Power Modes'!$O76&gt;0, 'Power Consumption'!$J68,0)</f>
        <v>0</v>
      </c>
      <c r="V197" s="129">
        <f>IF('Power Modes'!$S76&gt;0, 'Power Consumption'!$D68,0)</f>
        <v>0</v>
      </c>
      <c r="W197" s="76">
        <f>IF('Power Modes'!$S76&gt;0, 'Power Consumption'!$F68,0)</f>
        <v>0</v>
      </c>
      <c r="X197" s="76">
        <f>IF('Power Modes'!$S76&gt;0, 'Power Consumption'!$H68,0)</f>
        <v>0</v>
      </c>
      <c r="Y197" s="76">
        <f>IF('Power Modes'!$S76&gt;0, 'Power Consumption'!$J68,0)</f>
        <v>0</v>
      </c>
      <c r="AA197" s="129">
        <f>IF('Power Modes'!$W76&gt;0, 'Power Consumption'!$D68,0)</f>
        <v>0</v>
      </c>
      <c r="AB197" s="76">
        <f>IF('Power Modes'!$W76&gt;0, 'Power Consumption'!$F68,0)</f>
        <v>0</v>
      </c>
      <c r="AC197" s="76">
        <f>IF('Power Modes'!$W76&gt;0, 'Power Consumption'!$H68,0)</f>
        <v>0</v>
      </c>
      <c r="AD197" s="76">
        <f>IF('Power Modes'!$W76&gt;0, 'Power Consumption'!$J68,0)</f>
        <v>0</v>
      </c>
    </row>
    <row r="198" spans="1:30" s="64" customFormat="1" hidden="1" outlineLevel="1" x14ac:dyDescent="0.25">
      <c r="A198" s="131" t="str">
        <f t="shared" ref="A198:A229" si="2">A83</f>
        <v>Consumer #65</v>
      </c>
      <c r="B198" s="137">
        <f>IF('Power Modes'!$C77&gt;0, 'Power Consumption'!$D69,0)</f>
        <v>0</v>
      </c>
      <c r="C198" s="76">
        <f>IF('Power Modes'!$C77&gt;0, 'Power Consumption'!$F69,0)</f>
        <v>0</v>
      </c>
      <c r="D198" s="76">
        <f>IF('Power Modes'!$C77&gt;0, 'Power Consumption'!$H69,0)</f>
        <v>0</v>
      </c>
      <c r="E198" s="138">
        <f>IF('Power Modes'!$C77&gt;0, 'Power Consumption'!$J69,0)</f>
        <v>0</v>
      </c>
      <c r="F198" s="147"/>
      <c r="G198" s="129">
        <f>IF('Power Modes'!$G77&gt;0, 'Power Consumption'!$D69,0)</f>
        <v>0</v>
      </c>
      <c r="H198" s="76">
        <f>IF('Power Modes'!$G77&gt;0, 'Power Consumption'!$F69,0)</f>
        <v>0</v>
      </c>
      <c r="I198" s="76">
        <f>IF('Power Modes'!$G77&gt;0, 'Power Consumption'!$H69,0)</f>
        <v>0</v>
      </c>
      <c r="J198" s="76">
        <f>IF('Power Modes'!$G77&gt;0, 'Power Consumption'!$J69,0)</f>
        <v>0</v>
      </c>
      <c r="K198" s="129"/>
      <c r="L198" s="129">
        <f>IF('Power Modes'!$K77&gt;0, 'Power Consumption'!$D69,0)</f>
        <v>0</v>
      </c>
      <c r="M198" s="76">
        <f>IF('Power Modes'!$K77&gt;0, 'Power Consumption'!$F69,0)</f>
        <v>0</v>
      </c>
      <c r="N198" s="76">
        <f>IF('Power Modes'!$K77&gt;0, 'Power Consumption'!$H69,0)</f>
        <v>0</v>
      </c>
      <c r="O198" s="76">
        <f>IF('Power Modes'!$K77&gt;0, 'Power Consumption'!$J69,0)</f>
        <v>0</v>
      </c>
      <c r="Q198" s="129">
        <f>IF('Power Modes'!$O77&gt;0, 'Power Consumption'!$D69,0)</f>
        <v>0</v>
      </c>
      <c r="R198" s="76">
        <f>IF('Power Modes'!$O77&gt;0, 'Power Consumption'!$F69,0)</f>
        <v>0</v>
      </c>
      <c r="S198" s="76">
        <f>IF('Power Modes'!$O77&gt;0, 'Power Consumption'!$H69,0)</f>
        <v>0</v>
      </c>
      <c r="T198" s="76">
        <f>IF('Power Modes'!$O77&gt;0, 'Power Consumption'!$J69,0)</f>
        <v>0</v>
      </c>
      <c r="V198" s="129">
        <f>IF('Power Modes'!$S77&gt;0, 'Power Consumption'!$D69,0)</f>
        <v>0</v>
      </c>
      <c r="W198" s="76">
        <f>IF('Power Modes'!$S77&gt;0, 'Power Consumption'!$F69,0)</f>
        <v>0</v>
      </c>
      <c r="X198" s="76">
        <f>IF('Power Modes'!$S77&gt;0, 'Power Consumption'!$H69,0)</f>
        <v>0</v>
      </c>
      <c r="Y198" s="76">
        <f>IF('Power Modes'!$S77&gt;0, 'Power Consumption'!$J69,0)</f>
        <v>0</v>
      </c>
      <c r="AA198" s="129">
        <f>IF('Power Modes'!$W77&gt;0, 'Power Consumption'!$D69,0)</f>
        <v>0</v>
      </c>
      <c r="AB198" s="76">
        <f>IF('Power Modes'!$W77&gt;0, 'Power Consumption'!$F69,0)</f>
        <v>0</v>
      </c>
      <c r="AC198" s="76">
        <f>IF('Power Modes'!$W77&gt;0, 'Power Consumption'!$H69,0)</f>
        <v>0</v>
      </c>
      <c r="AD198" s="76">
        <f>IF('Power Modes'!$W77&gt;0, 'Power Consumption'!$J69,0)</f>
        <v>0</v>
      </c>
    </row>
    <row r="199" spans="1:30" s="64" customFormat="1" hidden="1" outlineLevel="1" x14ac:dyDescent="0.25">
      <c r="A199" s="131" t="str">
        <f t="shared" si="2"/>
        <v>Consumer #66</v>
      </c>
      <c r="B199" s="137">
        <f>IF('Power Modes'!$C78&gt;0, 'Power Consumption'!$D70,0)</f>
        <v>0</v>
      </c>
      <c r="C199" s="76">
        <f>IF('Power Modes'!$C78&gt;0, 'Power Consumption'!$F70,0)</f>
        <v>0</v>
      </c>
      <c r="D199" s="76">
        <f>IF('Power Modes'!$C78&gt;0, 'Power Consumption'!$H70,0)</f>
        <v>0</v>
      </c>
      <c r="E199" s="138">
        <f>IF('Power Modes'!$C78&gt;0, 'Power Consumption'!$J70,0)</f>
        <v>0</v>
      </c>
      <c r="F199" s="147"/>
      <c r="G199" s="129">
        <f>IF('Power Modes'!$G78&gt;0, 'Power Consumption'!$D70,0)</f>
        <v>0</v>
      </c>
      <c r="H199" s="76">
        <f>IF('Power Modes'!$G78&gt;0, 'Power Consumption'!$F70,0)</f>
        <v>0</v>
      </c>
      <c r="I199" s="76">
        <f>IF('Power Modes'!$G78&gt;0, 'Power Consumption'!$H70,0)</f>
        <v>0</v>
      </c>
      <c r="J199" s="76">
        <f>IF('Power Modes'!$G78&gt;0, 'Power Consumption'!$J70,0)</f>
        <v>0</v>
      </c>
      <c r="K199" s="129"/>
      <c r="L199" s="129">
        <f>IF('Power Modes'!$K78&gt;0, 'Power Consumption'!$D70,0)</f>
        <v>0</v>
      </c>
      <c r="M199" s="76">
        <f>IF('Power Modes'!$K78&gt;0, 'Power Consumption'!$F70,0)</f>
        <v>0</v>
      </c>
      <c r="N199" s="76">
        <f>IF('Power Modes'!$K78&gt;0, 'Power Consumption'!$H70,0)</f>
        <v>0</v>
      </c>
      <c r="O199" s="76">
        <f>IF('Power Modes'!$K78&gt;0, 'Power Consumption'!$J70,0)</f>
        <v>0</v>
      </c>
      <c r="Q199" s="129">
        <f>IF('Power Modes'!$O78&gt;0, 'Power Consumption'!$D70,0)</f>
        <v>0</v>
      </c>
      <c r="R199" s="76">
        <f>IF('Power Modes'!$O78&gt;0, 'Power Consumption'!$F70,0)</f>
        <v>0</v>
      </c>
      <c r="S199" s="76">
        <f>IF('Power Modes'!$O78&gt;0, 'Power Consumption'!$H70,0)</f>
        <v>0</v>
      </c>
      <c r="T199" s="76">
        <f>IF('Power Modes'!$O78&gt;0, 'Power Consumption'!$J70,0)</f>
        <v>0</v>
      </c>
      <c r="V199" s="129">
        <f>IF('Power Modes'!$S78&gt;0, 'Power Consumption'!$D70,0)</f>
        <v>0</v>
      </c>
      <c r="W199" s="76">
        <f>IF('Power Modes'!$S78&gt;0, 'Power Consumption'!$F70,0)</f>
        <v>0</v>
      </c>
      <c r="X199" s="76">
        <f>IF('Power Modes'!$S78&gt;0, 'Power Consumption'!$H70,0)</f>
        <v>0</v>
      </c>
      <c r="Y199" s="76">
        <f>IF('Power Modes'!$S78&gt;0, 'Power Consumption'!$J70,0)</f>
        <v>0</v>
      </c>
      <c r="AA199" s="129">
        <f>IF('Power Modes'!$W78&gt;0, 'Power Consumption'!$D70,0)</f>
        <v>0</v>
      </c>
      <c r="AB199" s="76">
        <f>IF('Power Modes'!$W78&gt;0, 'Power Consumption'!$F70,0)</f>
        <v>0</v>
      </c>
      <c r="AC199" s="76">
        <f>IF('Power Modes'!$W78&gt;0, 'Power Consumption'!$H70,0)</f>
        <v>0</v>
      </c>
      <c r="AD199" s="76">
        <f>IF('Power Modes'!$W78&gt;0, 'Power Consumption'!$J70,0)</f>
        <v>0</v>
      </c>
    </row>
    <row r="200" spans="1:30" s="64" customFormat="1" hidden="1" outlineLevel="1" x14ac:dyDescent="0.25">
      <c r="A200" s="131" t="str">
        <f t="shared" si="2"/>
        <v>Consumer #67</v>
      </c>
      <c r="B200" s="137">
        <f>IF('Power Modes'!$C79&gt;0, 'Power Consumption'!$D71,0)</f>
        <v>0</v>
      </c>
      <c r="C200" s="76">
        <f>IF('Power Modes'!$C79&gt;0, 'Power Consumption'!$F71,0)</f>
        <v>0</v>
      </c>
      <c r="D200" s="76">
        <f>IF('Power Modes'!$C79&gt;0, 'Power Consumption'!$H71,0)</f>
        <v>0</v>
      </c>
      <c r="E200" s="138">
        <f>IF('Power Modes'!$C79&gt;0, 'Power Consumption'!$J71,0)</f>
        <v>0</v>
      </c>
      <c r="F200" s="147"/>
      <c r="G200" s="129">
        <f>IF('Power Modes'!$G79&gt;0, 'Power Consumption'!$D71,0)</f>
        <v>0</v>
      </c>
      <c r="H200" s="76">
        <f>IF('Power Modes'!$G79&gt;0, 'Power Consumption'!$F71,0)</f>
        <v>0</v>
      </c>
      <c r="I200" s="76">
        <f>IF('Power Modes'!$G79&gt;0, 'Power Consumption'!$H71,0)</f>
        <v>0</v>
      </c>
      <c r="J200" s="76">
        <f>IF('Power Modes'!$G79&gt;0, 'Power Consumption'!$J71,0)</f>
        <v>0</v>
      </c>
      <c r="K200" s="129"/>
      <c r="L200" s="129">
        <f>IF('Power Modes'!$K79&gt;0, 'Power Consumption'!$D71,0)</f>
        <v>0</v>
      </c>
      <c r="M200" s="76">
        <f>IF('Power Modes'!$K79&gt;0, 'Power Consumption'!$F71,0)</f>
        <v>0</v>
      </c>
      <c r="N200" s="76">
        <f>IF('Power Modes'!$K79&gt;0, 'Power Consumption'!$H71,0)</f>
        <v>0</v>
      </c>
      <c r="O200" s="76">
        <f>IF('Power Modes'!$K79&gt;0, 'Power Consumption'!$J71,0)</f>
        <v>0</v>
      </c>
      <c r="Q200" s="129">
        <f>IF('Power Modes'!$O79&gt;0, 'Power Consumption'!$D71,0)</f>
        <v>0</v>
      </c>
      <c r="R200" s="76">
        <f>IF('Power Modes'!$O79&gt;0, 'Power Consumption'!$F71,0)</f>
        <v>0</v>
      </c>
      <c r="S200" s="76">
        <f>IF('Power Modes'!$O79&gt;0, 'Power Consumption'!$H71,0)</f>
        <v>0</v>
      </c>
      <c r="T200" s="76">
        <f>IF('Power Modes'!$O79&gt;0, 'Power Consumption'!$J71,0)</f>
        <v>0</v>
      </c>
      <c r="V200" s="129">
        <f>IF('Power Modes'!$S79&gt;0, 'Power Consumption'!$D71,0)</f>
        <v>0</v>
      </c>
      <c r="W200" s="76">
        <f>IF('Power Modes'!$S79&gt;0, 'Power Consumption'!$F71,0)</f>
        <v>0</v>
      </c>
      <c r="X200" s="76">
        <f>IF('Power Modes'!$S79&gt;0, 'Power Consumption'!$H71,0)</f>
        <v>0</v>
      </c>
      <c r="Y200" s="76">
        <f>IF('Power Modes'!$S79&gt;0, 'Power Consumption'!$J71,0)</f>
        <v>0</v>
      </c>
      <c r="AA200" s="129">
        <f>IF('Power Modes'!$W79&gt;0, 'Power Consumption'!$D71,0)</f>
        <v>0</v>
      </c>
      <c r="AB200" s="76">
        <f>IF('Power Modes'!$W79&gt;0, 'Power Consumption'!$F71,0)</f>
        <v>0</v>
      </c>
      <c r="AC200" s="76">
        <f>IF('Power Modes'!$W79&gt;0, 'Power Consumption'!$H71,0)</f>
        <v>0</v>
      </c>
      <c r="AD200" s="76">
        <f>IF('Power Modes'!$W79&gt;0, 'Power Consumption'!$J71,0)</f>
        <v>0</v>
      </c>
    </row>
    <row r="201" spans="1:30" s="64" customFormat="1" hidden="1" outlineLevel="1" x14ac:dyDescent="0.25">
      <c r="A201" s="131" t="str">
        <f t="shared" si="2"/>
        <v>Consumer #68</v>
      </c>
      <c r="B201" s="137">
        <f>IF('Power Modes'!$C80&gt;0, 'Power Consumption'!$D72,0)</f>
        <v>0</v>
      </c>
      <c r="C201" s="76">
        <f>IF('Power Modes'!$C80&gt;0, 'Power Consumption'!$F72,0)</f>
        <v>0</v>
      </c>
      <c r="D201" s="76">
        <f>IF('Power Modes'!$C80&gt;0, 'Power Consumption'!$H72,0)</f>
        <v>0</v>
      </c>
      <c r="E201" s="138">
        <f>IF('Power Modes'!$C80&gt;0, 'Power Consumption'!$J72,0)</f>
        <v>0</v>
      </c>
      <c r="F201" s="147"/>
      <c r="G201" s="129">
        <f>IF('Power Modes'!$G80&gt;0, 'Power Consumption'!$D72,0)</f>
        <v>0</v>
      </c>
      <c r="H201" s="76">
        <f>IF('Power Modes'!$G80&gt;0, 'Power Consumption'!$F72,0)</f>
        <v>0</v>
      </c>
      <c r="I201" s="76">
        <f>IF('Power Modes'!$G80&gt;0, 'Power Consumption'!$H72,0)</f>
        <v>0</v>
      </c>
      <c r="J201" s="76">
        <f>IF('Power Modes'!$G80&gt;0, 'Power Consumption'!$J72,0)</f>
        <v>0</v>
      </c>
      <c r="K201" s="129"/>
      <c r="L201" s="129">
        <f>IF('Power Modes'!$K80&gt;0, 'Power Consumption'!$D72,0)</f>
        <v>0</v>
      </c>
      <c r="M201" s="76">
        <f>IF('Power Modes'!$K80&gt;0, 'Power Consumption'!$F72,0)</f>
        <v>0</v>
      </c>
      <c r="N201" s="76">
        <f>IF('Power Modes'!$K80&gt;0, 'Power Consumption'!$H72,0)</f>
        <v>0</v>
      </c>
      <c r="O201" s="76">
        <f>IF('Power Modes'!$K80&gt;0, 'Power Consumption'!$J72,0)</f>
        <v>0</v>
      </c>
      <c r="Q201" s="129">
        <f>IF('Power Modes'!$O80&gt;0, 'Power Consumption'!$D72,0)</f>
        <v>0</v>
      </c>
      <c r="R201" s="76">
        <f>IF('Power Modes'!$O80&gt;0, 'Power Consumption'!$F72,0)</f>
        <v>0</v>
      </c>
      <c r="S201" s="76">
        <f>IF('Power Modes'!$O80&gt;0, 'Power Consumption'!$H72,0)</f>
        <v>0</v>
      </c>
      <c r="T201" s="76">
        <f>IF('Power Modes'!$O80&gt;0, 'Power Consumption'!$J72,0)</f>
        <v>0</v>
      </c>
      <c r="V201" s="129">
        <f>IF('Power Modes'!$S80&gt;0, 'Power Consumption'!$D72,0)</f>
        <v>0</v>
      </c>
      <c r="W201" s="76">
        <f>IF('Power Modes'!$S80&gt;0, 'Power Consumption'!$F72,0)</f>
        <v>0</v>
      </c>
      <c r="X201" s="76">
        <f>IF('Power Modes'!$S80&gt;0, 'Power Consumption'!$H72,0)</f>
        <v>0</v>
      </c>
      <c r="Y201" s="76">
        <f>IF('Power Modes'!$S80&gt;0, 'Power Consumption'!$J72,0)</f>
        <v>0</v>
      </c>
      <c r="AA201" s="129">
        <f>IF('Power Modes'!$W80&gt;0, 'Power Consumption'!$D72,0)</f>
        <v>0</v>
      </c>
      <c r="AB201" s="76">
        <f>IF('Power Modes'!$W80&gt;0, 'Power Consumption'!$F72,0)</f>
        <v>0</v>
      </c>
      <c r="AC201" s="76">
        <f>IF('Power Modes'!$W80&gt;0, 'Power Consumption'!$H72,0)</f>
        <v>0</v>
      </c>
      <c r="AD201" s="76">
        <f>IF('Power Modes'!$W80&gt;0, 'Power Consumption'!$J72,0)</f>
        <v>0</v>
      </c>
    </row>
    <row r="202" spans="1:30" s="64" customFormat="1" hidden="1" outlineLevel="1" x14ac:dyDescent="0.25">
      <c r="A202" s="131" t="str">
        <f t="shared" si="2"/>
        <v>Consumer #69</v>
      </c>
      <c r="B202" s="137">
        <f>IF('Power Modes'!$C81&gt;0, 'Power Consumption'!$D73,0)</f>
        <v>0</v>
      </c>
      <c r="C202" s="76">
        <f>IF('Power Modes'!$C81&gt;0, 'Power Consumption'!$F73,0)</f>
        <v>0</v>
      </c>
      <c r="D202" s="76">
        <f>IF('Power Modes'!$C81&gt;0, 'Power Consumption'!$H73,0)</f>
        <v>0</v>
      </c>
      <c r="E202" s="138">
        <f>IF('Power Modes'!$C81&gt;0, 'Power Consumption'!$J73,0)</f>
        <v>0</v>
      </c>
      <c r="F202" s="147"/>
      <c r="G202" s="129">
        <f>IF('Power Modes'!$G81&gt;0, 'Power Consumption'!$D73,0)</f>
        <v>0</v>
      </c>
      <c r="H202" s="76">
        <f>IF('Power Modes'!$G81&gt;0, 'Power Consumption'!$F73,0)</f>
        <v>0</v>
      </c>
      <c r="I202" s="76">
        <f>IF('Power Modes'!$G81&gt;0, 'Power Consumption'!$H73,0)</f>
        <v>0</v>
      </c>
      <c r="J202" s="76">
        <f>IF('Power Modes'!$G81&gt;0, 'Power Consumption'!$J73,0)</f>
        <v>0</v>
      </c>
      <c r="K202" s="129"/>
      <c r="L202" s="129">
        <f>IF('Power Modes'!$K81&gt;0, 'Power Consumption'!$D73,0)</f>
        <v>0</v>
      </c>
      <c r="M202" s="76">
        <f>IF('Power Modes'!$K81&gt;0, 'Power Consumption'!$F73,0)</f>
        <v>0</v>
      </c>
      <c r="N202" s="76">
        <f>IF('Power Modes'!$K81&gt;0, 'Power Consumption'!$H73,0)</f>
        <v>0</v>
      </c>
      <c r="O202" s="76">
        <f>IF('Power Modes'!$K81&gt;0, 'Power Consumption'!$J73,0)</f>
        <v>0</v>
      </c>
      <c r="Q202" s="129">
        <f>IF('Power Modes'!$O81&gt;0, 'Power Consumption'!$D73,0)</f>
        <v>0</v>
      </c>
      <c r="R202" s="76">
        <f>IF('Power Modes'!$O81&gt;0, 'Power Consumption'!$F73,0)</f>
        <v>0</v>
      </c>
      <c r="S202" s="76">
        <f>IF('Power Modes'!$O81&gt;0, 'Power Consumption'!$H73,0)</f>
        <v>0</v>
      </c>
      <c r="T202" s="76">
        <f>IF('Power Modes'!$O81&gt;0, 'Power Consumption'!$J73,0)</f>
        <v>0</v>
      </c>
      <c r="V202" s="129">
        <f>IF('Power Modes'!$S81&gt;0, 'Power Consumption'!$D73,0)</f>
        <v>0</v>
      </c>
      <c r="W202" s="76">
        <f>IF('Power Modes'!$S81&gt;0, 'Power Consumption'!$F73,0)</f>
        <v>0</v>
      </c>
      <c r="X202" s="76">
        <f>IF('Power Modes'!$S81&gt;0, 'Power Consumption'!$H73,0)</f>
        <v>0</v>
      </c>
      <c r="Y202" s="76">
        <f>IF('Power Modes'!$S81&gt;0, 'Power Consumption'!$J73,0)</f>
        <v>0</v>
      </c>
      <c r="AA202" s="129">
        <f>IF('Power Modes'!$W81&gt;0, 'Power Consumption'!$D73,0)</f>
        <v>0</v>
      </c>
      <c r="AB202" s="76">
        <f>IF('Power Modes'!$W81&gt;0, 'Power Consumption'!$F73,0)</f>
        <v>0</v>
      </c>
      <c r="AC202" s="76">
        <f>IF('Power Modes'!$W81&gt;0, 'Power Consumption'!$H73,0)</f>
        <v>0</v>
      </c>
      <c r="AD202" s="76">
        <f>IF('Power Modes'!$W81&gt;0, 'Power Consumption'!$J73,0)</f>
        <v>0</v>
      </c>
    </row>
    <row r="203" spans="1:30" s="64" customFormat="1" hidden="1" outlineLevel="1" x14ac:dyDescent="0.25">
      <c r="A203" s="131" t="str">
        <f t="shared" si="2"/>
        <v>Consumer #70</v>
      </c>
      <c r="B203" s="137">
        <f>IF('Power Modes'!$C82&gt;0, 'Power Consumption'!$D74,0)</f>
        <v>0</v>
      </c>
      <c r="C203" s="76">
        <f>IF('Power Modes'!$C82&gt;0, 'Power Consumption'!$F74,0)</f>
        <v>0</v>
      </c>
      <c r="D203" s="76">
        <f>IF('Power Modes'!$C82&gt;0, 'Power Consumption'!$H74,0)</f>
        <v>0</v>
      </c>
      <c r="E203" s="138">
        <f>IF('Power Modes'!$C82&gt;0, 'Power Consumption'!$J74,0)</f>
        <v>0</v>
      </c>
      <c r="F203" s="147"/>
      <c r="G203" s="129">
        <f>IF('Power Modes'!$G82&gt;0, 'Power Consumption'!$D74,0)</f>
        <v>0</v>
      </c>
      <c r="H203" s="76">
        <f>IF('Power Modes'!$G82&gt;0, 'Power Consumption'!$F74,0)</f>
        <v>0</v>
      </c>
      <c r="I203" s="76">
        <f>IF('Power Modes'!$G82&gt;0, 'Power Consumption'!$H74,0)</f>
        <v>0</v>
      </c>
      <c r="J203" s="76">
        <f>IF('Power Modes'!$G82&gt;0, 'Power Consumption'!$J74,0)</f>
        <v>0</v>
      </c>
      <c r="K203" s="129"/>
      <c r="L203" s="129">
        <f>IF('Power Modes'!$K82&gt;0, 'Power Consumption'!$D74,0)</f>
        <v>0</v>
      </c>
      <c r="M203" s="76">
        <f>IF('Power Modes'!$K82&gt;0, 'Power Consumption'!$F74,0)</f>
        <v>0</v>
      </c>
      <c r="N203" s="76">
        <f>IF('Power Modes'!$K82&gt;0, 'Power Consumption'!$H74,0)</f>
        <v>0</v>
      </c>
      <c r="O203" s="76">
        <f>IF('Power Modes'!$K82&gt;0, 'Power Consumption'!$J74,0)</f>
        <v>0</v>
      </c>
      <c r="Q203" s="129">
        <f>IF('Power Modes'!$O82&gt;0, 'Power Consumption'!$D74,0)</f>
        <v>0</v>
      </c>
      <c r="R203" s="76">
        <f>IF('Power Modes'!$O82&gt;0, 'Power Consumption'!$F74,0)</f>
        <v>0</v>
      </c>
      <c r="S203" s="76">
        <f>IF('Power Modes'!$O82&gt;0, 'Power Consumption'!$H74,0)</f>
        <v>0</v>
      </c>
      <c r="T203" s="76">
        <f>IF('Power Modes'!$O82&gt;0, 'Power Consumption'!$J74,0)</f>
        <v>0</v>
      </c>
      <c r="V203" s="129">
        <f>IF('Power Modes'!$S82&gt;0, 'Power Consumption'!$D74,0)</f>
        <v>0</v>
      </c>
      <c r="W203" s="76">
        <f>IF('Power Modes'!$S82&gt;0, 'Power Consumption'!$F74,0)</f>
        <v>0</v>
      </c>
      <c r="X203" s="76">
        <f>IF('Power Modes'!$S82&gt;0, 'Power Consumption'!$H74,0)</f>
        <v>0</v>
      </c>
      <c r="Y203" s="76">
        <f>IF('Power Modes'!$S82&gt;0, 'Power Consumption'!$J74,0)</f>
        <v>0</v>
      </c>
      <c r="AA203" s="129">
        <f>IF('Power Modes'!$W82&gt;0, 'Power Consumption'!$D74,0)</f>
        <v>0</v>
      </c>
      <c r="AB203" s="76">
        <f>IF('Power Modes'!$W82&gt;0, 'Power Consumption'!$F74,0)</f>
        <v>0</v>
      </c>
      <c r="AC203" s="76">
        <f>IF('Power Modes'!$W82&gt;0, 'Power Consumption'!$H74,0)</f>
        <v>0</v>
      </c>
      <c r="AD203" s="76">
        <f>IF('Power Modes'!$W82&gt;0, 'Power Consumption'!$J74,0)</f>
        <v>0</v>
      </c>
    </row>
    <row r="204" spans="1:30" s="64" customFormat="1" hidden="1" outlineLevel="1" x14ac:dyDescent="0.25">
      <c r="A204" s="131" t="str">
        <f t="shared" si="2"/>
        <v>Consumer #71</v>
      </c>
      <c r="B204" s="137">
        <f>IF('Power Modes'!$C83&gt;0, 'Power Consumption'!$D75,0)</f>
        <v>0</v>
      </c>
      <c r="C204" s="76">
        <f>IF('Power Modes'!$C83&gt;0, 'Power Consumption'!$F75,0)</f>
        <v>0</v>
      </c>
      <c r="D204" s="76">
        <f>IF('Power Modes'!$C83&gt;0, 'Power Consumption'!$H75,0)</f>
        <v>0</v>
      </c>
      <c r="E204" s="138">
        <f>IF('Power Modes'!$C83&gt;0, 'Power Consumption'!$J75,0)</f>
        <v>0</v>
      </c>
      <c r="F204" s="147"/>
      <c r="G204" s="129">
        <f>IF('Power Modes'!$G83&gt;0, 'Power Consumption'!$D75,0)</f>
        <v>0</v>
      </c>
      <c r="H204" s="76">
        <f>IF('Power Modes'!$G83&gt;0, 'Power Consumption'!$F75,0)</f>
        <v>0</v>
      </c>
      <c r="I204" s="76">
        <f>IF('Power Modes'!$G83&gt;0, 'Power Consumption'!$H75,0)</f>
        <v>0</v>
      </c>
      <c r="J204" s="76">
        <f>IF('Power Modes'!$G83&gt;0, 'Power Consumption'!$J75,0)</f>
        <v>0</v>
      </c>
      <c r="K204" s="129"/>
      <c r="L204" s="129">
        <f>IF('Power Modes'!$K83&gt;0, 'Power Consumption'!$D75,0)</f>
        <v>0</v>
      </c>
      <c r="M204" s="76">
        <f>IF('Power Modes'!$K83&gt;0, 'Power Consumption'!$F75,0)</f>
        <v>0</v>
      </c>
      <c r="N204" s="76">
        <f>IF('Power Modes'!$K83&gt;0, 'Power Consumption'!$H75,0)</f>
        <v>0</v>
      </c>
      <c r="O204" s="76">
        <f>IF('Power Modes'!$K83&gt;0, 'Power Consumption'!$J75,0)</f>
        <v>0</v>
      </c>
      <c r="Q204" s="129">
        <f>IF('Power Modes'!$O83&gt;0, 'Power Consumption'!$D75,0)</f>
        <v>0</v>
      </c>
      <c r="R204" s="76">
        <f>IF('Power Modes'!$O83&gt;0, 'Power Consumption'!$F75,0)</f>
        <v>0</v>
      </c>
      <c r="S204" s="76">
        <f>IF('Power Modes'!$O83&gt;0, 'Power Consumption'!$H75,0)</f>
        <v>0</v>
      </c>
      <c r="T204" s="76">
        <f>IF('Power Modes'!$O83&gt;0, 'Power Consumption'!$J75,0)</f>
        <v>0</v>
      </c>
      <c r="V204" s="129">
        <f>IF('Power Modes'!$S83&gt;0, 'Power Consumption'!$D75,0)</f>
        <v>0</v>
      </c>
      <c r="W204" s="76">
        <f>IF('Power Modes'!$S83&gt;0, 'Power Consumption'!$F75,0)</f>
        <v>0</v>
      </c>
      <c r="X204" s="76">
        <f>IF('Power Modes'!$S83&gt;0, 'Power Consumption'!$H75,0)</f>
        <v>0</v>
      </c>
      <c r="Y204" s="76">
        <f>IF('Power Modes'!$S83&gt;0, 'Power Consumption'!$J75,0)</f>
        <v>0</v>
      </c>
      <c r="AA204" s="129">
        <f>IF('Power Modes'!$W83&gt;0, 'Power Consumption'!$D75,0)</f>
        <v>0</v>
      </c>
      <c r="AB204" s="76">
        <f>IF('Power Modes'!$W83&gt;0, 'Power Consumption'!$F75,0)</f>
        <v>0</v>
      </c>
      <c r="AC204" s="76">
        <f>IF('Power Modes'!$W83&gt;0, 'Power Consumption'!$H75,0)</f>
        <v>0</v>
      </c>
      <c r="AD204" s="76">
        <f>IF('Power Modes'!$W83&gt;0, 'Power Consumption'!$J75,0)</f>
        <v>0</v>
      </c>
    </row>
    <row r="205" spans="1:30" s="64" customFormat="1" hidden="1" outlineLevel="1" x14ac:dyDescent="0.25">
      <c r="A205" s="131" t="str">
        <f t="shared" si="2"/>
        <v>Consumer #72</v>
      </c>
      <c r="B205" s="137">
        <f>IF('Power Modes'!$C84&gt;0, 'Power Consumption'!$D76,0)</f>
        <v>0</v>
      </c>
      <c r="C205" s="76">
        <f>IF('Power Modes'!$C84&gt;0, 'Power Consumption'!$F76,0)</f>
        <v>0</v>
      </c>
      <c r="D205" s="76">
        <f>IF('Power Modes'!$C84&gt;0, 'Power Consumption'!$H76,0)</f>
        <v>0</v>
      </c>
      <c r="E205" s="138">
        <f>IF('Power Modes'!$C84&gt;0, 'Power Consumption'!$J76,0)</f>
        <v>0</v>
      </c>
      <c r="F205" s="147"/>
      <c r="G205" s="129">
        <f>IF('Power Modes'!$G84&gt;0, 'Power Consumption'!$D76,0)</f>
        <v>0</v>
      </c>
      <c r="H205" s="76">
        <f>IF('Power Modes'!$G84&gt;0, 'Power Consumption'!$F76,0)</f>
        <v>0</v>
      </c>
      <c r="I205" s="76">
        <f>IF('Power Modes'!$G84&gt;0, 'Power Consumption'!$H76,0)</f>
        <v>0</v>
      </c>
      <c r="J205" s="76">
        <f>IF('Power Modes'!$G84&gt;0, 'Power Consumption'!$J76,0)</f>
        <v>0</v>
      </c>
      <c r="K205" s="129"/>
      <c r="L205" s="129">
        <f>IF('Power Modes'!$K84&gt;0, 'Power Consumption'!$D76,0)</f>
        <v>0</v>
      </c>
      <c r="M205" s="76">
        <f>IF('Power Modes'!$K84&gt;0, 'Power Consumption'!$F76,0)</f>
        <v>0</v>
      </c>
      <c r="N205" s="76">
        <f>IF('Power Modes'!$K84&gt;0, 'Power Consumption'!$H76,0)</f>
        <v>0</v>
      </c>
      <c r="O205" s="76">
        <f>IF('Power Modes'!$K84&gt;0, 'Power Consumption'!$J76,0)</f>
        <v>0</v>
      </c>
      <c r="Q205" s="129">
        <f>IF('Power Modes'!$O84&gt;0, 'Power Consumption'!$D76,0)</f>
        <v>0</v>
      </c>
      <c r="R205" s="76">
        <f>IF('Power Modes'!$O84&gt;0, 'Power Consumption'!$F76,0)</f>
        <v>0</v>
      </c>
      <c r="S205" s="76">
        <f>IF('Power Modes'!$O84&gt;0, 'Power Consumption'!$H76,0)</f>
        <v>0</v>
      </c>
      <c r="T205" s="76">
        <f>IF('Power Modes'!$O84&gt;0, 'Power Consumption'!$J76,0)</f>
        <v>0</v>
      </c>
      <c r="V205" s="129">
        <f>IF('Power Modes'!$S84&gt;0, 'Power Consumption'!$D76,0)</f>
        <v>0</v>
      </c>
      <c r="W205" s="76">
        <f>IF('Power Modes'!$S84&gt;0, 'Power Consumption'!$F76,0)</f>
        <v>0</v>
      </c>
      <c r="X205" s="76">
        <f>IF('Power Modes'!$S84&gt;0, 'Power Consumption'!$H76,0)</f>
        <v>0</v>
      </c>
      <c r="Y205" s="76">
        <f>IF('Power Modes'!$S84&gt;0, 'Power Consumption'!$J76,0)</f>
        <v>0</v>
      </c>
      <c r="AA205" s="129">
        <f>IF('Power Modes'!$W84&gt;0, 'Power Consumption'!$D76,0)</f>
        <v>0</v>
      </c>
      <c r="AB205" s="76">
        <f>IF('Power Modes'!$W84&gt;0, 'Power Consumption'!$F76,0)</f>
        <v>0</v>
      </c>
      <c r="AC205" s="76">
        <f>IF('Power Modes'!$W84&gt;0, 'Power Consumption'!$H76,0)</f>
        <v>0</v>
      </c>
      <c r="AD205" s="76">
        <f>IF('Power Modes'!$W84&gt;0, 'Power Consumption'!$J76,0)</f>
        <v>0</v>
      </c>
    </row>
    <row r="206" spans="1:30" s="64" customFormat="1" hidden="1" outlineLevel="1" x14ac:dyDescent="0.25">
      <c r="A206" s="131" t="str">
        <f t="shared" si="2"/>
        <v>Consumer #73</v>
      </c>
      <c r="B206" s="137">
        <f>IF('Power Modes'!$C85&gt;0, 'Power Consumption'!$D77,0)</f>
        <v>0</v>
      </c>
      <c r="C206" s="76">
        <f>IF('Power Modes'!$C85&gt;0, 'Power Consumption'!$F77,0)</f>
        <v>0</v>
      </c>
      <c r="D206" s="76">
        <f>IF('Power Modes'!$C85&gt;0, 'Power Consumption'!$H77,0)</f>
        <v>0</v>
      </c>
      <c r="E206" s="138">
        <f>IF('Power Modes'!$C85&gt;0, 'Power Consumption'!$J77,0)</f>
        <v>0</v>
      </c>
      <c r="F206" s="147"/>
      <c r="G206" s="129">
        <f>IF('Power Modes'!$G85&gt;0, 'Power Consumption'!$D77,0)</f>
        <v>0</v>
      </c>
      <c r="H206" s="76">
        <f>IF('Power Modes'!$G85&gt;0, 'Power Consumption'!$F77,0)</f>
        <v>0</v>
      </c>
      <c r="I206" s="76">
        <f>IF('Power Modes'!$G85&gt;0, 'Power Consumption'!$H77,0)</f>
        <v>0</v>
      </c>
      <c r="J206" s="76">
        <f>IF('Power Modes'!$G85&gt;0, 'Power Consumption'!$J77,0)</f>
        <v>0</v>
      </c>
      <c r="K206" s="129"/>
      <c r="L206" s="129">
        <f>IF('Power Modes'!$K85&gt;0, 'Power Consumption'!$D77,0)</f>
        <v>0</v>
      </c>
      <c r="M206" s="76">
        <f>IF('Power Modes'!$K85&gt;0, 'Power Consumption'!$F77,0)</f>
        <v>0</v>
      </c>
      <c r="N206" s="76">
        <f>IF('Power Modes'!$K85&gt;0, 'Power Consumption'!$H77,0)</f>
        <v>0</v>
      </c>
      <c r="O206" s="76">
        <f>IF('Power Modes'!$K85&gt;0, 'Power Consumption'!$J77,0)</f>
        <v>0</v>
      </c>
      <c r="Q206" s="129">
        <f>IF('Power Modes'!$O85&gt;0, 'Power Consumption'!$D77,0)</f>
        <v>0</v>
      </c>
      <c r="R206" s="76">
        <f>IF('Power Modes'!$O85&gt;0, 'Power Consumption'!$F77,0)</f>
        <v>0</v>
      </c>
      <c r="S206" s="76">
        <f>IF('Power Modes'!$O85&gt;0, 'Power Consumption'!$H77,0)</f>
        <v>0</v>
      </c>
      <c r="T206" s="76">
        <f>IF('Power Modes'!$O85&gt;0, 'Power Consumption'!$J77,0)</f>
        <v>0</v>
      </c>
      <c r="V206" s="129">
        <f>IF('Power Modes'!$S85&gt;0, 'Power Consumption'!$D77,0)</f>
        <v>0</v>
      </c>
      <c r="W206" s="76">
        <f>IF('Power Modes'!$S85&gt;0, 'Power Consumption'!$F77,0)</f>
        <v>0</v>
      </c>
      <c r="X206" s="76">
        <f>IF('Power Modes'!$S85&gt;0, 'Power Consumption'!$H77,0)</f>
        <v>0</v>
      </c>
      <c r="Y206" s="76">
        <f>IF('Power Modes'!$S85&gt;0, 'Power Consumption'!$J77,0)</f>
        <v>0</v>
      </c>
      <c r="AA206" s="129">
        <f>IF('Power Modes'!$W85&gt;0, 'Power Consumption'!$D77,0)</f>
        <v>0</v>
      </c>
      <c r="AB206" s="76">
        <f>IF('Power Modes'!$W85&gt;0, 'Power Consumption'!$F77,0)</f>
        <v>0</v>
      </c>
      <c r="AC206" s="76">
        <f>IF('Power Modes'!$W85&gt;0, 'Power Consumption'!$H77,0)</f>
        <v>0</v>
      </c>
      <c r="AD206" s="76">
        <f>IF('Power Modes'!$W85&gt;0, 'Power Consumption'!$J77,0)</f>
        <v>0</v>
      </c>
    </row>
    <row r="207" spans="1:30" s="64" customFormat="1" hidden="1" outlineLevel="1" x14ac:dyDescent="0.25">
      <c r="A207" s="131" t="str">
        <f t="shared" si="2"/>
        <v>Consumer #74</v>
      </c>
      <c r="B207" s="137">
        <f>IF('Power Modes'!$C86&gt;0, 'Power Consumption'!$D78,0)</f>
        <v>0</v>
      </c>
      <c r="C207" s="76">
        <f>IF('Power Modes'!$C86&gt;0, 'Power Consumption'!$F78,0)</f>
        <v>0</v>
      </c>
      <c r="D207" s="76">
        <f>IF('Power Modes'!$C86&gt;0, 'Power Consumption'!$H78,0)</f>
        <v>0</v>
      </c>
      <c r="E207" s="138">
        <f>IF('Power Modes'!$C86&gt;0, 'Power Consumption'!$J78,0)</f>
        <v>0</v>
      </c>
      <c r="F207" s="147"/>
      <c r="G207" s="129">
        <f>IF('Power Modes'!$G86&gt;0, 'Power Consumption'!$D78,0)</f>
        <v>0</v>
      </c>
      <c r="H207" s="76">
        <f>IF('Power Modes'!$G86&gt;0, 'Power Consumption'!$F78,0)</f>
        <v>0</v>
      </c>
      <c r="I207" s="76">
        <f>IF('Power Modes'!$G86&gt;0, 'Power Consumption'!$H78,0)</f>
        <v>0</v>
      </c>
      <c r="J207" s="76">
        <f>IF('Power Modes'!$G86&gt;0, 'Power Consumption'!$J78,0)</f>
        <v>0</v>
      </c>
      <c r="K207" s="129"/>
      <c r="L207" s="129">
        <f>IF('Power Modes'!$K86&gt;0, 'Power Consumption'!$D78,0)</f>
        <v>0</v>
      </c>
      <c r="M207" s="76">
        <f>IF('Power Modes'!$K86&gt;0, 'Power Consumption'!$F78,0)</f>
        <v>0</v>
      </c>
      <c r="N207" s="76">
        <f>IF('Power Modes'!$K86&gt;0, 'Power Consumption'!$H78,0)</f>
        <v>0</v>
      </c>
      <c r="O207" s="76">
        <f>IF('Power Modes'!$K86&gt;0, 'Power Consumption'!$J78,0)</f>
        <v>0</v>
      </c>
      <c r="Q207" s="129">
        <f>IF('Power Modes'!$O86&gt;0, 'Power Consumption'!$D78,0)</f>
        <v>0</v>
      </c>
      <c r="R207" s="76">
        <f>IF('Power Modes'!$O86&gt;0, 'Power Consumption'!$F78,0)</f>
        <v>0</v>
      </c>
      <c r="S207" s="76">
        <f>IF('Power Modes'!$O86&gt;0, 'Power Consumption'!$H78,0)</f>
        <v>0</v>
      </c>
      <c r="T207" s="76">
        <f>IF('Power Modes'!$O86&gt;0, 'Power Consumption'!$J78,0)</f>
        <v>0</v>
      </c>
      <c r="V207" s="129">
        <f>IF('Power Modes'!$S86&gt;0, 'Power Consumption'!$D78,0)</f>
        <v>0</v>
      </c>
      <c r="W207" s="76">
        <f>IF('Power Modes'!$S86&gt;0, 'Power Consumption'!$F78,0)</f>
        <v>0</v>
      </c>
      <c r="X207" s="76">
        <f>IF('Power Modes'!$S86&gt;0, 'Power Consumption'!$H78,0)</f>
        <v>0</v>
      </c>
      <c r="Y207" s="76">
        <f>IF('Power Modes'!$S86&gt;0, 'Power Consumption'!$J78,0)</f>
        <v>0</v>
      </c>
      <c r="AA207" s="129">
        <f>IF('Power Modes'!$W86&gt;0, 'Power Consumption'!$D78,0)</f>
        <v>0</v>
      </c>
      <c r="AB207" s="76">
        <f>IF('Power Modes'!$W86&gt;0, 'Power Consumption'!$F78,0)</f>
        <v>0</v>
      </c>
      <c r="AC207" s="76">
        <f>IF('Power Modes'!$W86&gt;0, 'Power Consumption'!$H78,0)</f>
        <v>0</v>
      </c>
      <c r="AD207" s="76">
        <f>IF('Power Modes'!$W86&gt;0, 'Power Consumption'!$J78,0)</f>
        <v>0</v>
      </c>
    </row>
    <row r="208" spans="1:30" s="64" customFormat="1" hidden="1" outlineLevel="1" x14ac:dyDescent="0.25">
      <c r="A208" s="131" t="str">
        <f t="shared" si="2"/>
        <v>Consumer #75</v>
      </c>
      <c r="B208" s="137">
        <f>IF('Power Modes'!$C87&gt;0, 'Power Consumption'!$D79,0)</f>
        <v>0</v>
      </c>
      <c r="C208" s="76">
        <f>IF('Power Modes'!$C87&gt;0, 'Power Consumption'!$F79,0)</f>
        <v>0</v>
      </c>
      <c r="D208" s="76">
        <f>IF('Power Modes'!$C87&gt;0, 'Power Consumption'!$H79,0)</f>
        <v>0</v>
      </c>
      <c r="E208" s="138">
        <f>IF('Power Modes'!$C87&gt;0, 'Power Consumption'!$J79,0)</f>
        <v>0</v>
      </c>
      <c r="F208" s="147"/>
      <c r="G208" s="129">
        <f>IF('Power Modes'!$G87&gt;0, 'Power Consumption'!$D79,0)</f>
        <v>0</v>
      </c>
      <c r="H208" s="76">
        <f>IF('Power Modes'!$G87&gt;0, 'Power Consumption'!$F79,0)</f>
        <v>0</v>
      </c>
      <c r="I208" s="76">
        <f>IF('Power Modes'!$G87&gt;0, 'Power Consumption'!$H79,0)</f>
        <v>0</v>
      </c>
      <c r="J208" s="76">
        <f>IF('Power Modes'!$G87&gt;0, 'Power Consumption'!$J79,0)</f>
        <v>0</v>
      </c>
      <c r="K208" s="129"/>
      <c r="L208" s="129">
        <f>IF('Power Modes'!$K87&gt;0, 'Power Consumption'!$D79,0)</f>
        <v>0</v>
      </c>
      <c r="M208" s="76">
        <f>IF('Power Modes'!$K87&gt;0, 'Power Consumption'!$F79,0)</f>
        <v>0</v>
      </c>
      <c r="N208" s="76">
        <f>IF('Power Modes'!$K87&gt;0, 'Power Consumption'!$H79,0)</f>
        <v>0</v>
      </c>
      <c r="O208" s="76">
        <f>IF('Power Modes'!$K87&gt;0, 'Power Consumption'!$J79,0)</f>
        <v>0</v>
      </c>
      <c r="Q208" s="129">
        <f>IF('Power Modes'!$O87&gt;0, 'Power Consumption'!$D79,0)</f>
        <v>0</v>
      </c>
      <c r="R208" s="76">
        <f>IF('Power Modes'!$O87&gt;0, 'Power Consumption'!$F79,0)</f>
        <v>0</v>
      </c>
      <c r="S208" s="76">
        <f>IF('Power Modes'!$O87&gt;0, 'Power Consumption'!$H79,0)</f>
        <v>0</v>
      </c>
      <c r="T208" s="76">
        <f>IF('Power Modes'!$O87&gt;0, 'Power Consumption'!$J79,0)</f>
        <v>0</v>
      </c>
      <c r="V208" s="129">
        <f>IF('Power Modes'!$S87&gt;0, 'Power Consumption'!$D79,0)</f>
        <v>0</v>
      </c>
      <c r="W208" s="76">
        <f>IF('Power Modes'!$S87&gt;0, 'Power Consumption'!$F79,0)</f>
        <v>0</v>
      </c>
      <c r="X208" s="76">
        <f>IF('Power Modes'!$S87&gt;0, 'Power Consumption'!$H79,0)</f>
        <v>0</v>
      </c>
      <c r="Y208" s="76">
        <f>IF('Power Modes'!$S87&gt;0, 'Power Consumption'!$J79,0)</f>
        <v>0</v>
      </c>
      <c r="AA208" s="129">
        <f>IF('Power Modes'!$W87&gt;0, 'Power Consumption'!$D79,0)</f>
        <v>0</v>
      </c>
      <c r="AB208" s="76">
        <f>IF('Power Modes'!$W87&gt;0, 'Power Consumption'!$F79,0)</f>
        <v>0</v>
      </c>
      <c r="AC208" s="76">
        <f>IF('Power Modes'!$W87&gt;0, 'Power Consumption'!$H79,0)</f>
        <v>0</v>
      </c>
      <c r="AD208" s="76">
        <f>IF('Power Modes'!$W87&gt;0, 'Power Consumption'!$J79,0)</f>
        <v>0</v>
      </c>
    </row>
    <row r="209" spans="1:30" s="64" customFormat="1" hidden="1" outlineLevel="1" x14ac:dyDescent="0.25">
      <c r="A209" s="131" t="str">
        <f t="shared" si="2"/>
        <v>Consumer #76</v>
      </c>
      <c r="B209" s="137">
        <f>IF('Power Modes'!$C88&gt;0, 'Power Consumption'!$D80,0)</f>
        <v>0</v>
      </c>
      <c r="C209" s="76">
        <f>IF('Power Modes'!$C88&gt;0, 'Power Consumption'!$F80,0)</f>
        <v>0</v>
      </c>
      <c r="D209" s="76">
        <f>IF('Power Modes'!$C88&gt;0, 'Power Consumption'!$H80,0)</f>
        <v>0</v>
      </c>
      <c r="E209" s="138">
        <f>IF('Power Modes'!$C88&gt;0, 'Power Consumption'!$J80,0)</f>
        <v>0</v>
      </c>
      <c r="F209" s="147"/>
      <c r="G209" s="129">
        <f>IF('Power Modes'!$G88&gt;0, 'Power Consumption'!$D80,0)</f>
        <v>0</v>
      </c>
      <c r="H209" s="76">
        <f>IF('Power Modes'!$G88&gt;0, 'Power Consumption'!$F80,0)</f>
        <v>0</v>
      </c>
      <c r="I209" s="76">
        <f>IF('Power Modes'!$G88&gt;0, 'Power Consumption'!$H80,0)</f>
        <v>0</v>
      </c>
      <c r="J209" s="76">
        <f>IF('Power Modes'!$G88&gt;0, 'Power Consumption'!$J80,0)</f>
        <v>0</v>
      </c>
      <c r="K209" s="129"/>
      <c r="L209" s="129">
        <f>IF('Power Modes'!$K88&gt;0, 'Power Consumption'!$D80,0)</f>
        <v>0</v>
      </c>
      <c r="M209" s="76">
        <f>IF('Power Modes'!$K88&gt;0, 'Power Consumption'!$F80,0)</f>
        <v>0</v>
      </c>
      <c r="N209" s="76">
        <f>IF('Power Modes'!$K88&gt;0, 'Power Consumption'!$H80,0)</f>
        <v>0</v>
      </c>
      <c r="O209" s="76">
        <f>IF('Power Modes'!$K88&gt;0, 'Power Consumption'!$J80,0)</f>
        <v>0</v>
      </c>
      <c r="Q209" s="129">
        <f>IF('Power Modes'!$O88&gt;0, 'Power Consumption'!$D80,0)</f>
        <v>0</v>
      </c>
      <c r="R209" s="76">
        <f>IF('Power Modes'!$O88&gt;0, 'Power Consumption'!$F80,0)</f>
        <v>0</v>
      </c>
      <c r="S209" s="76">
        <f>IF('Power Modes'!$O88&gt;0, 'Power Consumption'!$H80,0)</f>
        <v>0</v>
      </c>
      <c r="T209" s="76">
        <f>IF('Power Modes'!$O88&gt;0, 'Power Consumption'!$J80,0)</f>
        <v>0</v>
      </c>
      <c r="V209" s="129">
        <f>IF('Power Modes'!$S88&gt;0, 'Power Consumption'!$D80,0)</f>
        <v>0</v>
      </c>
      <c r="W209" s="76">
        <f>IF('Power Modes'!$S88&gt;0, 'Power Consumption'!$F80,0)</f>
        <v>0</v>
      </c>
      <c r="X209" s="76">
        <f>IF('Power Modes'!$S88&gt;0, 'Power Consumption'!$H80,0)</f>
        <v>0</v>
      </c>
      <c r="Y209" s="76">
        <f>IF('Power Modes'!$S88&gt;0, 'Power Consumption'!$J80,0)</f>
        <v>0</v>
      </c>
      <c r="AA209" s="129">
        <f>IF('Power Modes'!$W88&gt;0, 'Power Consumption'!$D80,0)</f>
        <v>0</v>
      </c>
      <c r="AB209" s="76">
        <f>IF('Power Modes'!$W88&gt;0, 'Power Consumption'!$F80,0)</f>
        <v>0</v>
      </c>
      <c r="AC209" s="76">
        <f>IF('Power Modes'!$W88&gt;0, 'Power Consumption'!$H80,0)</f>
        <v>0</v>
      </c>
      <c r="AD209" s="76">
        <f>IF('Power Modes'!$W88&gt;0, 'Power Consumption'!$J80,0)</f>
        <v>0</v>
      </c>
    </row>
    <row r="210" spans="1:30" s="64" customFormat="1" hidden="1" outlineLevel="1" x14ac:dyDescent="0.25">
      <c r="A210" s="131" t="str">
        <f t="shared" si="2"/>
        <v>Consumer #77</v>
      </c>
      <c r="B210" s="137">
        <f>IF('Power Modes'!$C89&gt;0, 'Power Consumption'!$D81,0)</f>
        <v>0</v>
      </c>
      <c r="C210" s="76">
        <f>IF('Power Modes'!$C89&gt;0, 'Power Consumption'!$F81,0)</f>
        <v>0</v>
      </c>
      <c r="D210" s="76">
        <f>IF('Power Modes'!$C89&gt;0, 'Power Consumption'!$H81,0)</f>
        <v>0</v>
      </c>
      <c r="E210" s="138">
        <f>IF('Power Modes'!$C89&gt;0, 'Power Consumption'!$J81,0)</f>
        <v>0</v>
      </c>
      <c r="F210" s="147"/>
      <c r="G210" s="129">
        <f>IF('Power Modes'!$G89&gt;0, 'Power Consumption'!$D81,0)</f>
        <v>0</v>
      </c>
      <c r="H210" s="76">
        <f>IF('Power Modes'!$G89&gt;0, 'Power Consumption'!$F81,0)</f>
        <v>0</v>
      </c>
      <c r="I210" s="76">
        <f>IF('Power Modes'!$G89&gt;0, 'Power Consumption'!$H81,0)</f>
        <v>0</v>
      </c>
      <c r="J210" s="76">
        <f>IF('Power Modes'!$G89&gt;0, 'Power Consumption'!$J81,0)</f>
        <v>0</v>
      </c>
      <c r="K210" s="129"/>
      <c r="L210" s="129">
        <f>IF('Power Modes'!$K89&gt;0, 'Power Consumption'!$D81,0)</f>
        <v>0</v>
      </c>
      <c r="M210" s="76">
        <f>IF('Power Modes'!$K89&gt;0, 'Power Consumption'!$F81,0)</f>
        <v>0</v>
      </c>
      <c r="N210" s="76">
        <f>IF('Power Modes'!$K89&gt;0, 'Power Consumption'!$H81,0)</f>
        <v>0</v>
      </c>
      <c r="O210" s="76">
        <f>IF('Power Modes'!$K89&gt;0, 'Power Consumption'!$J81,0)</f>
        <v>0</v>
      </c>
      <c r="Q210" s="129">
        <f>IF('Power Modes'!$O89&gt;0, 'Power Consumption'!$D81,0)</f>
        <v>0</v>
      </c>
      <c r="R210" s="76">
        <f>IF('Power Modes'!$O89&gt;0, 'Power Consumption'!$F81,0)</f>
        <v>0</v>
      </c>
      <c r="S210" s="76">
        <f>IF('Power Modes'!$O89&gt;0, 'Power Consumption'!$H81,0)</f>
        <v>0</v>
      </c>
      <c r="T210" s="76">
        <f>IF('Power Modes'!$O89&gt;0, 'Power Consumption'!$J81,0)</f>
        <v>0</v>
      </c>
      <c r="V210" s="129">
        <f>IF('Power Modes'!$S89&gt;0, 'Power Consumption'!$D81,0)</f>
        <v>0</v>
      </c>
      <c r="W210" s="76">
        <f>IF('Power Modes'!$S89&gt;0, 'Power Consumption'!$F81,0)</f>
        <v>0</v>
      </c>
      <c r="X210" s="76">
        <f>IF('Power Modes'!$S89&gt;0, 'Power Consumption'!$H81,0)</f>
        <v>0</v>
      </c>
      <c r="Y210" s="76">
        <f>IF('Power Modes'!$S89&gt;0, 'Power Consumption'!$J81,0)</f>
        <v>0</v>
      </c>
      <c r="AA210" s="129">
        <f>IF('Power Modes'!$W89&gt;0, 'Power Consumption'!$D81,0)</f>
        <v>0</v>
      </c>
      <c r="AB210" s="76">
        <f>IF('Power Modes'!$W89&gt;0, 'Power Consumption'!$F81,0)</f>
        <v>0</v>
      </c>
      <c r="AC210" s="76">
        <f>IF('Power Modes'!$W89&gt;0, 'Power Consumption'!$H81,0)</f>
        <v>0</v>
      </c>
      <c r="AD210" s="76">
        <f>IF('Power Modes'!$W89&gt;0, 'Power Consumption'!$J81,0)</f>
        <v>0</v>
      </c>
    </row>
    <row r="211" spans="1:30" s="64" customFormat="1" hidden="1" outlineLevel="1" x14ac:dyDescent="0.25">
      <c r="A211" s="131" t="str">
        <f t="shared" si="2"/>
        <v>Consumer #78</v>
      </c>
      <c r="B211" s="137">
        <f>IF('Power Modes'!$C90&gt;0, 'Power Consumption'!$D82,0)</f>
        <v>0</v>
      </c>
      <c r="C211" s="76">
        <f>IF('Power Modes'!$C90&gt;0, 'Power Consumption'!$F82,0)</f>
        <v>0</v>
      </c>
      <c r="D211" s="76">
        <f>IF('Power Modes'!$C90&gt;0, 'Power Consumption'!$H82,0)</f>
        <v>0</v>
      </c>
      <c r="E211" s="138">
        <f>IF('Power Modes'!$C90&gt;0, 'Power Consumption'!$J82,0)</f>
        <v>0</v>
      </c>
      <c r="F211" s="147"/>
      <c r="G211" s="129">
        <f>IF('Power Modes'!$G90&gt;0, 'Power Consumption'!$D82,0)</f>
        <v>0</v>
      </c>
      <c r="H211" s="76">
        <f>IF('Power Modes'!$G90&gt;0, 'Power Consumption'!$F82,0)</f>
        <v>0</v>
      </c>
      <c r="I211" s="76">
        <f>IF('Power Modes'!$G90&gt;0, 'Power Consumption'!$H82,0)</f>
        <v>0</v>
      </c>
      <c r="J211" s="76">
        <f>IF('Power Modes'!$G90&gt;0, 'Power Consumption'!$J82,0)</f>
        <v>0</v>
      </c>
      <c r="K211" s="129"/>
      <c r="L211" s="129">
        <f>IF('Power Modes'!$K90&gt;0, 'Power Consumption'!$D82,0)</f>
        <v>0</v>
      </c>
      <c r="M211" s="76">
        <f>IF('Power Modes'!$K90&gt;0, 'Power Consumption'!$F82,0)</f>
        <v>0</v>
      </c>
      <c r="N211" s="76">
        <f>IF('Power Modes'!$K90&gt;0, 'Power Consumption'!$H82,0)</f>
        <v>0</v>
      </c>
      <c r="O211" s="76">
        <f>IF('Power Modes'!$K90&gt;0, 'Power Consumption'!$J82,0)</f>
        <v>0</v>
      </c>
      <c r="Q211" s="129">
        <f>IF('Power Modes'!$O90&gt;0, 'Power Consumption'!$D82,0)</f>
        <v>0</v>
      </c>
      <c r="R211" s="76">
        <f>IF('Power Modes'!$O90&gt;0, 'Power Consumption'!$F82,0)</f>
        <v>0</v>
      </c>
      <c r="S211" s="76">
        <f>IF('Power Modes'!$O90&gt;0, 'Power Consumption'!$H82,0)</f>
        <v>0</v>
      </c>
      <c r="T211" s="76">
        <f>IF('Power Modes'!$O90&gt;0, 'Power Consumption'!$J82,0)</f>
        <v>0</v>
      </c>
      <c r="V211" s="129">
        <f>IF('Power Modes'!$S90&gt;0, 'Power Consumption'!$D82,0)</f>
        <v>0</v>
      </c>
      <c r="W211" s="76">
        <f>IF('Power Modes'!$S90&gt;0, 'Power Consumption'!$F82,0)</f>
        <v>0</v>
      </c>
      <c r="X211" s="76">
        <f>IF('Power Modes'!$S90&gt;0, 'Power Consumption'!$H82,0)</f>
        <v>0</v>
      </c>
      <c r="Y211" s="76">
        <f>IF('Power Modes'!$S90&gt;0, 'Power Consumption'!$J82,0)</f>
        <v>0</v>
      </c>
      <c r="AA211" s="129">
        <f>IF('Power Modes'!$W90&gt;0, 'Power Consumption'!$D82,0)</f>
        <v>0</v>
      </c>
      <c r="AB211" s="76">
        <f>IF('Power Modes'!$W90&gt;0, 'Power Consumption'!$F82,0)</f>
        <v>0</v>
      </c>
      <c r="AC211" s="76">
        <f>IF('Power Modes'!$W90&gt;0, 'Power Consumption'!$H82,0)</f>
        <v>0</v>
      </c>
      <c r="AD211" s="76">
        <f>IF('Power Modes'!$W90&gt;0, 'Power Consumption'!$J82,0)</f>
        <v>0</v>
      </c>
    </row>
    <row r="212" spans="1:30" s="64" customFormat="1" hidden="1" outlineLevel="1" x14ac:dyDescent="0.25">
      <c r="A212" s="131" t="str">
        <f t="shared" si="2"/>
        <v>Consumer #79</v>
      </c>
      <c r="B212" s="137">
        <f>IF('Power Modes'!$C91&gt;0, 'Power Consumption'!$D83,0)</f>
        <v>0</v>
      </c>
      <c r="C212" s="76">
        <f>IF('Power Modes'!$C91&gt;0, 'Power Consumption'!$F83,0)</f>
        <v>0</v>
      </c>
      <c r="D212" s="76">
        <f>IF('Power Modes'!$C91&gt;0, 'Power Consumption'!$H83,0)</f>
        <v>0</v>
      </c>
      <c r="E212" s="138">
        <f>IF('Power Modes'!$C91&gt;0, 'Power Consumption'!$J83,0)</f>
        <v>0</v>
      </c>
      <c r="F212" s="147"/>
      <c r="G212" s="129">
        <f>IF('Power Modes'!$G91&gt;0, 'Power Consumption'!$D83,0)</f>
        <v>0</v>
      </c>
      <c r="H212" s="76">
        <f>IF('Power Modes'!$G91&gt;0, 'Power Consumption'!$F83,0)</f>
        <v>0</v>
      </c>
      <c r="I212" s="76">
        <f>IF('Power Modes'!$G91&gt;0, 'Power Consumption'!$H83,0)</f>
        <v>0</v>
      </c>
      <c r="J212" s="76">
        <f>IF('Power Modes'!$G91&gt;0, 'Power Consumption'!$J83,0)</f>
        <v>0</v>
      </c>
      <c r="K212" s="129"/>
      <c r="L212" s="129">
        <f>IF('Power Modes'!$K91&gt;0, 'Power Consumption'!$D83,0)</f>
        <v>0</v>
      </c>
      <c r="M212" s="76">
        <f>IF('Power Modes'!$K91&gt;0, 'Power Consumption'!$F83,0)</f>
        <v>0</v>
      </c>
      <c r="N212" s="76">
        <f>IF('Power Modes'!$K91&gt;0, 'Power Consumption'!$H83,0)</f>
        <v>0</v>
      </c>
      <c r="O212" s="76">
        <f>IF('Power Modes'!$K91&gt;0, 'Power Consumption'!$J83,0)</f>
        <v>0</v>
      </c>
      <c r="Q212" s="129">
        <f>IF('Power Modes'!$O91&gt;0, 'Power Consumption'!$D83,0)</f>
        <v>0</v>
      </c>
      <c r="R212" s="76">
        <f>IF('Power Modes'!$O91&gt;0, 'Power Consumption'!$F83,0)</f>
        <v>0</v>
      </c>
      <c r="S212" s="76">
        <f>IF('Power Modes'!$O91&gt;0, 'Power Consumption'!$H83,0)</f>
        <v>0</v>
      </c>
      <c r="T212" s="76">
        <f>IF('Power Modes'!$O91&gt;0, 'Power Consumption'!$J83,0)</f>
        <v>0</v>
      </c>
      <c r="V212" s="129">
        <f>IF('Power Modes'!$S91&gt;0, 'Power Consumption'!$D83,0)</f>
        <v>0</v>
      </c>
      <c r="W212" s="76">
        <f>IF('Power Modes'!$S91&gt;0, 'Power Consumption'!$F83,0)</f>
        <v>0</v>
      </c>
      <c r="X212" s="76">
        <f>IF('Power Modes'!$S91&gt;0, 'Power Consumption'!$H83,0)</f>
        <v>0</v>
      </c>
      <c r="Y212" s="76">
        <f>IF('Power Modes'!$S91&gt;0, 'Power Consumption'!$J83,0)</f>
        <v>0</v>
      </c>
      <c r="AA212" s="129">
        <f>IF('Power Modes'!$W91&gt;0, 'Power Consumption'!$D83,0)</f>
        <v>0</v>
      </c>
      <c r="AB212" s="76">
        <f>IF('Power Modes'!$W91&gt;0, 'Power Consumption'!$F83,0)</f>
        <v>0</v>
      </c>
      <c r="AC212" s="76">
        <f>IF('Power Modes'!$W91&gt;0, 'Power Consumption'!$H83,0)</f>
        <v>0</v>
      </c>
      <c r="AD212" s="76">
        <f>IF('Power Modes'!$W91&gt;0, 'Power Consumption'!$J83,0)</f>
        <v>0</v>
      </c>
    </row>
    <row r="213" spans="1:30" s="64" customFormat="1" hidden="1" outlineLevel="1" x14ac:dyDescent="0.25">
      <c r="A213" s="131" t="str">
        <f t="shared" si="2"/>
        <v>Consumer #80</v>
      </c>
      <c r="B213" s="137">
        <f>IF('Power Modes'!$C92&gt;0, 'Power Consumption'!$D84,0)</f>
        <v>0</v>
      </c>
      <c r="C213" s="76">
        <f>IF('Power Modes'!$C92&gt;0, 'Power Consumption'!$F84,0)</f>
        <v>0</v>
      </c>
      <c r="D213" s="76">
        <f>IF('Power Modes'!$C92&gt;0, 'Power Consumption'!$H84,0)</f>
        <v>0</v>
      </c>
      <c r="E213" s="138">
        <f>IF('Power Modes'!$C92&gt;0, 'Power Consumption'!$J84,0)</f>
        <v>0</v>
      </c>
      <c r="F213" s="147"/>
      <c r="G213" s="129">
        <f>IF('Power Modes'!$G92&gt;0, 'Power Consumption'!$D84,0)</f>
        <v>0</v>
      </c>
      <c r="H213" s="76">
        <f>IF('Power Modes'!$G92&gt;0, 'Power Consumption'!$F84,0)</f>
        <v>0</v>
      </c>
      <c r="I213" s="76">
        <f>IF('Power Modes'!$G92&gt;0, 'Power Consumption'!$H84,0)</f>
        <v>0</v>
      </c>
      <c r="J213" s="76">
        <f>IF('Power Modes'!$G92&gt;0, 'Power Consumption'!$J84,0)</f>
        <v>0</v>
      </c>
      <c r="K213" s="129"/>
      <c r="L213" s="129">
        <f>IF('Power Modes'!$K92&gt;0, 'Power Consumption'!$D84,0)</f>
        <v>0</v>
      </c>
      <c r="M213" s="76">
        <f>IF('Power Modes'!$K92&gt;0, 'Power Consumption'!$F84,0)</f>
        <v>0</v>
      </c>
      <c r="N213" s="76">
        <f>IF('Power Modes'!$K92&gt;0, 'Power Consumption'!$H84,0)</f>
        <v>0</v>
      </c>
      <c r="O213" s="76">
        <f>IF('Power Modes'!$K92&gt;0, 'Power Consumption'!$J84,0)</f>
        <v>0</v>
      </c>
      <c r="Q213" s="129">
        <f>IF('Power Modes'!$O92&gt;0, 'Power Consumption'!$D84,0)</f>
        <v>0</v>
      </c>
      <c r="R213" s="76">
        <f>IF('Power Modes'!$O92&gt;0, 'Power Consumption'!$F84,0)</f>
        <v>0</v>
      </c>
      <c r="S213" s="76">
        <f>IF('Power Modes'!$O92&gt;0, 'Power Consumption'!$H84,0)</f>
        <v>0</v>
      </c>
      <c r="T213" s="76">
        <f>IF('Power Modes'!$O92&gt;0, 'Power Consumption'!$J84,0)</f>
        <v>0</v>
      </c>
      <c r="V213" s="129">
        <f>IF('Power Modes'!$S92&gt;0, 'Power Consumption'!$D84,0)</f>
        <v>0</v>
      </c>
      <c r="W213" s="76">
        <f>IF('Power Modes'!$S92&gt;0, 'Power Consumption'!$F84,0)</f>
        <v>0</v>
      </c>
      <c r="X213" s="76">
        <f>IF('Power Modes'!$S92&gt;0, 'Power Consumption'!$H84,0)</f>
        <v>0</v>
      </c>
      <c r="Y213" s="76">
        <f>IF('Power Modes'!$S92&gt;0, 'Power Consumption'!$J84,0)</f>
        <v>0</v>
      </c>
      <c r="AA213" s="129">
        <f>IF('Power Modes'!$W92&gt;0, 'Power Consumption'!$D84,0)</f>
        <v>0</v>
      </c>
      <c r="AB213" s="76">
        <f>IF('Power Modes'!$W92&gt;0, 'Power Consumption'!$F84,0)</f>
        <v>0</v>
      </c>
      <c r="AC213" s="76">
        <f>IF('Power Modes'!$W92&gt;0, 'Power Consumption'!$H84,0)</f>
        <v>0</v>
      </c>
      <c r="AD213" s="76">
        <f>IF('Power Modes'!$W92&gt;0, 'Power Consumption'!$J84,0)</f>
        <v>0</v>
      </c>
    </row>
    <row r="214" spans="1:30" s="64" customFormat="1" hidden="1" outlineLevel="1" x14ac:dyDescent="0.25">
      <c r="A214" s="131" t="str">
        <f t="shared" si="2"/>
        <v>Consumer #81</v>
      </c>
      <c r="B214" s="137">
        <f>IF('Power Modes'!$C93&gt;0, 'Power Consumption'!$D85,0)</f>
        <v>0</v>
      </c>
      <c r="C214" s="76">
        <f>IF('Power Modes'!$C93&gt;0, 'Power Consumption'!$F85,0)</f>
        <v>0</v>
      </c>
      <c r="D214" s="76">
        <f>IF('Power Modes'!$C93&gt;0, 'Power Consumption'!$H85,0)</f>
        <v>0</v>
      </c>
      <c r="E214" s="138">
        <f>IF('Power Modes'!$C93&gt;0, 'Power Consumption'!$J85,0)</f>
        <v>0</v>
      </c>
      <c r="F214" s="147"/>
      <c r="G214" s="129">
        <f>IF('Power Modes'!$G93&gt;0, 'Power Consumption'!$D85,0)</f>
        <v>0</v>
      </c>
      <c r="H214" s="76">
        <f>IF('Power Modes'!$G93&gt;0, 'Power Consumption'!$F85,0)</f>
        <v>0</v>
      </c>
      <c r="I214" s="76">
        <f>IF('Power Modes'!$G93&gt;0, 'Power Consumption'!$H85,0)</f>
        <v>0</v>
      </c>
      <c r="J214" s="76">
        <f>IF('Power Modes'!$G93&gt;0, 'Power Consumption'!$J85,0)</f>
        <v>0</v>
      </c>
      <c r="K214" s="129"/>
      <c r="L214" s="129">
        <f>IF('Power Modes'!$K93&gt;0, 'Power Consumption'!$D85,0)</f>
        <v>0</v>
      </c>
      <c r="M214" s="76">
        <f>IF('Power Modes'!$K93&gt;0, 'Power Consumption'!$F85,0)</f>
        <v>0</v>
      </c>
      <c r="N214" s="76">
        <f>IF('Power Modes'!$K93&gt;0, 'Power Consumption'!$H85,0)</f>
        <v>0</v>
      </c>
      <c r="O214" s="76">
        <f>IF('Power Modes'!$K93&gt;0, 'Power Consumption'!$J85,0)</f>
        <v>0</v>
      </c>
      <c r="Q214" s="129">
        <f>IF('Power Modes'!$O93&gt;0, 'Power Consumption'!$D85,0)</f>
        <v>0</v>
      </c>
      <c r="R214" s="76">
        <f>IF('Power Modes'!$O93&gt;0, 'Power Consumption'!$F85,0)</f>
        <v>0</v>
      </c>
      <c r="S214" s="76">
        <f>IF('Power Modes'!$O93&gt;0, 'Power Consumption'!$H85,0)</f>
        <v>0</v>
      </c>
      <c r="T214" s="76">
        <f>IF('Power Modes'!$O93&gt;0, 'Power Consumption'!$J85,0)</f>
        <v>0</v>
      </c>
      <c r="V214" s="129">
        <f>IF('Power Modes'!$S93&gt;0, 'Power Consumption'!$D85,0)</f>
        <v>0</v>
      </c>
      <c r="W214" s="76">
        <f>IF('Power Modes'!$S93&gt;0, 'Power Consumption'!$F85,0)</f>
        <v>0</v>
      </c>
      <c r="X214" s="76">
        <f>IF('Power Modes'!$S93&gt;0, 'Power Consumption'!$H85,0)</f>
        <v>0</v>
      </c>
      <c r="Y214" s="76">
        <f>IF('Power Modes'!$S93&gt;0, 'Power Consumption'!$J85,0)</f>
        <v>0</v>
      </c>
      <c r="AA214" s="129">
        <f>IF('Power Modes'!$W93&gt;0, 'Power Consumption'!$D85,0)</f>
        <v>0</v>
      </c>
      <c r="AB214" s="76">
        <f>IF('Power Modes'!$W93&gt;0, 'Power Consumption'!$F85,0)</f>
        <v>0</v>
      </c>
      <c r="AC214" s="76">
        <f>IF('Power Modes'!$W93&gt;0, 'Power Consumption'!$H85,0)</f>
        <v>0</v>
      </c>
      <c r="AD214" s="76">
        <f>IF('Power Modes'!$W93&gt;0, 'Power Consumption'!$J85,0)</f>
        <v>0</v>
      </c>
    </row>
    <row r="215" spans="1:30" s="64" customFormat="1" hidden="1" outlineLevel="1" x14ac:dyDescent="0.25">
      <c r="A215" s="131" t="str">
        <f t="shared" si="2"/>
        <v>Consumer #82</v>
      </c>
      <c r="B215" s="137">
        <f>IF('Power Modes'!$C94&gt;0, 'Power Consumption'!$D86,0)</f>
        <v>0</v>
      </c>
      <c r="C215" s="76">
        <f>IF('Power Modes'!$C94&gt;0, 'Power Consumption'!$F86,0)</f>
        <v>0</v>
      </c>
      <c r="D215" s="76">
        <f>IF('Power Modes'!$C94&gt;0, 'Power Consumption'!$H86,0)</f>
        <v>0</v>
      </c>
      <c r="E215" s="138">
        <f>IF('Power Modes'!$C94&gt;0, 'Power Consumption'!$J86,0)</f>
        <v>0</v>
      </c>
      <c r="F215" s="147"/>
      <c r="G215" s="129">
        <f>IF('Power Modes'!$G94&gt;0, 'Power Consumption'!$D86,0)</f>
        <v>0</v>
      </c>
      <c r="H215" s="76">
        <f>IF('Power Modes'!$G94&gt;0, 'Power Consumption'!$F86,0)</f>
        <v>0</v>
      </c>
      <c r="I215" s="76">
        <f>IF('Power Modes'!$G94&gt;0, 'Power Consumption'!$H86,0)</f>
        <v>0</v>
      </c>
      <c r="J215" s="76">
        <f>IF('Power Modes'!$G94&gt;0, 'Power Consumption'!$J86,0)</f>
        <v>0</v>
      </c>
      <c r="K215" s="129"/>
      <c r="L215" s="129">
        <f>IF('Power Modes'!$K94&gt;0, 'Power Consumption'!$D86,0)</f>
        <v>0</v>
      </c>
      <c r="M215" s="76">
        <f>IF('Power Modes'!$K94&gt;0, 'Power Consumption'!$F86,0)</f>
        <v>0</v>
      </c>
      <c r="N215" s="76">
        <f>IF('Power Modes'!$K94&gt;0, 'Power Consumption'!$H86,0)</f>
        <v>0</v>
      </c>
      <c r="O215" s="76">
        <f>IF('Power Modes'!$K94&gt;0, 'Power Consumption'!$J86,0)</f>
        <v>0</v>
      </c>
      <c r="Q215" s="129">
        <f>IF('Power Modes'!$O94&gt;0, 'Power Consumption'!$D86,0)</f>
        <v>0</v>
      </c>
      <c r="R215" s="76">
        <f>IF('Power Modes'!$O94&gt;0, 'Power Consumption'!$F86,0)</f>
        <v>0</v>
      </c>
      <c r="S215" s="76">
        <f>IF('Power Modes'!$O94&gt;0, 'Power Consumption'!$H86,0)</f>
        <v>0</v>
      </c>
      <c r="T215" s="76">
        <f>IF('Power Modes'!$O94&gt;0, 'Power Consumption'!$J86,0)</f>
        <v>0</v>
      </c>
      <c r="V215" s="129">
        <f>IF('Power Modes'!$S94&gt;0, 'Power Consumption'!$D86,0)</f>
        <v>0</v>
      </c>
      <c r="W215" s="76">
        <f>IF('Power Modes'!$S94&gt;0, 'Power Consumption'!$F86,0)</f>
        <v>0</v>
      </c>
      <c r="X215" s="76">
        <f>IF('Power Modes'!$S94&gt;0, 'Power Consumption'!$H86,0)</f>
        <v>0</v>
      </c>
      <c r="Y215" s="76">
        <f>IF('Power Modes'!$S94&gt;0, 'Power Consumption'!$J86,0)</f>
        <v>0</v>
      </c>
      <c r="AA215" s="129">
        <f>IF('Power Modes'!$W94&gt;0, 'Power Consumption'!$D86,0)</f>
        <v>0</v>
      </c>
      <c r="AB215" s="76">
        <f>IF('Power Modes'!$W94&gt;0, 'Power Consumption'!$F86,0)</f>
        <v>0</v>
      </c>
      <c r="AC215" s="76">
        <f>IF('Power Modes'!$W94&gt;0, 'Power Consumption'!$H86,0)</f>
        <v>0</v>
      </c>
      <c r="AD215" s="76">
        <f>IF('Power Modes'!$W94&gt;0, 'Power Consumption'!$J86,0)</f>
        <v>0</v>
      </c>
    </row>
    <row r="216" spans="1:30" s="64" customFormat="1" hidden="1" outlineLevel="1" x14ac:dyDescent="0.25">
      <c r="A216" s="131" t="str">
        <f t="shared" si="2"/>
        <v>Consumer #83</v>
      </c>
      <c r="B216" s="137">
        <f>IF('Power Modes'!$C95&gt;0, 'Power Consumption'!$D87,0)</f>
        <v>0</v>
      </c>
      <c r="C216" s="76">
        <f>IF('Power Modes'!$C95&gt;0, 'Power Consumption'!$F87,0)</f>
        <v>0</v>
      </c>
      <c r="D216" s="76">
        <f>IF('Power Modes'!$C95&gt;0, 'Power Consumption'!$H87,0)</f>
        <v>0</v>
      </c>
      <c r="E216" s="138">
        <f>IF('Power Modes'!$C95&gt;0, 'Power Consumption'!$J87,0)</f>
        <v>0</v>
      </c>
      <c r="F216" s="147"/>
      <c r="G216" s="129">
        <f>IF('Power Modes'!$G95&gt;0, 'Power Consumption'!$D87,0)</f>
        <v>0</v>
      </c>
      <c r="H216" s="76">
        <f>IF('Power Modes'!$G95&gt;0, 'Power Consumption'!$F87,0)</f>
        <v>0</v>
      </c>
      <c r="I216" s="76">
        <f>IF('Power Modes'!$G95&gt;0, 'Power Consumption'!$H87,0)</f>
        <v>0</v>
      </c>
      <c r="J216" s="76">
        <f>IF('Power Modes'!$G95&gt;0, 'Power Consumption'!$J87,0)</f>
        <v>0</v>
      </c>
      <c r="K216" s="129"/>
      <c r="L216" s="129">
        <f>IF('Power Modes'!$K95&gt;0, 'Power Consumption'!$D87,0)</f>
        <v>0</v>
      </c>
      <c r="M216" s="76">
        <f>IF('Power Modes'!$K95&gt;0, 'Power Consumption'!$F87,0)</f>
        <v>0</v>
      </c>
      <c r="N216" s="76">
        <f>IF('Power Modes'!$K95&gt;0, 'Power Consumption'!$H87,0)</f>
        <v>0</v>
      </c>
      <c r="O216" s="76">
        <f>IF('Power Modes'!$K95&gt;0, 'Power Consumption'!$J87,0)</f>
        <v>0</v>
      </c>
      <c r="Q216" s="129">
        <f>IF('Power Modes'!$O95&gt;0, 'Power Consumption'!$D87,0)</f>
        <v>0</v>
      </c>
      <c r="R216" s="76">
        <f>IF('Power Modes'!$O95&gt;0, 'Power Consumption'!$F87,0)</f>
        <v>0</v>
      </c>
      <c r="S216" s="76">
        <f>IF('Power Modes'!$O95&gt;0, 'Power Consumption'!$H87,0)</f>
        <v>0</v>
      </c>
      <c r="T216" s="76">
        <f>IF('Power Modes'!$O95&gt;0, 'Power Consumption'!$J87,0)</f>
        <v>0</v>
      </c>
      <c r="V216" s="129">
        <f>IF('Power Modes'!$S95&gt;0, 'Power Consumption'!$D87,0)</f>
        <v>0</v>
      </c>
      <c r="W216" s="76">
        <f>IF('Power Modes'!$S95&gt;0, 'Power Consumption'!$F87,0)</f>
        <v>0</v>
      </c>
      <c r="X216" s="76">
        <f>IF('Power Modes'!$S95&gt;0, 'Power Consumption'!$H87,0)</f>
        <v>0</v>
      </c>
      <c r="Y216" s="76">
        <f>IF('Power Modes'!$S95&gt;0, 'Power Consumption'!$J87,0)</f>
        <v>0</v>
      </c>
      <c r="AA216" s="129">
        <f>IF('Power Modes'!$W95&gt;0, 'Power Consumption'!$D87,0)</f>
        <v>0</v>
      </c>
      <c r="AB216" s="76">
        <f>IF('Power Modes'!$W95&gt;0, 'Power Consumption'!$F87,0)</f>
        <v>0</v>
      </c>
      <c r="AC216" s="76">
        <f>IF('Power Modes'!$W95&gt;0, 'Power Consumption'!$H87,0)</f>
        <v>0</v>
      </c>
      <c r="AD216" s="76">
        <f>IF('Power Modes'!$W95&gt;0, 'Power Consumption'!$J87,0)</f>
        <v>0</v>
      </c>
    </row>
    <row r="217" spans="1:30" s="64" customFormat="1" hidden="1" outlineLevel="1" x14ac:dyDescent="0.25">
      <c r="A217" s="131" t="str">
        <f t="shared" si="2"/>
        <v>Consumer #84</v>
      </c>
      <c r="B217" s="137">
        <f>IF('Power Modes'!$C96&gt;0, 'Power Consumption'!$D88,0)</f>
        <v>0</v>
      </c>
      <c r="C217" s="76">
        <f>IF('Power Modes'!$C96&gt;0, 'Power Consumption'!$F88,0)</f>
        <v>0</v>
      </c>
      <c r="D217" s="76">
        <f>IF('Power Modes'!$C96&gt;0, 'Power Consumption'!$H88,0)</f>
        <v>0</v>
      </c>
      <c r="E217" s="138">
        <f>IF('Power Modes'!$C96&gt;0, 'Power Consumption'!$J88,0)</f>
        <v>0</v>
      </c>
      <c r="F217" s="147"/>
      <c r="G217" s="129">
        <f>IF('Power Modes'!$G96&gt;0, 'Power Consumption'!$D88,0)</f>
        <v>0</v>
      </c>
      <c r="H217" s="76">
        <f>IF('Power Modes'!$G96&gt;0, 'Power Consumption'!$F88,0)</f>
        <v>0</v>
      </c>
      <c r="I217" s="76">
        <f>IF('Power Modes'!$G96&gt;0, 'Power Consumption'!$H88,0)</f>
        <v>0</v>
      </c>
      <c r="J217" s="76">
        <f>IF('Power Modes'!$G96&gt;0, 'Power Consumption'!$J88,0)</f>
        <v>0</v>
      </c>
      <c r="K217" s="129"/>
      <c r="L217" s="129">
        <f>IF('Power Modes'!$K96&gt;0, 'Power Consumption'!$D88,0)</f>
        <v>0</v>
      </c>
      <c r="M217" s="76">
        <f>IF('Power Modes'!$K96&gt;0, 'Power Consumption'!$F88,0)</f>
        <v>0</v>
      </c>
      <c r="N217" s="76">
        <f>IF('Power Modes'!$K96&gt;0, 'Power Consumption'!$H88,0)</f>
        <v>0</v>
      </c>
      <c r="O217" s="76">
        <f>IF('Power Modes'!$K96&gt;0, 'Power Consumption'!$J88,0)</f>
        <v>0</v>
      </c>
      <c r="Q217" s="129">
        <f>IF('Power Modes'!$O96&gt;0, 'Power Consumption'!$D88,0)</f>
        <v>0</v>
      </c>
      <c r="R217" s="76">
        <f>IF('Power Modes'!$O96&gt;0, 'Power Consumption'!$F88,0)</f>
        <v>0</v>
      </c>
      <c r="S217" s="76">
        <f>IF('Power Modes'!$O96&gt;0, 'Power Consumption'!$H88,0)</f>
        <v>0</v>
      </c>
      <c r="T217" s="76">
        <f>IF('Power Modes'!$O96&gt;0, 'Power Consumption'!$J88,0)</f>
        <v>0</v>
      </c>
      <c r="V217" s="129">
        <f>IF('Power Modes'!$S96&gt;0, 'Power Consumption'!$D88,0)</f>
        <v>0</v>
      </c>
      <c r="W217" s="76">
        <f>IF('Power Modes'!$S96&gt;0, 'Power Consumption'!$F88,0)</f>
        <v>0</v>
      </c>
      <c r="X217" s="76">
        <f>IF('Power Modes'!$S96&gt;0, 'Power Consumption'!$H88,0)</f>
        <v>0</v>
      </c>
      <c r="Y217" s="76">
        <f>IF('Power Modes'!$S96&gt;0, 'Power Consumption'!$J88,0)</f>
        <v>0</v>
      </c>
      <c r="AA217" s="129">
        <f>IF('Power Modes'!$W96&gt;0, 'Power Consumption'!$D88,0)</f>
        <v>0</v>
      </c>
      <c r="AB217" s="76">
        <f>IF('Power Modes'!$W96&gt;0, 'Power Consumption'!$F88,0)</f>
        <v>0</v>
      </c>
      <c r="AC217" s="76">
        <f>IF('Power Modes'!$W96&gt;0, 'Power Consumption'!$H88,0)</f>
        <v>0</v>
      </c>
      <c r="AD217" s="76">
        <f>IF('Power Modes'!$W96&gt;0, 'Power Consumption'!$J88,0)</f>
        <v>0</v>
      </c>
    </row>
    <row r="218" spans="1:30" s="64" customFormat="1" hidden="1" outlineLevel="1" x14ac:dyDescent="0.25">
      <c r="A218" s="131" t="str">
        <f t="shared" si="2"/>
        <v>Consumer #85</v>
      </c>
      <c r="B218" s="137">
        <f>IF('Power Modes'!$C97&gt;0, 'Power Consumption'!$D89,0)</f>
        <v>0</v>
      </c>
      <c r="C218" s="76">
        <f>IF('Power Modes'!$C97&gt;0, 'Power Consumption'!$F89,0)</f>
        <v>0</v>
      </c>
      <c r="D218" s="76">
        <f>IF('Power Modes'!$C97&gt;0, 'Power Consumption'!$H89,0)</f>
        <v>0</v>
      </c>
      <c r="E218" s="138">
        <f>IF('Power Modes'!$C97&gt;0, 'Power Consumption'!$J89,0)</f>
        <v>0</v>
      </c>
      <c r="F218" s="147"/>
      <c r="G218" s="129">
        <f>IF('Power Modes'!$G97&gt;0, 'Power Consumption'!$D89,0)</f>
        <v>0</v>
      </c>
      <c r="H218" s="76">
        <f>IF('Power Modes'!$G97&gt;0, 'Power Consumption'!$F89,0)</f>
        <v>0</v>
      </c>
      <c r="I218" s="76">
        <f>IF('Power Modes'!$G97&gt;0, 'Power Consumption'!$H89,0)</f>
        <v>0</v>
      </c>
      <c r="J218" s="76">
        <f>IF('Power Modes'!$G97&gt;0, 'Power Consumption'!$J89,0)</f>
        <v>0</v>
      </c>
      <c r="K218" s="129"/>
      <c r="L218" s="129">
        <f>IF('Power Modes'!$K97&gt;0, 'Power Consumption'!$D89,0)</f>
        <v>0</v>
      </c>
      <c r="M218" s="76">
        <f>IF('Power Modes'!$K97&gt;0, 'Power Consumption'!$F89,0)</f>
        <v>0</v>
      </c>
      <c r="N218" s="76">
        <f>IF('Power Modes'!$K97&gt;0, 'Power Consumption'!$H89,0)</f>
        <v>0</v>
      </c>
      <c r="O218" s="76">
        <f>IF('Power Modes'!$K97&gt;0, 'Power Consumption'!$J89,0)</f>
        <v>0</v>
      </c>
      <c r="Q218" s="129">
        <f>IF('Power Modes'!$O97&gt;0, 'Power Consumption'!$D89,0)</f>
        <v>0</v>
      </c>
      <c r="R218" s="76">
        <f>IF('Power Modes'!$O97&gt;0, 'Power Consumption'!$F89,0)</f>
        <v>0</v>
      </c>
      <c r="S218" s="76">
        <f>IF('Power Modes'!$O97&gt;0, 'Power Consumption'!$H89,0)</f>
        <v>0</v>
      </c>
      <c r="T218" s="76">
        <f>IF('Power Modes'!$O97&gt;0, 'Power Consumption'!$J89,0)</f>
        <v>0</v>
      </c>
      <c r="V218" s="129">
        <f>IF('Power Modes'!$S97&gt;0, 'Power Consumption'!$D89,0)</f>
        <v>0</v>
      </c>
      <c r="W218" s="76">
        <f>IF('Power Modes'!$S97&gt;0, 'Power Consumption'!$F89,0)</f>
        <v>0</v>
      </c>
      <c r="X218" s="76">
        <f>IF('Power Modes'!$S97&gt;0, 'Power Consumption'!$H89,0)</f>
        <v>0</v>
      </c>
      <c r="Y218" s="76">
        <f>IF('Power Modes'!$S97&gt;0, 'Power Consumption'!$J89,0)</f>
        <v>0</v>
      </c>
      <c r="AA218" s="129">
        <f>IF('Power Modes'!$W97&gt;0, 'Power Consumption'!$D89,0)</f>
        <v>0</v>
      </c>
      <c r="AB218" s="76">
        <f>IF('Power Modes'!$W97&gt;0, 'Power Consumption'!$F89,0)</f>
        <v>0</v>
      </c>
      <c r="AC218" s="76">
        <f>IF('Power Modes'!$W97&gt;0, 'Power Consumption'!$H89,0)</f>
        <v>0</v>
      </c>
      <c r="AD218" s="76">
        <f>IF('Power Modes'!$W97&gt;0, 'Power Consumption'!$J89,0)</f>
        <v>0</v>
      </c>
    </row>
    <row r="219" spans="1:30" s="64" customFormat="1" hidden="1" outlineLevel="1" x14ac:dyDescent="0.25">
      <c r="A219" s="131" t="str">
        <f t="shared" si="2"/>
        <v>Consumer #86</v>
      </c>
      <c r="B219" s="137">
        <f>IF('Power Modes'!$C98&gt;0, 'Power Consumption'!$D90,0)</f>
        <v>0</v>
      </c>
      <c r="C219" s="76">
        <f>IF('Power Modes'!$C98&gt;0, 'Power Consumption'!$F90,0)</f>
        <v>0</v>
      </c>
      <c r="D219" s="76">
        <f>IF('Power Modes'!$C98&gt;0, 'Power Consumption'!$H90,0)</f>
        <v>0</v>
      </c>
      <c r="E219" s="138">
        <f>IF('Power Modes'!$C98&gt;0, 'Power Consumption'!$J90,0)</f>
        <v>0</v>
      </c>
      <c r="F219" s="147"/>
      <c r="G219" s="129">
        <f>IF('Power Modes'!$G98&gt;0, 'Power Consumption'!$D90,0)</f>
        <v>0</v>
      </c>
      <c r="H219" s="76">
        <f>IF('Power Modes'!$G98&gt;0, 'Power Consumption'!$F90,0)</f>
        <v>0</v>
      </c>
      <c r="I219" s="76">
        <f>IF('Power Modes'!$G98&gt;0, 'Power Consumption'!$H90,0)</f>
        <v>0</v>
      </c>
      <c r="J219" s="76">
        <f>IF('Power Modes'!$G98&gt;0, 'Power Consumption'!$J90,0)</f>
        <v>0</v>
      </c>
      <c r="K219" s="129"/>
      <c r="L219" s="129">
        <f>IF('Power Modes'!$K98&gt;0, 'Power Consumption'!$D90,0)</f>
        <v>0</v>
      </c>
      <c r="M219" s="76">
        <f>IF('Power Modes'!$K98&gt;0, 'Power Consumption'!$F90,0)</f>
        <v>0</v>
      </c>
      <c r="N219" s="76">
        <f>IF('Power Modes'!$K98&gt;0, 'Power Consumption'!$H90,0)</f>
        <v>0</v>
      </c>
      <c r="O219" s="76">
        <f>IF('Power Modes'!$K98&gt;0, 'Power Consumption'!$J90,0)</f>
        <v>0</v>
      </c>
      <c r="Q219" s="129">
        <f>IF('Power Modes'!$O98&gt;0, 'Power Consumption'!$D90,0)</f>
        <v>0</v>
      </c>
      <c r="R219" s="76">
        <f>IF('Power Modes'!$O98&gt;0, 'Power Consumption'!$F90,0)</f>
        <v>0</v>
      </c>
      <c r="S219" s="76">
        <f>IF('Power Modes'!$O98&gt;0, 'Power Consumption'!$H90,0)</f>
        <v>0</v>
      </c>
      <c r="T219" s="76">
        <f>IF('Power Modes'!$O98&gt;0, 'Power Consumption'!$J90,0)</f>
        <v>0</v>
      </c>
      <c r="V219" s="129">
        <f>IF('Power Modes'!$S98&gt;0, 'Power Consumption'!$D90,0)</f>
        <v>0</v>
      </c>
      <c r="W219" s="76">
        <f>IF('Power Modes'!$S98&gt;0, 'Power Consumption'!$F90,0)</f>
        <v>0</v>
      </c>
      <c r="X219" s="76">
        <f>IF('Power Modes'!$S98&gt;0, 'Power Consumption'!$H90,0)</f>
        <v>0</v>
      </c>
      <c r="Y219" s="76">
        <f>IF('Power Modes'!$S98&gt;0, 'Power Consumption'!$J90,0)</f>
        <v>0</v>
      </c>
      <c r="AA219" s="129">
        <f>IF('Power Modes'!$W98&gt;0, 'Power Consumption'!$D90,0)</f>
        <v>0</v>
      </c>
      <c r="AB219" s="76">
        <f>IF('Power Modes'!$W98&gt;0, 'Power Consumption'!$F90,0)</f>
        <v>0</v>
      </c>
      <c r="AC219" s="76">
        <f>IF('Power Modes'!$W98&gt;0, 'Power Consumption'!$H90,0)</f>
        <v>0</v>
      </c>
      <c r="AD219" s="76">
        <f>IF('Power Modes'!$W98&gt;0, 'Power Consumption'!$J90,0)</f>
        <v>0</v>
      </c>
    </row>
    <row r="220" spans="1:30" s="64" customFormat="1" hidden="1" outlineLevel="1" x14ac:dyDescent="0.25">
      <c r="A220" s="131" t="str">
        <f t="shared" si="2"/>
        <v>Consumer #87</v>
      </c>
      <c r="B220" s="137">
        <f>IF('Power Modes'!$C99&gt;0, 'Power Consumption'!$D91,0)</f>
        <v>0</v>
      </c>
      <c r="C220" s="76">
        <f>IF('Power Modes'!$C99&gt;0, 'Power Consumption'!$F91,0)</f>
        <v>0</v>
      </c>
      <c r="D220" s="76">
        <f>IF('Power Modes'!$C99&gt;0, 'Power Consumption'!$H91,0)</f>
        <v>0</v>
      </c>
      <c r="E220" s="138">
        <f>IF('Power Modes'!$C99&gt;0, 'Power Consumption'!$J91,0)</f>
        <v>0</v>
      </c>
      <c r="F220" s="147"/>
      <c r="G220" s="129">
        <f>IF('Power Modes'!$G99&gt;0, 'Power Consumption'!$D91,0)</f>
        <v>0</v>
      </c>
      <c r="H220" s="76">
        <f>IF('Power Modes'!$G99&gt;0, 'Power Consumption'!$F91,0)</f>
        <v>0</v>
      </c>
      <c r="I220" s="76">
        <f>IF('Power Modes'!$G99&gt;0, 'Power Consumption'!$H91,0)</f>
        <v>0</v>
      </c>
      <c r="J220" s="76">
        <f>IF('Power Modes'!$G99&gt;0, 'Power Consumption'!$J91,0)</f>
        <v>0</v>
      </c>
      <c r="K220" s="129"/>
      <c r="L220" s="129">
        <f>IF('Power Modes'!$K99&gt;0, 'Power Consumption'!$D91,0)</f>
        <v>0</v>
      </c>
      <c r="M220" s="76">
        <f>IF('Power Modes'!$K99&gt;0, 'Power Consumption'!$F91,0)</f>
        <v>0</v>
      </c>
      <c r="N220" s="76">
        <f>IF('Power Modes'!$K99&gt;0, 'Power Consumption'!$H91,0)</f>
        <v>0</v>
      </c>
      <c r="O220" s="76">
        <f>IF('Power Modes'!$K99&gt;0, 'Power Consumption'!$J91,0)</f>
        <v>0</v>
      </c>
      <c r="Q220" s="129">
        <f>IF('Power Modes'!$O99&gt;0, 'Power Consumption'!$D91,0)</f>
        <v>0</v>
      </c>
      <c r="R220" s="76">
        <f>IF('Power Modes'!$O99&gt;0, 'Power Consumption'!$F91,0)</f>
        <v>0</v>
      </c>
      <c r="S220" s="76">
        <f>IF('Power Modes'!$O99&gt;0, 'Power Consumption'!$H91,0)</f>
        <v>0</v>
      </c>
      <c r="T220" s="76">
        <f>IF('Power Modes'!$O99&gt;0, 'Power Consumption'!$J91,0)</f>
        <v>0</v>
      </c>
      <c r="V220" s="129">
        <f>IF('Power Modes'!$S99&gt;0, 'Power Consumption'!$D91,0)</f>
        <v>0</v>
      </c>
      <c r="W220" s="76">
        <f>IF('Power Modes'!$S99&gt;0, 'Power Consumption'!$F91,0)</f>
        <v>0</v>
      </c>
      <c r="X220" s="76">
        <f>IF('Power Modes'!$S99&gt;0, 'Power Consumption'!$H91,0)</f>
        <v>0</v>
      </c>
      <c r="Y220" s="76">
        <f>IF('Power Modes'!$S99&gt;0, 'Power Consumption'!$J91,0)</f>
        <v>0</v>
      </c>
      <c r="AA220" s="129">
        <f>IF('Power Modes'!$W99&gt;0, 'Power Consumption'!$D91,0)</f>
        <v>0</v>
      </c>
      <c r="AB220" s="76">
        <f>IF('Power Modes'!$W99&gt;0, 'Power Consumption'!$F91,0)</f>
        <v>0</v>
      </c>
      <c r="AC220" s="76">
        <f>IF('Power Modes'!$W99&gt;0, 'Power Consumption'!$H91,0)</f>
        <v>0</v>
      </c>
      <c r="AD220" s="76">
        <f>IF('Power Modes'!$W99&gt;0, 'Power Consumption'!$J91,0)</f>
        <v>0</v>
      </c>
    </row>
    <row r="221" spans="1:30" s="64" customFormat="1" hidden="1" outlineLevel="1" x14ac:dyDescent="0.25">
      <c r="A221" s="131" t="str">
        <f t="shared" si="2"/>
        <v>Consumer #88</v>
      </c>
      <c r="B221" s="137">
        <f>IF('Power Modes'!$C100&gt;0, 'Power Consumption'!$D92,0)</f>
        <v>0</v>
      </c>
      <c r="C221" s="76">
        <f>IF('Power Modes'!$C100&gt;0, 'Power Consumption'!$F92,0)</f>
        <v>0</v>
      </c>
      <c r="D221" s="76">
        <f>IF('Power Modes'!$C100&gt;0, 'Power Consumption'!$H92,0)</f>
        <v>0</v>
      </c>
      <c r="E221" s="138">
        <f>IF('Power Modes'!$C100&gt;0, 'Power Consumption'!$J92,0)</f>
        <v>0</v>
      </c>
      <c r="F221" s="147"/>
      <c r="G221" s="129">
        <f>IF('Power Modes'!$G100&gt;0, 'Power Consumption'!$D92,0)</f>
        <v>0</v>
      </c>
      <c r="H221" s="76">
        <f>IF('Power Modes'!$G100&gt;0, 'Power Consumption'!$F92,0)</f>
        <v>0</v>
      </c>
      <c r="I221" s="76">
        <f>IF('Power Modes'!$G100&gt;0, 'Power Consumption'!$H92,0)</f>
        <v>0</v>
      </c>
      <c r="J221" s="76">
        <f>IF('Power Modes'!$G100&gt;0, 'Power Consumption'!$J92,0)</f>
        <v>0</v>
      </c>
      <c r="K221" s="129"/>
      <c r="L221" s="129">
        <f>IF('Power Modes'!$K100&gt;0, 'Power Consumption'!$D92,0)</f>
        <v>0</v>
      </c>
      <c r="M221" s="76">
        <f>IF('Power Modes'!$K100&gt;0, 'Power Consumption'!$F92,0)</f>
        <v>0</v>
      </c>
      <c r="N221" s="76">
        <f>IF('Power Modes'!$K100&gt;0, 'Power Consumption'!$H92,0)</f>
        <v>0</v>
      </c>
      <c r="O221" s="76">
        <f>IF('Power Modes'!$K100&gt;0, 'Power Consumption'!$J92,0)</f>
        <v>0</v>
      </c>
      <c r="Q221" s="129">
        <f>IF('Power Modes'!$O100&gt;0, 'Power Consumption'!$D92,0)</f>
        <v>0</v>
      </c>
      <c r="R221" s="76">
        <f>IF('Power Modes'!$O100&gt;0, 'Power Consumption'!$F92,0)</f>
        <v>0</v>
      </c>
      <c r="S221" s="76">
        <f>IF('Power Modes'!$O100&gt;0, 'Power Consumption'!$H92,0)</f>
        <v>0</v>
      </c>
      <c r="T221" s="76">
        <f>IF('Power Modes'!$O100&gt;0, 'Power Consumption'!$J92,0)</f>
        <v>0</v>
      </c>
      <c r="V221" s="129">
        <f>IF('Power Modes'!$S100&gt;0, 'Power Consumption'!$D92,0)</f>
        <v>0</v>
      </c>
      <c r="W221" s="76">
        <f>IF('Power Modes'!$S100&gt;0, 'Power Consumption'!$F92,0)</f>
        <v>0</v>
      </c>
      <c r="X221" s="76">
        <f>IF('Power Modes'!$S100&gt;0, 'Power Consumption'!$H92,0)</f>
        <v>0</v>
      </c>
      <c r="Y221" s="76">
        <f>IF('Power Modes'!$S100&gt;0, 'Power Consumption'!$J92,0)</f>
        <v>0</v>
      </c>
      <c r="AA221" s="129">
        <f>IF('Power Modes'!$W100&gt;0, 'Power Consumption'!$D92,0)</f>
        <v>0</v>
      </c>
      <c r="AB221" s="76">
        <f>IF('Power Modes'!$W100&gt;0, 'Power Consumption'!$F92,0)</f>
        <v>0</v>
      </c>
      <c r="AC221" s="76">
        <f>IF('Power Modes'!$W100&gt;0, 'Power Consumption'!$H92,0)</f>
        <v>0</v>
      </c>
      <c r="AD221" s="76">
        <f>IF('Power Modes'!$W100&gt;0, 'Power Consumption'!$J92,0)</f>
        <v>0</v>
      </c>
    </row>
    <row r="222" spans="1:30" s="64" customFormat="1" hidden="1" outlineLevel="1" x14ac:dyDescent="0.25">
      <c r="A222" s="131" t="str">
        <f t="shared" si="2"/>
        <v>Consumer #89</v>
      </c>
      <c r="B222" s="137">
        <f>IF('Power Modes'!$C101&gt;0, 'Power Consumption'!$D93,0)</f>
        <v>0</v>
      </c>
      <c r="C222" s="76">
        <f>IF('Power Modes'!$C101&gt;0, 'Power Consumption'!$F93,0)</f>
        <v>0</v>
      </c>
      <c r="D222" s="76">
        <f>IF('Power Modes'!$C101&gt;0, 'Power Consumption'!$H93,0)</f>
        <v>0</v>
      </c>
      <c r="E222" s="138">
        <f>IF('Power Modes'!$C101&gt;0, 'Power Consumption'!$J93,0)</f>
        <v>0</v>
      </c>
      <c r="F222" s="147"/>
      <c r="G222" s="129">
        <f>IF('Power Modes'!$G101&gt;0, 'Power Consumption'!$D93,0)</f>
        <v>0</v>
      </c>
      <c r="H222" s="76">
        <f>IF('Power Modes'!$G101&gt;0, 'Power Consumption'!$F93,0)</f>
        <v>0</v>
      </c>
      <c r="I222" s="76">
        <f>IF('Power Modes'!$G101&gt;0, 'Power Consumption'!$H93,0)</f>
        <v>0</v>
      </c>
      <c r="J222" s="76">
        <f>IF('Power Modes'!$G101&gt;0, 'Power Consumption'!$J93,0)</f>
        <v>0</v>
      </c>
      <c r="K222" s="129"/>
      <c r="L222" s="129">
        <f>IF('Power Modes'!$K101&gt;0, 'Power Consumption'!$D93,0)</f>
        <v>0</v>
      </c>
      <c r="M222" s="76">
        <f>IF('Power Modes'!$K101&gt;0, 'Power Consumption'!$F93,0)</f>
        <v>0</v>
      </c>
      <c r="N222" s="76">
        <f>IF('Power Modes'!$K101&gt;0, 'Power Consumption'!$H93,0)</f>
        <v>0</v>
      </c>
      <c r="O222" s="76">
        <f>IF('Power Modes'!$K101&gt;0, 'Power Consumption'!$J93,0)</f>
        <v>0</v>
      </c>
      <c r="Q222" s="129">
        <f>IF('Power Modes'!$O101&gt;0, 'Power Consumption'!$D93,0)</f>
        <v>0</v>
      </c>
      <c r="R222" s="76">
        <f>IF('Power Modes'!$O101&gt;0, 'Power Consumption'!$F93,0)</f>
        <v>0</v>
      </c>
      <c r="S222" s="76">
        <f>IF('Power Modes'!$O101&gt;0, 'Power Consumption'!$H93,0)</f>
        <v>0</v>
      </c>
      <c r="T222" s="76">
        <f>IF('Power Modes'!$O101&gt;0, 'Power Consumption'!$J93,0)</f>
        <v>0</v>
      </c>
      <c r="V222" s="129">
        <f>IF('Power Modes'!$S101&gt;0, 'Power Consumption'!$D93,0)</f>
        <v>0</v>
      </c>
      <c r="W222" s="76">
        <f>IF('Power Modes'!$S101&gt;0, 'Power Consumption'!$F93,0)</f>
        <v>0</v>
      </c>
      <c r="X222" s="76">
        <f>IF('Power Modes'!$S101&gt;0, 'Power Consumption'!$H93,0)</f>
        <v>0</v>
      </c>
      <c r="Y222" s="76">
        <f>IF('Power Modes'!$S101&gt;0, 'Power Consumption'!$J93,0)</f>
        <v>0</v>
      </c>
      <c r="AA222" s="129">
        <f>IF('Power Modes'!$W101&gt;0, 'Power Consumption'!$D93,0)</f>
        <v>0</v>
      </c>
      <c r="AB222" s="76">
        <f>IF('Power Modes'!$W101&gt;0, 'Power Consumption'!$F93,0)</f>
        <v>0</v>
      </c>
      <c r="AC222" s="76">
        <f>IF('Power Modes'!$W101&gt;0, 'Power Consumption'!$H93,0)</f>
        <v>0</v>
      </c>
      <c r="AD222" s="76">
        <f>IF('Power Modes'!$W101&gt;0, 'Power Consumption'!$J93,0)</f>
        <v>0</v>
      </c>
    </row>
    <row r="223" spans="1:30" s="64" customFormat="1" hidden="1" outlineLevel="1" x14ac:dyDescent="0.25">
      <c r="A223" s="131" t="str">
        <f t="shared" si="2"/>
        <v>Consumer #90</v>
      </c>
      <c r="B223" s="137">
        <f>IF('Power Modes'!$C102&gt;0, 'Power Consumption'!$D94,0)</f>
        <v>0</v>
      </c>
      <c r="C223" s="76">
        <f>IF('Power Modes'!$C102&gt;0, 'Power Consumption'!$F94,0)</f>
        <v>0</v>
      </c>
      <c r="D223" s="76">
        <f>IF('Power Modes'!$C102&gt;0, 'Power Consumption'!$H94,0)</f>
        <v>0</v>
      </c>
      <c r="E223" s="138">
        <f>IF('Power Modes'!$C102&gt;0, 'Power Consumption'!$J94,0)</f>
        <v>0</v>
      </c>
      <c r="F223" s="147"/>
      <c r="G223" s="129">
        <f>IF('Power Modes'!$G102&gt;0, 'Power Consumption'!$D94,0)</f>
        <v>0</v>
      </c>
      <c r="H223" s="76">
        <f>IF('Power Modes'!$G102&gt;0, 'Power Consumption'!$F94,0)</f>
        <v>0</v>
      </c>
      <c r="I223" s="76">
        <f>IF('Power Modes'!$G102&gt;0, 'Power Consumption'!$H94,0)</f>
        <v>0</v>
      </c>
      <c r="J223" s="76">
        <f>IF('Power Modes'!$G102&gt;0, 'Power Consumption'!$J94,0)</f>
        <v>0</v>
      </c>
      <c r="K223" s="129"/>
      <c r="L223" s="129">
        <f>IF('Power Modes'!$K102&gt;0, 'Power Consumption'!$D94,0)</f>
        <v>0</v>
      </c>
      <c r="M223" s="76">
        <f>IF('Power Modes'!$K102&gt;0, 'Power Consumption'!$F94,0)</f>
        <v>0</v>
      </c>
      <c r="N223" s="76">
        <f>IF('Power Modes'!$K102&gt;0, 'Power Consumption'!$H94,0)</f>
        <v>0</v>
      </c>
      <c r="O223" s="76">
        <f>IF('Power Modes'!$K102&gt;0, 'Power Consumption'!$J94,0)</f>
        <v>0</v>
      </c>
      <c r="Q223" s="129">
        <f>IF('Power Modes'!$O102&gt;0, 'Power Consumption'!$D94,0)</f>
        <v>0</v>
      </c>
      <c r="R223" s="76">
        <f>IF('Power Modes'!$O102&gt;0, 'Power Consumption'!$F94,0)</f>
        <v>0</v>
      </c>
      <c r="S223" s="76">
        <f>IF('Power Modes'!$O102&gt;0, 'Power Consumption'!$H94,0)</f>
        <v>0</v>
      </c>
      <c r="T223" s="76">
        <f>IF('Power Modes'!$O102&gt;0, 'Power Consumption'!$J94,0)</f>
        <v>0</v>
      </c>
      <c r="V223" s="129">
        <f>IF('Power Modes'!$S102&gt;0, 'Power Consumption'!$D94,0)</f>
        <v>0</v>
      </c>
      <c r="W223" s="76">
        <f>IF('Power Modes'!$S102&gt;0, 'Power Consumption'!$F94,0)</f>
        <v>0</v>
      </c>
      <c r="X223" s="76">
        <f>IF('Power Modes'!$S102&gt;0, 'Power Consumption'!$H94,0)</f>
        <v>0</v>
      </c>
      <c r="Y223" s="76">
        <f>IF('Power Modes'!$S102&gt;0, 'Power Consumption'!$J94,0)</f>
        <v>0</v>
      </c>
      <c r="AA223" s="129">
        <f>IF('Power Modes'!$W102&gt;0, 'Power Consumption'!$D94,0)</f>
        <v>0</v>
      </c>
      <c r="AB223" s="76">
        <f>IF('Power Modes'!$W102&gt;0, 'Power Consumption'!$F94,0)</f>
        <v>0</v>
      </c>
      <c r="AC223" s="76">
        <f>IF('Power Modes'!$W102&gt;0, 'Power Consumption'!$H94,0)</f>
        <v>0</v>
      </c>
      <c r="AD223" s="76">
        <f>IF('Power Modes'!$W102&gt;0, 'Power Consumption'!$J94,0)</f>
        <v>0</v>
      </c>
    </row>
    <row r="224" spans="1:30" s="64" customFormat="1" hidden="1" outlineLevel="1" x14ac:dyDescent="0.25">
      <c r="A224" s="131" t="str">
        <f t="shared" si="2"/>
        <v>Consumer #91</v>
      </c>
      <c r="B224" s="137">
        <f>IF('Power Modes'!$C103&gt;0, 'Power Consumption'!$D95,0)</f>
        <v>0</v>
      </c>
      <c r="C224" s="76">
        <f>IF('Power Modes'!$C103&gt;0, 'Power Consumption'!$F95,0)</f>
        <v>0</v>
      </c>
      <c r="D224" s="76">
        <f>IF('Power Modes'!$C103&gt;0, 'Power Consumption'!$H95,0)</f>
        <v>0</v>
      </c>
      <c r="E224" s="138">
        <f>IF('Power Modes'!$C103&gt;0, 'Power Consumption'!$J95,0)</f>
        <v>0</v>
      </c>
      <c r="F224" s="147"/>
      <c r="G224" s="129">
        <f>IF('Power Modes'!$G103&gt;0, 'Power Consumption'!$D95,0)</f>
        <v>0</v>
      </c>
      <c r="H224" s="76">
        <f>IF('Power Modes'!$G103&gt;0, 'Power Consumption'!$F95,0)</f>
        <v>0</v>
      </c>
      <c r="I224" s="76">
        <f>IF('Power Modes'!$G103&gt;0, 'Power Consumption'!$H95,0)</f>
        <v>0</v>
      </c>
      <c r="J224" s="76">
        <f>IF('Power Modes'!$G103&gt;0, 'Power Consumption'!$J95,0)</f>
        <v>0</v>
      </c>
      <c r="K224" s="129"/>
      <c r="L224" s="129">
        <f>IF('Power Modes'!$K103&gt;0, 'Power Consumption'!$D95,0)</f>
        <v>0</v>
      </c>
      <c r="M224" s="76">
        <f>IF('Power Modes'!$K103&gt;0, 'Power Consumption'!$F95,0)</f>
        <v>0</v>
      </c>
      <c r="N224" s="76">
        <f>IF('Power Modes'!$K103&gt;0, 'Power Consumption'!$H95,0)</f>
        <v>0</v>
      </c>
      <c r="O224" s="76">
        <f>IF('Power Modes'!$K103&gt;0, 'Power Consumption'!$J95,0)</f>
        <v>0</v>
      </c>
      <c r="Q224" s="129">
        <f>IF('Power Modes'!$O103&gt;0, 'Power Consumption'!$D95,0)</f>
        <v>0</v>
      </c>
      <c r="R224" s="76">
        <f>IF('Power Modes'!$O103&gt;0, 'Power Consumption'!$F95,0)</f>
        <v>0</v>
      </c>
      <c r="S224" s="76">
        <f>IF('Power Modes'!$O103&gt;0, 'Power Consumption'!$H95,0)</f>
        <v>0</v>
      </c>
      <c r="T224" s="76">
        <f>IF('Power Modes'!$O103&gt;0, 'Power Consumption'!$J95,0)</f>
        <v>0</v>
      </c>
      <c r="V224" s="129">
        <f>IF('Power Modes'!$S103&gt;0, 'Power Consumption'!$D95,0)</f>
        <v>0</v>
      </c>
      <c r="W224" s="76">
        <f>IF('Power Modes'!$S103&gt;0, 'Power Consumption'!$F95,0)</f>
        <v>0</v>
      </c>
      <c r="X224" s="76">
        <f>IF('Power Modes'!$S103&gt;0, 'Power Consumption'!$H95,0)</f>
        <v>0</v>
      </c>
      <c r="Y224" s="76">
        <f>IF('Power Modes'!$S103&gt;0, 'Power Consumption'!$J95,0)</f>
        <v>0</v>
      </c>
      <c r="AA224" s="129">
        <f>IF('Power Modes'!$W103&gt;0, 'Power Consumption'!$D95,0)</f>
        <v>0</v>
      </c>
      <c r="AB224" s="76">
        <f>IF('Power Modes'!$W103&gt;0, 'Power Consumption'!$F95,0)</f>
        <v>0</v>
      </c>
      <c r="AC224" s="76">
        <f>IF('Power Modes'!$W103&gt;0, 'Power Consumption'!$H95,0)</f>
        <v>0</v>
      </c>
      <c r="AD224" s="76">
        <f>IF('Power Modes'!$W103&gt;0, 'Power Consumption'!$J95,0)</f>
        <v>0</v>
      </c>
    </row>
    <row r="225" spans="1:30" s="64" customFormat="1" hidden="1" outlineLevel="1" x14ac:dyDescent="0.25">
      <c r="A225" s="131" t="str">
        <f t="shared" si="2"/>
        <v>Consumer #92</v>
      </c>
      <c r="B225" s="137">
        <f>IF('Power Modes'!$C104&gt;0, 'Power Consumption'!$D96,0)</f>
        <v>0</v>
      </c>
      <c r="C225" s="76">
        <f>IF('Power Modes'!$C104&gt;0, 'Power Consumption'!$F96,0)</f>
        <v>0</v>
      </c>
      <c r="D225" s="76">
        <f>IF('Power Modes'!$C104&gt;0, 'Power Consumption'!$H96,0)</f>
        <v>0</v>
      </c>
      <c r="E225" s="138">
        <f>IF('Power Modes'!$C104&gt;0, 'Power Consumption'!$J96,0)</f>
        <v>0</v>
      </c>
      <c r="F225" s="147"/>
      <c r="G225" s="129">
        <f>IF('Power Modes'!$G104&gt;0, 'Power Consumption'!$D96,0)</f>
        <v>0</v>
      </c>
      <c r="H225" s="76">
        <f>IF('Power Modes'!$G104&gt;0, 'Power Consumption'!$F96,0)</f>
        <v>0</v>
      </c>
      <c r="I225" s="76">
        <f>IF('Power Modes'!$G104&gt;0, 'Power Consumption'!$H96,0)</f>
        <v>0</v>
      </c>
      <c r="J225" s="76">
        <f>IF('Power Modes'!$G104&gt;0, 'Power Consumption'!$J96,0)</f>
        <v>0</v>
      </c>
      <c r="K225" s="129"/>
      <c r="L225" s="129">
        <f>IF('Power Modes'!$K104&gt;0, 'Power Consumption'!$D96,0)</f>
        <v>0</v>
      </c>
      <c r="M225" s="76">
        <f>IF('Power Modes'!$K104&gt;0, 'Power Consumption'!$F96,0)</f>
        <v>0</v>
      </c>
      <c r="N225" s="76">
        <f>IF('Power Modes'!$K104&gt;0, 'Power Consumption'!$H96,0)</f>
        <v>0</v>
      </c>
      <c r="O225" s="76">
        <f>IF('Power Modes'!$K104&gt;0, 'Power Consumption'!$J96,0)</f>
        <v>0</v>
      </c>
      <c r="Q225" s="129">
        <f>IF('Power Modes'!$O104&gt;0, 'Power Consumption'!$D96,0)</f>
        <v>0</v>
      </c>
      <c r="R225" s="76">
        <f>IF('Power Modes'!$O104&gt;0, 'Power Consumption'!$F96,0)</f>
        <v>0</v>
      </c>
      <c r="S225" s="76">
        <f>IF('Power Modes'!$O104&gt;0, 'Power Consumption'!$H96,0)</f>
        <v>0</v>
      </c>
      <c r="T225" s="76">
        <f>IF('Power Modes'!$O104&gt;0, 'Power Consumption'!$J96,0)</f>
        <v>0</v>
      </c>
      <c r="V225" s="129">
        <f>IF('Power Modes'!$S104&gt;0, 'Power Consumption'!$D96,0)</f>
        <v>0</v>
      </c>
      <c r="W225" s="76">
        <f>IF('Power Modes'!$S104&gt;0, 'Power Consumption'!$F96,0)</f>
        <v>0</v>
      </c>
      <c r="X225" s="76">
        <f>IF('Power Modes'!$S104&gt;0, 'Power Consumption'!$H96,0)</f>
        <v>0</v>
      </c>
      <c r="Y225" s="76">
        <f>IF('Power Modes'!$S104&gt;0, 'Power Consumption'!$J96,0)</f>
        <v>0</v>
      </c>
      <c r="AA225" s="129">
        <f>IF('Power Modes'!$W104&gt;0, 'Power Consumption'!$D96,0)</f>
        <v>0</v>
      </c>
      <c r="AB225" s="76">
        <f>IF('Power Modes'!$W104&gt;0, 'Power Consumption'!$F96,0)</f>
        <v>0</v>
      </c>
      <c r="AC225" s="76">
        <f>IF('Power Modes'!$W104&gt;0, 'Power Consumption'!$H96,0)</f>
        <v>0</v>
      </c>
      <c r="AD225" s="76">
        <f>IF('Power Modes'!$W104&gt;0, 'Power Consumption'!$J96,0)</f>
        <v>0</v>
      </c>
    </row>
    <row r="226" spans="1:30" s="64" customFormat="1" hidden="1" outlineLevel="1" x14ac:dyDescent="0.25">
      <c r="A226" s="131" t="str">
        <f t="shared" si="2"/>
        <v>Consumer #93</v>
      </c>
      <c r="B226" s="137">
        <f>IF('Power Modes'!$C105&gt;0, 'Power Consumption'!$D97,0)</f>
        <v>0</v>
      </c>
      <c r="C226" s="76">
        <f>IF('Power Modes'!$C105&gt;0, 'Power Consumption'!$F97,0)</f>
        <v>0</v>
      </c>
      <c r="D226" s="76">
        <f>IF('Power Modes'!$C105&gt;0, 'Power Consumption'!$H97,0)</f>
        <v>0</v>
      </c>
      <c r="E226" s="138">
        <f>IF('Power Modes'!$C105&gt;0, 'Power Consumption'!$J97,0)</f>
        <v>0</v>
      </c>
      <c r="F226" s="147"/>
      <c r="G226" s="129">
        <f>IF('Power Modes'!$G105&gt;0, 'Power Consumption'!$D97,0)</f>
        <v>0</v>
      </c>
      <c r="H226" s="76">
        <f>IF('Power Modes'!$G105&gt;0, 'Power Consumption'!$F97,0)</f>
        <v>0</v>
      </c>
      <c r="I226" s="76">
        <f>IF('Power Modes'!$G105&gt;0, 'Power Consumption'!$H97,0)</f>
        <v>0</v>
      </c>
      <c r="J226" s="76">
        <f>IF('Power Modes'!$G105&gt;0, 'Power Consumption'!$J97,0)</f>
        <v>0</v>
      </c>
      <c r="K226" s="129"/>
      <c r="L226" s="129">
        <f>IF('Power Modes'!$K105&gt;0, 'Power Consumption'!$D97,0)</f>
        <v>0</v>
      </c>
      <c r="M226" s="76">
        <f>IF('Power Modes'!$K105&gt;0, 'Power Consumption'!$F97,0)</f>
        <v>0</v>
      </c>
      <c r="N226" s="76">
        <f>IF('Power Modes'!$K105&gt;0, 'Power Consumption'!$H97,0)</f>
        <v>0</v>
      </c>
      <c r="O226" s="76">
        <f>IF('Power Modes'!$K105&gt;0, 'Power Consumption'!$J97,0)</f>
        <v>0</v>
      </c>
      <c r="Q226" s="129">
        <f>IF('Power Modes'!$O105&gt;0, 'Power Consumption'!$D97,0)</f>
        <v>0</v>
      </c>
      <c r="R226" s="76">
        <f>IF('Power Modes'!$O105&gt;0, 'Power Consumption'!$F97,0)</f>
        <v>0</v>
      </c>
      <c r="S226" s="76">
        <f>IF('Power Modes'!$O105&gt;0, 'Power Consumption'!$H97,0)</f>
        <v>0</v>
      </c>
      <c r="T226" s="76">
        <f>IF('Power Modes'!$O105&gt;0, 'Power Consumption'!$J97,0)</f>
        <v>0</v>
      </c>
      <c r="V226" s="129">
        <f>IF('Power Modes'!$S105&gt;0, 'Power Consumption'!$D97,0)</f>
        <v>0</v>
      </c>
      <c r="W226" s="76">
        <f>IF('Power Modes'!$S105&gt;0, 'Power Consumption'!$F97,0)</f>
        <v>0</v>
      </c>
      <c r="X226" s="76">
        <f>IF('Power Modes'!$S105&gt;0, 'Power Consumption'!$H97,0)</f>
        <v>0</v>
      </c>
      <c r="Y226" s="76">
        <f>IF('Power Modes'!$S105&gt;0, 'Power Consumption'!$J97,0)</f>
        <v>0</v>
      </c>
      <c r="AA226" s="129">
        <f>IF('Power Modes'!$W105&gt;0, 'Power Consumption'!$D97,0)</f>
        <v>0</v>
      </c>
      <c r="AB226" s="76">
        <f>IF('Power Modes'!$W105&gt;0, 'Power Consumption'!$F97,0)</f>
        <v>0</v>
      </c>
      <c r="AC226" s="76">
        <f>IF('Power Modes'!$W105&gt;0, 'Power Consumption'!$H97,0)</f>
        <v>0</v>
      </c>
      <c r="AD226" s="76">
        <f>IF('Power Modes'!$W105&gt;0, 'Power Consumption'!$J97,0)</f>
        <v>0</v>
      </c>
    </row>
    <row r="227" spans="1:30" s="64" customFormat="1" hidden="1" outlineLevel="1" x14ac:dyDescent="0.25">
      <c r="A227" s="131" t="str">
        <f t="shared" si="2"/>
        <v>Consumer #94</v>
      </c>
      <c r="B227" s="137">
        <f>IF('Power Modes'!$C106&gt;0, 'Power Consumption'!$D98,0)</f>
        <v>0</v>
      </c>
      <c r="C227" s="76">
        <f>IF('Power Modes'!$C106&gt;0, 'Power Consumption'!$F98,0)</f>
        <v>0</v>
      </c>
      <c r="D227" s="76">
        <f>IF('Power Modes'!$C106&gt;0, 'Power Consumption'!$H98,0)</f>
        <v>0</v>
      </c>
      <c r="E227" s="138">
        <f>IF('Power Modes'!$C106&gt;0, 'Power Consumption'!$J98,0)</f>
        <v>0</v>
      </c>
      <c r="F227" s="147"/>
      <c r="G227" s="129">
        <f>IF('Power Modes'!$G106&gt;0, 'Power Consumption'!$D98,0)</f>
        <v>0</v>
      </c>
      <c r="H227" s="76">
        <f>IF('Power Modes'!$G106&gt;0, 'Power Consumption'!$F98,0)</f>
        <v>0</v>
      </c>
      <c r="I227" s="76">
        <f>IF('Power Modes'!$G106&gt;0, 'Power Consumption'!$H98,0)</f>
        <v>0</v>
      </c>
      <c r="J227" s="76">
        <f>IF('Power Modes'!$G106&gt;0, 'Power Consumption'!$J98,0)</f>
        <v>0</v>
      </c>
      <c r="K227" s="129"/>
      <c r="L227" s="129">
        <f>IF('Power Modes'!$K106&gt;0, 'Power Consumption'!$D98,0)</f>
        <v>0</v>
      </c>
      <c r="M227" s="76">
        <f>IF('Power Modes'!$K106&gt;0, 'Power Consumption'!$F98,0)</f>
        <v>0</v>
      </c>
      <c r="N227" s="76">
        <f>IF('Power Modes'!$K106&gt;0, 'Power Consumption'!$H98,0)</f>
        <v>0</v>
      </c>
      <c r="O227" s="76">
        <f>IF('Power Modes'!$K106&gt;0, 'Power Consumption'!$J98,0)</f>
        <v>0</v>
      </c>
      <c r="Q227" s="129">
        <f>IF('Power Modes'!$O106&gt;0, 'Power Consumption'!$D98,0)</f>
        <v>0</v>
      </c>
      <c r="R227" s="76">
        <f>IF('Power Modes'!$O106&gt;0, 'Power Consumption'!$F98,0)</f>
        <v>0</v>
      </c>
      <c r="S227" s="76">
        <f>IF('Power Modes'!$O106&gt;0, 'Power Consumption'!$H98,0)</f>
        <v>0</v>
      </c>
      <c r="T227" s="76">
        <f>IF('Power Modes'!$O106&gt;0, 'Power Consumption'!$J98,0)</f>
        <v>0</v>
      </c>
      <c r="V227" s="129">
        <f>IF('Power Modes'!$S106&gt;0, 'Power Consumption'!$D98,0)</f>
        <v>0</v>
      </c>
      <c r="W227" s="76">
        <f>IF('Power Modes'!$S106&gt;0, 'Power Consumption'!$F98,0)</f>
        <v>0</v>
      </c>
      <c r="X227" s="76">
        <f>IF('Power Modes'!$S106&gt;0, 'Power Consumption'!$H98,0)</f>
        <v>0</v>
      </c>
      <c r="Y227" s="76">
        <f>IF('Power Modes'!$S106&gt;0, 'Power Consumption'!$J98,0)</f>
        <v>0</v>
      </c>
      <c r="AA227" s="129">
        <f>IF('Power Modes'!$W106&gt;0, 'Power Consumption'!$D98,0)</f>
        <v>0</v>
      </c>
      <c r="AB227" s="76">
        <f>IF('Power Modes'!$W106&gt;0, 'Power Consumption'!$F98,0)</f>
        <v>0</v>
      </c>
      <c r="AC227" s="76">
        <f>IF('Power Modes'!$W106&gt;0, 'Power Consumption'!$H98,0)</f>
        <v>0</v>
      </c>
      <c r="AD227" s="76">
        <f>IF('Power Modes'!$W106&gt;0, 'Power Consumption'!$J98,0)</f>
        <v>0</v>
      </c>
    </row>
    <row r="228" spans="1:30" s="64" customFormat="1" hidden="1" outlineLevel="1" x14ac:dyDescent="0.25">
      <c r="A228" s="131" t="str">
        <f t="shared" si="2"/>
        <v>Consumer #95</v>
      </c>
      <c r="B228" s="137">
        <f>IF('Power Modes'!$C107&gt;0, 'Power Consumption'!$D99,0)</f>
        <v>0</v>
      </c>
      <c r="C228" s="76">
        <f>IF('Power Modes'!$C107&gt;0, 'Power Consumption'!$F99,0)</f>
        <v>0</v>
      </c>
      <c r="D228" s="76">
        <f>IF('Power Modes'!$C107&gt;0, 'Power Consumption'!$H99,0)</f>
        <v>0</v>
      </c>
      <c r="E228" s="138">
        <f>IF('Power Modes'!$C107&gt;0, 'Power Consumption'!$J99,0)</f>
        <v>0</v>
      </c>
      <c r="F228" s="147"/>
      <c r="G228" s="129">
        <f>IF('Power Modes'!$G107&gt;0, 'Power Consumption'!$D99,0)</f>
        <v>0</v>
      </c>
      <c r="H228" s="76">
        <f>IF('Power Modes'!$G107&gt;0, 'Power Consumption'!$F99,0)</f>
        <v>0</v>
      </c>
      <c r="I228" s="76">
        <f>IF('Power Modes'!$G107&gt;0, 'Power Consumption'!$H99,0)</f>
        <v>0</v>
      </c>
      <c r="J228" s="76">
        <f>IF('Power Modes'!$G107&gt;0, 'Power Consumption'!$J99,0)</f>
        <v>0</v>
      </c>
      <c r="K228" s="129"/>
      <c r="L228" s="129">
        <f>IF('Power Modes'!$K107&gt;0, 'Power Consumption'!$D99,0)</f>
        <v>0</v>
      </c>
      <c r="M228" s="76">
        <f>IF('Power Modes'!$K107&gt;0, 'Power Consumption'!$F99,0)</f>
        <v>0</v>
      </c>
      <c r="N228" s="76">
        <f>IF('Power Modes'!$K107&gt;0, 'Power Consumption'!$H99,0)</f>
        <v>0</v>
      </c>
      <c r="O228" s="76">
        <f>IF('Power Modes'!$K107&gt;0, 'Power Consumption'!$J99,0)</f>
        <v>0</v>
      </c>
      <c r="Q228" s="129">
        <f>IF('Power Modes'!$O107&gt;0, 'Power Consumption'!$D99,0)</f>
        <v>0</v>
      </c>
      <c r="R228" s="76">
        <f>IF('Power Modes'!$O107&gt;0, 'Power Consumption'!$F99,0)</f>
        <v>0</v>
      </c>
      <c r="S228" s="76">
        <f>IF('Power Modes'!$O107&gt;0, 'Power Consumption'!$H99,0)</f>
        <v>0</v>
      </c>
      <c r="T228" s="76">
        <f>IF('Power Modes'!$O107&gt;0, 'Power Consumption'!$J99,0)</f>
        <v>0</v>
      </c>
      <c r="V228" s="129">
        <f>IF('Power Modes'!$S107&gt;0, 'Power Consumption'!$D99,0)</f>
        <v>0</v>
      </c>
      <c r="W228" s="76">
        <f>IF('Power Modes'!$S107&gt;0, 'Power Consumption'!$F99,0)</f>
        <v>0</v>
      </c>
      <c r="X228" s="76">
        <f>IF('Power Modes'!$S107&gt;0, 'Power Consumption'!$H99,0)</f>
        <v>0</v>
      </c>
      <c r="Y228" s="76">
        <f>IF('Power Modes'!$S107&gt;0, 'Power Consumption'!$J99,0)</f>
        <v>0</v>
      </c>
      <c r="AA228" s="129">
        <f>IF('Power Modes'!$W107&gt;0, 'Power Consumption'!$D99,0)</f>
        <v>0</v>
      </c>
      <c r="AB228" s="76">
        <f>IF('Power Modes'!$W107&gt;0, 'Power Consumption'!$F99,0)</f>
        <v>0</v>
      </c>
      <c r="AC228" s="76">
        <f>IF('Power Modes'!$W107&gt;0, 'Power Consumption'!$H99,0)</f>
        <v>0</v>
      </c>
      <c r="AD228" s="76">
        <f>IF('Power Modes'!$W107&gt;0, 'Power Consumption'!$J99,0)</f>
        <v>0</v>
      </c>
    </row>
    <row r="229" spans="1:30" s="64" customFormat="1" hidden="1" outlineLevel="1" x14ac:dyDescent="0.25">
      <c r="A229" s="131" t="str">
        <f t="shared" si="2"/>
        <v>Consumer #96</v>
      </c>
      <c r="B229" s="137">
        <f>IF('Power Modes'!$C108&gt;0, 'Power Consumption'!$D100,0)</f>
        <v>0</v>
      </c>
      <c r="C229" s="76">
        <f>IF('Power Modes'!$C108&gt;0, 'Power Consumption'!$F100,0)</f>
        <v>0</v>
      </c>
      <c r="D229" s="76">
        <f>IF('Power Modes'!$C108&gt;0, 'Power Consumption'!$H100,0)</f>
        <v>0</v>
      </c>
      <c r="E229" s="138">
        <f>IF('Power Modes'!$C108&gt;0, 'Power Consumption'!$J100,0)</f>
        <v>0</v>
      </c>
      <c r="F229" s="147"/>
      <c r="G229" s="129">
        <f>IF('Power Modes'!$G108&gt;0, 'Power Consumption'!$D100,0)</f>
        <v>0</v>
      </c>
      <c r="H229" s="76">
        <f>IF('Power Modes'!$G108&gt;0, 'Power Consumption'!$F100,0)</f>
        <v>0</v>
      </c>
      <c r="I229" s="76">
        <f>IF('Power Modes'!$G108&gt;0, 'Power Consumption'!$H100,0)</f>
        <v>0</v>
      </c>
      <c r="J229" s="76">
        <f>IF('Power Modes'!$G108&gt;0, 'Power Consumption'!$J100,0)</f>
        <v>0</v>
      </c>
      <c r="K229" s="129"/>
      <c r="L229" s="129">
        <f>IF('Power Modes'!$K108&gt;0, 'Power Consumption'!$D100,0)</f>
        <v>0</v>
      </c>
      <c r="M229" s="76">
        <f>IF('Power Modes'!$K108&gt;0, 'Power Consumption'!$F100,0)</f>
        <v>0</v>
      </c>
      <c r="N229" s="76">
        <f>IF('Power Modes'!$K108&gt;0, 'Power Consumption'!$H100,0)</f>
        <v>0</v>
      </c>
      <c r="O229" s="76">
        <f>IF('Power Modes'!$K108&gt;0, 'Power Consumption'!$J100,0)</f>
        <v>0</v>
      </c>
      <c r="Q229" s="129">
        <f>IF('Power Modes'!$O108&gt;0, 'Power Consumption'!$D100,0)</f>
        <v>0</v>
      </c>
      <c r="R229" s="76">
        <f>IF('Power Modes'!$O108&gt;0, 'Power Consumption'!$F100,0)</f>
        <v>0</v>
      </c>
      <c r="S229" s="76">
        <f>IF('Power Modes'!$O108&gt;0, 'Power Consumption'!$H100,0)</f>
        <v>0</v>
      </c>
      <c r="T229" s="76">
        <f>IF('Power Modes'!$O108&gt;0, 'Power Consumption'!$J100,0)</f>
        <v>0</v>
      </c>
      <c r="V229" s="129">
        <f>IF('Power Modes'!$S108&gt;0, 'Power Consumption'!$D100,0)</f>
        <v>0</v>
      </c>
      <c r="W229" s="76">
        <f>IF('Power Modes'!$S108&gt;0, 'Power Consumption'!$F100,0)</f>
        <v>0</v>
      </c>
      <c r="X229" s="76">
        <f>IF('Power Modes'!$S108&gt;0, 'Power Consumption'!$H100,0)</f>
        <v>0</v>
      </c>
      <c r="Y229" s="76">
        <f>IF('Power Modes'!$S108&gt;0, 'Power Consumption'!$J100,0)</f>
        <v>0</v>
      </c>
      <c r="AA229" s="129">
        <f>IF('Power Modes'!$W108&gt;0, 'Power Consumption'!$D100,0)</f>
        <v>0</v>
      </c>
      <c r="AB229" s="76">
        <f>IF('Power Modes'!$W108&gt;0, 'Power Consumption'!$F100,0)</f>
        <v>0</v>
      </c>
      <c r="AC229" s="76">
        <f>IF('Power Modes'!$W108&gt;0, 'Power Consumption'!$H100,0)</f>
        <v>0</v>
      </c>
      <c r="AD229" s="76">
        <f>IF('Power Modes'!$W108&gt;0, 'Power Consumption'!$J100,0)</f>
        <v>0</v>
      </c>
    </row>
    <row r="230" spans="1:30" s="64" customFormat="1" hidden="1" outlineLevel="1" x14ac:dyDescent="0.25">
      <c r="A230" s="131" t="str">
        <f t="shared" ref="A230:A233" si="3">A115</f>
        <v>Consumer #97</v>
      </c>
      <c r="B230" s="137">
        <f>IF('Power Modes'!$C109&gt;0, 'Power Consumption'!$D101,0)</f>
        <v>0</v>
      </c>
      <c r="C230" s="76">
        <f>IF('Power Modes'!$C109&gt;0, 'Power Consumption'!$F101,0)</f>
        <v>0</v>
      </c>
      <c r="D230" s="76">
        <f>IF('Power Modes'!$C109&gt;0, 'Power Consumption'!$H101,0)</f>
        <v>0</v>
      </c>
      <c r="E230" s="138">
        <f>IF('Power Modes'!$C109&gt;0, 'Power Consumption'!$J101,0)</f>
        <v>0</v>
      </c>
      <c r="F230" s="147"/>
      <c r="G230" s="129">
        <f>IF('Power Modes'!$G109&gt;0, 'Power Consumption'!$D101,0)</f>
        <v>0</v>
      </c>
      <c r="H230" s="76">
        <f>IF('Power Modes'!$G109&gt;0, 'Power Consumption'!$F101,0)</f>
        <v>0</v>
      </c>
      <c r="I230" s="76">
        <f>IF('Power Modes'!$G109&gt;0, 'Power Consumption'!$H101,0)</f>
        <v>0</v>
      </c>
      <c r="J230" s="76">
        <f>IF('Power Modes'!$G109&gt;0, 'Power Consumption'!$J101,0)</f>
        <v>0</v>
      </c>
      <c r="K230" s="129"/>
      <c r="L230" s="129">
        <f>IF('Power Modes'!$K109&gt;0, 'Power Consumption'!$D101,0)</f>
        <v>0</v>
      </c>
      <c r="M230" s="76">
        <f>IF('Power Modes'!$K109&gt;0, 'Power Consumption'!$F101,0)</f>
        <v>0</v>
      </c>
      <c r="N230" s="76">
        <f>IF('Power Modes'!$K109&gt;0, 'Power Consumption'!$H101,0)</f>
        <v>0</v>
      </c>
      <c r="O230" s="76">
        <f>IF('Power Modes'!$K109&gt;0, 'Power Consumption'!$J101,0)</f>
        <v>0</v>
      </c>
      <c r="Q230" s="129">
        <f>IF('Power Modes'!$O109&gt;0, 'Power Consumption'!$D101,0)</f>
        <v>0</v>
      </c>
      <c r="R230" s="76">
        <f>IF('Power Modes'!$O109&gt;0, 'Power Consumption'!$F101,0)</f>
        <v>0</v>
      </c>
      <c r="S230" s="76">
        <f>IF('Power Modes'!$O109&gt;0, 'Power Consumption'!$H101,0)</f>
        <v>0</v>
      </c>
      <c r="T230" s="76">
        <f>IF('Power Modes'!$O109&gt;0, 'Power Consumption'!$J101,0)</f>
        <v>0</v>
      </c>
      <c r="V230" s="129">
        <f>IF('Power Modes'!$S109&gt;0, 'Power Consumption'!$D101,0)</f>
        <v>0</v>
      </c>
      <c r="W230" s="76">
        <f>IF('Power Modes'!$S109&gt;0, 'Power Consumption'!$F101,0)</f>
        <v>0</v>
      </c>
      <c r="X230" s="76">
        <f>IF('Power Modes'!$S109&gt;0, 'Power Consumption'!$H101,0)</f>
        <v>0</v>
      </c>
      <c r="Y230" s="76">
        <f>IF('Power Modes'!$S109&gt;0, 'Power Consumption'!$J101,0)</f>
        <v>0</v>
      </c>
      <c r="AA230" s="129">
        <f>IF('Power Modes'!$W109&gt;0, 'Power Consumption'!$D101,0)</f>
        <v>0</v>
      </c>
      <c r="AB230" s="76">
        <f>IF('Power Modes'!$W109&gt;0, 'Power Consumption'!$F101,0)</f>
        <v>0</v>
      </c>
      <c r="AC230" s="76">
        <f>IF('Power Modes'!$W109&gt;0, 'Power Consumption'!$H101,0)</f>
        <v>0</v>
      </c>
      <c r="AD230" s="76">
        <f>IF('Power Modes'!$W109&gt;0, 'Power Consumption'!$J101,0)</f>
        <v>0</v>
      </c>
    </row>
    <row r="231" spans="1:30" s="64" customFormat="1" hidden="1" outlineLevel="1" x14ac:dyDescent="0.25">
      <c r="A231" s="131" t="str">
        <f t="shared" si="3"/>
        <v>Consumer #98</v>
      </c>
      <c r="B231" s="137">
        <f>IF('Power Modes'!$C110&gt;0, 'Power Consumption'!$D102,0)</f>
        <v>0</v>
      </c>
      <c r="C231" s="76">
        <f>IF('Power Modes'!$C110&gt;0, 'Power Consumption'!$F102,0)</f>
        <v>0</v>
      </c>
      <c r="D231" s="76">
        <f>IF('Power Modes'!$C110&gt;0, 'Power Consumption'!$H102,0)</f>
        <v>0</v>
      </c>
      <c r="E231" s="138">
        <f>IF('Power Modes'!$C110&gt;0, 'Power Consumption'!$J102,0)</f>
        <v>0</v>
      </c>
      <c r="F231" s="147"/>
      <c r="G231" s="129">
        <f>IF('Power Modes'!$G110&gt;0, 'Power Consumption'!$D102,0)</f>
        <v>0</v>
      </c>
      <c r="H231" s="76">
        <f>IF('Power Modes'!$G110&gt;0, 'Power Consumption'!$F102,0)</f>
        <v>0</v>
      </c>
      <c r="I231" s="76">
        <f>IF('Power Modes'!$G110&gt;0, 'Power Consumption'!$H102,0)</f>
        <v>0</v>
      </c>
      <c r="J231" s="76">
        <f>IF('Power Modes'!$G110&gt;0, 'Power Consumption'!$J102,0)</f>
        <v>0</v>
      </c>
      <c r="K231" s="129"/>
      <c r="L231" s="129">
        <f>IF('Power Modes'!$K110&gt;0, 'Power Consumption'!$D102,0)</f>
        <v>0</v>
      </c>
      <c r="M231" s="76">
        <f>IF('Power Modes'!$K110&gt;0, 'Power Consumption'!$F102,0)</f>
        <v>0</v>
      </c>
      <c r="N231" s="76">
        <f>IF('Power Modes'!$K110&gt;0, 'Power Consumption'!$H102,0)</f>
        <v>0</v>
      </c>
      <c r="O231" s="76">
        <f>IF('Power Modes'!$K110&gt;0, 'Power Consumption'!$J102,0)</f>
        <v>0</v>
      </c>
      <c r="Q231" s="129">
        <f>IF('Power Modes'!$O110&gt;0, 'Power Consumption'!$D102,0)</f>
        <v>0</v>
      </c>
      <c r="R231" s="76">
        <f>IF('Power Modes'!$O110&gt;0, 'Power Consumption'!$F102,0)</f>
        <v>0</v>
      </c>
      <c r="S231" s="76">
        <f>IF('Power Modes'!$O110&gt;0, 'Power Consumption'!$H102,0)</f>
        <v>0</v>
      </c>
      <c r="T231" s="76">
        <f>IF('Power Modes'!$O110&gt;0, 'Power Consumption'!$J102,0)</f>
        <v>0</v>
      </c>
      <c r="V231" s="129">
        <f>IF('Power Modes'!$S110&gt;0, 'Power Consumption'!$D102,0)</f>
        <v>0</v>
      </c>
      <c r="W231" s="76">
        <f>IF('Power Modes'!$S110&gt;0, 'Power Consumption'!$F102,0)</f>
        <v>0</v>
      </c>
      <c r="X231" s="76">
        <f>IF('Power Modes'!$S110&gt;0, 'Power Consumption'!$H102,0)</f>
        <v>0</v>
      </c>
      <c r="Y231" s="76">
        <f>IF('Power Modes'!$S110&gt;0, 'Power Consumption'!$J102,0)</f>
        <v>0</v>
      </c>
      <c r="AA231" s="129">
        <f>IF('Power Modes'!$W110&gt;0, 'Power Consumption'!$D102,0)</f>
        <v>0</v>
      </c>
      <c r="AB231" s="76">
        <f>IF('Power Modes'!$W110&gt;0, 'Power Consumption'!$F102,0)</f>
        <v>0</v>
      </c>
      <c r="AC231" s="76">
        <f>IF('Power Modes'!$W110&gt;0, 'Power Consumption'!$H102,0)</f>
        <v>0</v>
      </c>
      <c r="AD231" s="76">
        <f>IF('Power Modes'!$W110&gt;0, 'Power Consumption'!$J102,0)</f>
        <v>0</v>
      </c>
    </row>
    <row r="232" spans="1:30" s="64" customFormat="1" hidden="1" outlineLevel="1" x14ac:dyDescent="0.25">
      <c r="A232" s="131" t="str">
        <f t="shared" si="3"/>
        <v>Consumer #99</v>
      </c>
      <c r="B232" s="137">
        <f>IF('Power Modes'!$C111&gt;0, 'Power Consumption'!$D103,0)</f>
        <v>0</v>
      </c>
      <c r="C232" s="76">
        <f>IF('Power Modes'!$C111&gt;0, 'Power Consumption'!$F103,0)</f>
        <v>0</v>
      </c>
      <c r="D232" s="76">
        <f>IF('Power Modes'!$C111&gt;0, 'Power Consumption'!$H103,0)</f>
        <v>0</v>
      </c>
      <c r="E232" s="138">
        <f>IF('Power Modes'!$C111&gt;0, 'Power Consumption'!$J103,0)</f>
        <v>0</v>
      </c>
      <c r="F232" s="147"/>
      <c r="G232" s="129">
        <f>IF('Power Modes'!$G111&gt;0, 'Power Consumption'!$D103,0)</f>
        <v>0</v>
      </c>
      <c r="H232" s="76">
        <f>IF('Power Modes'!$G111&gt;0, 'Power Consumption'!$F103,0)</f>
        <v>0</v>
      </c>
      <c r="I232" s="76">
        <f>IF('Power Modes'!$G111&gt;0, 'Power Consumption'!$H103,0)</f>
        <v>0</v>
      </c>
      <c r="J232" s="76">
        <f>IF('Power Modes'!$G111&gt;0, 'Power Consumption'!$J103,0)</f>
        <v>0</v>
      </c>
      <c r="K232" s="129"/>
      <c r="L232" s="129">
        <f>IF('Power Modes'!$K111&gt;0, 'Power Consumption'!$D103,0)</f>
        <v>0</v>
      </c>
      <c r="M232" s="76">
        <f>IF('Power Modes'!$K111&gt;0, 'Power Consumption'!$F103,0)</f>
        <v>0</v>
      </c>
      <c r="N232" s="76">
        <f>IF('Power Modes'!$K111&gt;0, 'Power Consumption'!$H103,0)</f>
        <v>0</v>
      </c>
      <c r="O232" s="76">
        <f>IF('Power Modes'!$K111&gt;0, 'Power Consumption'!$J103,0)</f>
        <v>0</v>
      </c>
      <c r="Q232" s="129">
        <f>IF('Power Modes'!$O111&gt;0, 'Power Consumption'!$D103,0)</f>
        <v>0</v>
      </c>
      <c r="R232" s="76">
        <f>IF('Power Modes'!$O111&gt;0, 'Power Consumption'!$F103,0)</f>
        <v>0</v>
      </c>
      <c r="S232" s="76">
        <f>IF('Power Modes'!$O111&gt;0, 'Power Consumption'!$H103,0)</f>
        <v>0</v>
      </c>
      <c r="T232" s="76">
        <f>IF('Power Modes'!$O111&gt;0, 'Power Consumption'!$J103,0)</f>
        <v>0</v>
      </c>
      <c r="V232" s="129">
        <f>IF('Power Modes'!$S111&gt;0, 'Power Consumption'!$D103,0)</f>
        <v>0</v>
      </c>
      <c r="W232" s="76">
        <f>IF('Power Modes'!$S111&gt;0, 'Power Consumption'!$F103,0)</f>
        <v>0</v>
      </c>
      <c r="X232" s="76">
        <f>IF('Power Modes'!$S111&gt;0, 'Power Consumption'!$H103,0)</f>
        <v>0</v>
      </c>
      <c r="Y232" s="76">
        <f>IF('Power Modes'!$S111&gt;0, 'Power Consumption'!$J103,0)</f>
        <v>0</v>
      </c>
      <c r="AA232" s="129">
        <f>IF('Power Modes'!$W111&gt;0, 'Power Consumption'!$D103,0)</f>
        <v>0</v>
      </c>
      <c r="AB232" s="76">
        <f>IF('Power Modes'!$W111&gt;0, 'Power Consumption'!$F103,0)</f>
        <v>0</v>
      </c>
      <c r="AC232" s="76">
        <f>IF('Power Modes'!$W111&gt;0, 'Power Consumption'!$H103,0)</f>
        <v>0</v>
      </c>
      <c r="AD232" s="76">
        <f>IF('Power Modes'!$W111&gt;0, 'Power Consumption'!$J103,0)</f>
        <v>0</v>
      </c>
    </row>
    <row r="233" spans="1:30" s="64" customFormat="1" hidden="1" outlineLevel="1" x14ac:dyDescent="0.25">
      <c r="A233" s="121" t="str">
        <f t="shared" si="3"/>
        <v>Consumer #100</v>
      </c>
      <c r="B233" s="139">
        <f>IF('Power Modes'!$C112&gt;0, 'Power Consumption'!$D104,0)</f>
        <v>0</v>
      </c>
      <c r="C233" s="119">
        <f>IF('Power Modes'!$C112&gt;0, 'Power Consumption'!$F104,0)</f>
        <v>0</v>
      </c>
      <c r="D233" s="119">
        <f>IF('Power Modes'!$C112&gt;0, 'Power Consumption'!$H104,0)</f>
        <v>0</v>
      </c>
      <c r="E233" s="140">
        <f>IF('Power Modes'!$C112&gt;0, 'Power Consumption'!$J104,0)</f>
        <v>0</v>
      </c>
      <c r="F233" s="148"/>
      <c r="G233" s="130">
        <f>IF('Power Modes'!$G112&gt;0, 'Power Consumption'!$D104,0)</f>
        <v>0</v>
      </c>
      <c r="H233" s="119">
        <f>IF('Power Modes'!$G112&gt;0, 'Power Consumption'!$F104,0)</f>
        <v>0</v>
      </c>
      <c r="I233" s="119">
        <f>IF('Power Modes'!$G112&gt;0, 'Power Consumption'!$H104,0)</f>
        <v>0</v>
      </c>
      <c r="J233" s="119">
        <f>IF('Power Modes'!$G112&gt;0, 'Power Consumption'!$J104,0)</f>
        <v>0</v>
      </c>
      <c r="K233" s="130"/>
      <c r="L233" s="130">
        <f>IF('Power Modes'!$K112&gt;0, 'Power Consumption'!$D104,0)</f>
        <v>0</v>
      </c>
      <c r="M233" s="119">
        <f>IF('Power Modes'!$K112&gt;0, 'Power Consumption'!$F104,0)</f>
        <v>0</v>
      </c>
      <c r="N233" s="119">
        <f>IF('Power Modes'!$K112&gt;0, 'Power Consumption'!$H104,0)</f>
        <v>0</v>
      </c>
      <c r="O233" s="119">
        <f>IF('Power Modes'!$K112&gt;0, 'Power Consumption'!$J104,0)</f>
        <v>0</v>
      </c>
      <c r="Q233" s="130">
        <f>IF('Power Modes'!$O112&gt;0, 'Power Consumption'!$D104,0)</f>
        <v>0</v>
      </c>
      <c r="R233" s="119">
        <f>IF('Power Modes'!$O112&gt;0, 'Power Consumption'!$F104,0)</f>
        <v>0</v>
      </c>
      <c r="S233" s="119">
        <f>IF('Power Modes'!$O112&gt;0, 'Power Consumption'!$H104,0)</f>
        <v>0</v>
      </c>
      <c r="T233" s="119">
        <f>IF('Power Modes'!$O112&gt;0, 'Power Consumption'!$J104,0)</f>
        <v>0</v>
      </c>
      <c r="V233" s="130">
        <f>IF('Power Modes'!$S112&gt;0, 'Power Consumption'!$D104,0)</f>
        <v>0</v>
      </c>
      <c r="W233" s="119">
        <f>IF('Power Modes'!$S112&gt;0, 'Power Consumption'!$F104,0)</f>
        <v>0</v>
      </c>
      <c r="X233" s="119">
        <f>IF('Power Modes'!$S112&gt;0, 'Power Consumption'!$H104,0)</f>
        <v>0</v>
      </c>
      <c r="Y233" s="119">
        <f>IF('Power Modes'!$S112&gt;0, 'Power Consumption'!$J104,0)</f>
        <v>0</v>
      </c>
      <c r="AA233" s="130">
        <f>IF('Power Modes'!$W112&gt;0, 'Power Consumption'!$D104,0)</f>
        <v>0</v>
      </c>
      <c r="AB233" s="119">
        <f>IF('Power Modes'!$W112&gt;0, 'Power Consumption'!$F104,0)</f>
        <v>0</v>
      </c>
      <c r="AC233" s="119">
        <f>IF('Power Modes'!$W112&gt;0, 'Power Consumption'!$H104,0)</f>
        <v>0</v>
      </c>
      <c r="AD233" s="119">
        <f>IF('Power Modes'!$W112&gt;0, 'Power Consumption'!$J104,0)</f>
        <v>0</v>
      </c>
    </row>
    <row r="234" spans="1:30" ht="15.75" hidden="1" outlineLevel="1" thickBot="1" x14ac:dyDescent="0.3">
      <c r="A234" s="126" t="s">
        <v>221</v>
      </c>
      <c r="B234" s="141">
        <f>SUM(Table1325[Vbatt
Current '[mA']])</f>
        <v>0</v>
      </c>
      <c r="C234" s="142">
        <f>SUM(Table1325[TBD Conv
Current '[mA']])</f>
        <v>0</v>
      </c>
      <c r="D234" s="142">
        <f>SUM(Table1325[5V Conv
Current '[mA']])</f>
        <v>1767</v>
      </c>
      <c r="E234" s="143">
        <f>SUM(Table1325[3.3V Conv
Current '[mA']])</f>
        <v>797</v>
      </c>
      <c r="F234" s="149"/>
      <c r="G234" s="150">
        <f>SUM(Table29[Vbatt
Current '[mA']])</f>
        <v>0</v>
      </c>
      <c r="H234" s="150">
        <f>SUM(Table29[TBD Conv
Current '[mA']])</f>
        <v>0</v>
      </c>
      <c r="I234" s="150">
        <f>SUM(Table29[5V Conv
Current '[mA']])</f>
        <v>1567</v>
      </c>
      <c r="J234" s="150">
        <f>SUM(Table29[3.3V Conv
Current '[mA']])</f>
        <v>797</v>
      </c>
      <c r="K234" s="127"/>
      <c r="L234" s="130">
        <f>SUM(Table30[Vbatt
Current '[mA']])</f>
        <v>0</v>
      </c>
      <c r="M234" s="130">
        <f>SUM(Table30[TBD Conv
Current '[mA']])</f>
        <v>0</v>
      </c>
      <c r="N234" s="130">
        <f>SUM(Table30[5V Conv
Current '[mA']])</f>
        <v>967</v>
      </c>
      <c r="O234" s="130">
        <f>SUM(Table30[3.3V Conv
Current '[mA']])</f>
        <v>797</v>
      </c>
      <c r="Q234" s="130">
        <f>SUM(Table31[Vbatt
Current '[mA']])</f>
        <v>0</v>
      </c>
      <c r="R234" s="130">
        <f>SUM(Table31[TBD Conv
Current '[mA']])</f>
        <v>0</v>
      </c>
      <c r="S234" s="130">
        <f>SUM(Table31[5V Conv
Current '[mA']])</f>
        <v>687</v>
      </c>
      <c r="T234" s="130">
        <f>SUM(Table31[3.3V Conv
Current '[mA']])</f>
        <v>657</v>
      </c>
      <c r="V234" s="130">
        <f>SUM(Table32[Vbatt
Current '[mA']])</f>
        <v>169</v>
      </c>
      <c r="W234" s="130">
        <f>SUM(Table32[TBD Conv
Current '[mA']])</f>
        <v>0</v>
      </c>
      <c r="X234" s="130">
        <f>SUM(Table32[5V Conv
Current '[mA']])</f>
        <v>0</v>
      </c>
      <c r="Y234" s="130">
        <f>SUM(Table32[3.3V Conv
Current '[mA']])</f>
        <v>0</v>
      </c>
      <c r="AA234" s="130">
        <f>SUM(Table33[Vbatt
Current '[mA']])</f>
        <v>0</v>
      </c>
      <c r="AB234" s="130">
        <f>SUM(Table33[TBD Conv
Current '[mA']])</f>
        <v>0</v>
      </c>
      <c r="AC234" s="130">
        <f>SUM(Table33[5V Conv
Current '[mA']])</f>
        <v>0</v>
      </c>
      <c r="AD234" s="130">
        <f>SUM(Table33[3.3V Conv
Current '[mA']])</f>
        <v>0</v>
      </c>
    </row>
    <row r="235" spans="1:30" hidden="1" outlineLevel="1" x14ac:dyDescent="0.25">
      <c r="B235" t="s">
        <v>225</v>
      </c>
      <c r="C235" t="s">
        <v>226</v>
      </c>
      <c r="D235">
        <v>5</v>
      </c>
      <c r="E235">
        <v>3.3</v>
      </c>
    </row>
    <row r="236" spans="1:30" hidden="1" outlineLevel="1" x14ac:dyDescent="0.25">
      <c r="A236">
        <v>1</v>
      </c>
      <c r="B236" s="110">
        <f>Table1325[[#Totals],[Vbatt
Current '[mA']]]</f>
        <v>0</v>
      </c>
      <c r="C236" s="110">
        <f>Table1325[[#Totals],[TBD Conv
Current '[mA']]]</f>
        <v>0</v>
      </c>
      <c r="D236" s="110">
        <f>Table1325[[#Totals],[5V Conv
Current '[mA']]]</f>
        <v>1767</v>
      </c>
      <c r="E236" s="110">
        <f>Table1325[[#Totals],[3.3V Conv
Current '[mA']]]</f>
        <v>797</v>
      </c>
    </row>
    <row r="237" spans="1:30" hidden="1" outlineLevel="1" x14ac:dyDescent="0.25">
      <c r="A237">
        <v>2</v>
      </c>
      <c r="B237" s="110">
        <f>Table29[[#Totals],[Vbatt
Current '[mA']]]</f>
        <v>0</v>
      </c>
      <c r="C237" s="110">
        <f>Table29[[#Totals],[TBD Conv
Current '[mA']]]</f>
        <v>0</v>
      </c>
      <c r="D237" s="110">
        <f>Table29[[#Totals],[5V Conv
Current '[mA']]]</f>
        <v>1567</v>
      </c>
      <c r="E237" s="110">
        <f>Table29[[#Totals],[3.3V Conv
Current '[mA']]]</f>
        <v>797</v>
      </c>
    </row>
    <row r="238" spans="1:30" hidden="1" outlineLevel="1" x14ac:dyDescent="0.25">
      <c r="A238">
        <v>3</v>
      </c>
      <c r="B238" s="110">
        <f>Table30[[#Totals],[Vbatt
Current '[mA']]]</f>
        <v>0</v>
      </c>
      <c r="C238" s="110">
        <f>Table30[[#Totals],[TBD Conv
Current '[mA']]]</f>
        <v>0</v>
      </c>
      <c r="D238" s="110">
        <f>Table30[[#Totals],[5V Conv
Current '[mA']]]</f>
        <v>967</v>
      </c>
      <c r="E238" s="110">
        <f>Table30[[#Totals],[3.3V Conv
Current '[mA']]]</f>
        <v>797</v>
      </c>
    </row>
    <row r="239" spans="1:30" hidden="1" outlineLevel="1" x14ac:dyDescent="0.25">
      <c r="A239">
        <v>4</v>
      </c>
      <c r="B239" s="110">
        <f>Table31[[#Totals],[Vbatt
Current '[mA']]]</f>
        <v>0</v>
      </c>
      <c r="C239" s="110">
        <f>Table31[[#Totals],[TBD Conv
Current '[mA']]]</f>
        <v>0</v>
      </c>
      <c r="D239" s="110">
        <f>Table31[[#Totals],[5V Conv
Current '[mA']]]</f>
        <v>687</v>
      </c>
      <c r="E239" s="110">
        <f>Table31[[#Totals],[3.3V Conv
Current '[mA']]]</f>
        <v>657</v>
      </c>
    </row>
    <row r="240" spans="1:30" hidden="1" outlineLevel="1" x14ac:dyDescent="0.25">
      <c r="A240">
        <v>5</v>
      </c>
      <c r="B240" s="110">
        <f>Table32[[#Totals],[Vbatt
Current '[mA']]]</f>
        <v>169</v>
      </c>
      <c r="C240" s="110">
        <f>Table32[[#Totals],[TBD Conv
Current '[mA']]]</f>
        <v>0</v>
      </c>
      <c r="D240" s="110">
        <f>Table32[[#Totals],[5V Conv
Current '[mA']]]</f>
        <v>0</v>
      </c>
      <c r="E240" s="110">
        <f>Table32[[#Totals],[3.3V Conv
Current '[mA']]]</f>
        <v>0</v>
      </c>
    </row>
    <row r="241" spans="1:7" hidden="1" outlineLevel="1" x14ac:dyDescent="0.25">
      <c r="A241">
        <v>6</v>
      </c>
      <c r="B241" s="110">
        <f>Table33[[#Totals],[Vbatt
Current '[mA']]]</f>
        <v>0</v>
      </c>
      <c r="C241" s="110">
        <f>Table33[[#Totals],[TBD Conv
Current '[mA']]]</f>
        <v>0</v>
      </c>
      <c r="D241" s="110">
        <f>Table33[[#Totals],[5V Conv
Current '[mA']]]</f>
        <v>0</v>
      </c>
      <c r="E241" s="110">
        <f>Table33[[#Totals],[3.3V Conv
Current '[mA']]]</f>
        <v>0</v>
      </c>
    </row>
    <row r="242" spans="1:7" hidden="1" outlineLevel="1" x14ac:dyDescent="0.25"/>
    <row r="243" spans="1:7" hidden="1" outlineLevel="1" x14ac:dyDescent="0.25">
      <c r="A243" s="64" t="s">
        <v>228</v>
      </c>
    </row>
    <row r="244" spans="1:7" hidden="1" outlineLevel="1" x14ac:dyDescent="0.25">
      <c r="A244" s="154">
        <v>1</v>
      </c>
      <c r="B244" s="154">
        <v>2</v>
      </c>
      <c r="C244" s="154">
        <v>3</v>
      </c>
      <c r="D244" s="154">
        <v>4</v>
      </c>
      <c r="E244" s="154">
        <v>5</v>
      </c>
      <c r="F244" s="154">
        <v>6</v>
      </c>
      <c r="G244" s="153" t="s">
        <v>229</v>
      </c>
    </row>
    <row r="245" spans="1:7" hidden="1" outlineLevel="1" x14ac:dyDescent="0.25">
      <c r="A245" s="110">
        <f>Table1325[[#Totals],[Vbatt
Current '[mA']]]</f>
        <v>0</v>
      </c>
      <c r="B245" s="110">
        <f>Table29[[#Totals],[Vbatt
Current '[mA']]]</f>
        <v>0</v>
      </c>
      <c r="C245" s="110">
        <f>Table30[[#Totals],[Vbatt
Current '[mA']]]</f>
        <v>0</v>
      </c>
      <c r="D245" s="110">
        <f>Table31[[#Totals],[Vbatt
Current '[mA']]]</f>
        <v>0</v>
      </c>
      <c r="E245" s="110">
        <f>Table32[[#Totals],[Vbatt
Current '[mA']]]</f>
        <v>169</v>
      </c>
      <c r="F245" s="110">
        <f>Table33[[#Totals],[Vbatt
Current '[mA']]]</f>
        <v>0</v>
      </c>
      <c r="G245" s="153" t="s">
        <v>227</v>
      </c>
    </row>
    <row r="246" spans="1:7" s="64" customFormat="1" hidden="1" outlineLevel="1" x14ac:dyDescent="0.25">
      <c r="A246" s="110">
        <f>Table1325[[#Totals],[TBD Conv
Current '[mA']]]</f>
        <v>0</v>
      </c>
      <c r="B246" s="110">
        <f>Table29[[#Totals],[TBD Conv
Current '[mA']]]</f>
        <v>0</v>
      </c>
      <c r="C246" s="110">
        <f>Table30[[#Totals],[TBD Conv
Current '[mA']]]</f>
        <v>0</v>
      </c>
      <c r="D246" s="110">
        <f>Table31[[#Totals],[TBD Conv
Current '[mA']]]</f>
        <v>0</v>
      </c>
      <c r="E246" s="110">
        <f>Table32[[#Totals],[TBD Conv
Current '[mA']]]</f>
        <v>0</v>
      </c>
      <c r="F246" s="110">
        <f>Table33[[#Totals],[TBD Conv
Current '[mA']]]</f>
        <v>0</v>
      </c>
      <c r="G246" s="153" t="s">
        <v>226</v>
      </c>
    </row>
    <row r="247" spans="1:7" s="64" customFormat="1" hidden="1" outlineLevel="1" x14ac:dyDescent="0.25">
      <c r="A247" s="110">
        <f>Table1325[[#Totals],[5V Conv
Current '[mA']]]</f>
        <v>1767</v>
      </c>
      <c r="B247" s="110">
        <f>Table29[[#Totals],[5V Conv
Current '[mA']]]</f>
        <v>1567</v>
      </c>
      <c r="C247" s="110">
        <f>Table30[[#Totals],[5V Conv
Current '[mA']]]</f>
        <v>967</v>
      </c>
      <c r="D247" s="110">
        <f>Table31[[#Totals],[5V Conv
Current '[mA']]]</f>
        <v>687</v>
      </c>
      <c r="E247" s="110">
        <f>Table32[[#Totals],[5V Conv
Current '[mA']]]</f>
        <v>0</v>
      </c>
      <c r="F247" s="110">
        <f>Table33[[#Totals],[5V Conv
Current '[mA']]]</f>
        <v>0</v>
      </c>
      <c r="G247" s="153">
        <v>5</v>
      </c>
    </row>
    <row r="248" spans="1:7" s="64" customFormat="1" hidden="1" outlineLevel="1" x14ac:dyDescent="0.25">
      <c r="A248" s="110">
        <f>Table1325[[#Totals],[3.3V Conv
Current '[mA']]]</f>
        <v>797</v>
      </c>
      <c r="B248" s="110">
        <f>Table29[[#Totals],[3.3V Conv
Current '[mA']]]</f>
        <v>797</v>
      </c>
      <c r="C248" s="110">
        <f>Table30[[#Totals],[3.3V Conv
Current '[mA']]]</f>
        <v>797</v>
      </c>
      <c r="D248" s="110">
        <f>Table31[[#Totals],[3.3V Conv
Current '[mA']]]</f>
        <v>657</v>
      </c>
      <c r="E248" s="110">
        <f>Table32[[#Totals],[3.3V Conv
Current '[mA']]]</f>
        <v>0</v>
      </c>
      <c r="F248" s="110">
        <f>Table33[[#Totals],[3.3V Conv
Current '[mA']]]</f>
        <v>0</v>
      </c>
      <c r="G248" s="153">
        <v>3.3</v>
      </c>
    </row>
    <row r="249" spans="1:7" s="64" customFormat="1" hidden="1" outlineLevel="1" x14ac:dyDescent="0.25"/>
    <row r="250" spans="1:7" s="64" customFormat="1" hidden="1" outlineLevel="1" x14ac:dyDescent="0.25"/>
    <row r="251" spans="1:7" s="64" customFormat="1" hidden="1" outlineLevel="1" x14ac:dyDescent="0.25"/>
    <row r="252" spans="1:7" hidden="1" outlineLevel="1" x14ac:dyDescent="0.25"/>
  </sheetData>
  <mergeCells count="1">
    <mergeCell ref="B16:E16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Change-log</vt:lpstr>
      <vt:lpstr>Orbit Parameters</vt:lpstr>
      <vt:lpstr>EPS Parameters</vt:lpstr>
      <vt:lpstr>Power Consumption</vt:lpstr>
      <vt:lpstr>Power Modes</vt:lpstr>
      <vt:lpstr>Summary</vt:lpstr>
      <vt:lpstr>Octave Input</vt:lpstr>
      <vt:lpstr>WIP - Multi-Orbit Analysis</vt:lpstr>
      <vt:lpstr>BoH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Cuevas</dc:creator>
  <cp:lastModifiedBy>Giulio</cp:lastModifiedBy>
  <dcterms:created xsi:type="dcterms:W3CDTF">2019-08-15T07:40:18Z</dcterms:created>
  <dcterms:modified xsi:type="dcterms:W3CDTF">2019-11-25T14:59:47Z</dcterms:modified>
</cp:coreProperties>
</file>