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Repo\longboard_stm32\"/>
    </mc:Choice>
  </mc:AlternateContent>
  <bookViews>
    <workbookView xWindow="0" yWindow="0" windowWidth="26310" windowHeight="12980" tabRatio="685" activeTab="1"/>
  </bookViews>
  <sheets>
    <sheet name="Instructions" sheetId="16" r:id="rId1"/>
    <sheet name="Design Calculator" sheetId="1" r:id="rId2"/>
    <sheet name="Device Parameters" sheetId="6" state="hidden" r:id="rId3"/>
    <sheet name="Equations" sheetId="3" state="hidden" r:id="rId4"/>
  </sheets>
  <externalReferences>
    <externalReference r:id="rId5"/>
  </externalReferences>
  <definedNames>
    <definedName name="BBFET">'Design Calculator'!$F$39</definedName>
    <definedName name="CONE">'Design Calculator'!$F$61</definedName>
    <definedName name="COUTMAX">'Design Calculator'!$F$32</definedName>
    <definedName name="CTIMER">'Design Calculator'!#REF!</definedName>
    <definedName name="CTMR">'Design Calculator'!$F$68</definedName>
    <definedName name="DINRUSH">'Design Calculator'!$F$59</definedName>
    <definedName name="FETPDISS">'Design Calculator'!#REF!</definedName>
    <definedName name="GVTHHI">'Design Calculator'!$F$57</definedName>
    <definedName name="GVTHLO">'Design Calculator'!#REF!</definedName>
    <definedName name="GVTHTYP">'Design Calculator'!#REF!</definedName>
    <definedName name="I_Cout_ss">Equations!$F$59</definedName>
    <definedName name="IGATEFLTMAX">'Device Parameters'!$F$21</definedName>
    <definedName name="IGATEFLTMIN">'Device Parameters'!$D$21</definedName>
    <definedName name="IGATEFLTTYP">'Device Parameters'!$E$21</definedName>
    <definedName name="IGATEMAX">'Device Parameters'!$F$19</definedName>
    <definedName name="IGATEMIN">'Device Parameters'!$D$19</definedName>
    <definedName name="IGATEOFFMAX">'Device Parameters'!$F$20</definedName>
    <definedName name="IGATEOFFMIN">'Device Parameters'!$D$20</definedName>
    <definedName name="IGATEOFFTYP">'Device Parameters'!$E$20</definedName>
    <definedName name="IGATETYP">'Device Parameters'!$E$19</definedName>
    <definedName name="ILIM">[1]ILIM_SOA_considerations!$C$25</definedName>
    <definedName name="Ilim_min">[1]ILIM_SOA_considerations!$C$61</definedName>
    <definedName name="INRUSH">'Design Calculator'!$F$58</definedName>
    <definedName name="IOUTMAX">'Design Calculator'!$F$31</definedName>
    <definedName name="IRATIOMAX">'Device Parameters'!$F$36</definedName>
    <definedName name="IRATIOMIN">'Device Parameters'!$D$36</definedName>
    <definedName name="IRATIOTYP">'Device Parameters'!$E$36</definedName>
    <definedName name="ISNSMAX">'Device Parameters'!$F$34</definedName>
    <definedName name="ISNSMIN">'Device Parameters'!$D$34</definedName>
    <definedName name="ISNSTYP">'Device Parameters'!$E$34</definedName>
    <definedName name="ITMRHMAX">'Device Parameters'!$F$28</definedName>
    <definedName name="ITMRHMIN">'Device Parameters'!$D$28</definedName>
    <definedName name="ITMRHTYP">'Device Parameters'!$E$28</definedName>
    <definedName name="ITMRLMAX">'Device Parameters'!$F$29</definedName>
    <definedName name="ITMRLMIN">'Device Parameters'!$D$29</definedName>
    <definedName name="ITMRLTYP">'Device Parameters'!$E$29</definedName>
    <definedName name="ITMRMAX">'Device Parameters'!$F$29</definedName>
    <definedName name="ITMRRMAX">'Device Parameters'!$F$30</definedName>
    <definedName name="ITMRRMIN">'Device Parameters'!$D$30</definedName>
    <definedName name="ITMRRTYP">'Device Parameters'!$E$30</definedName>
    <definedName name="MaxFETPW">'Design Calculator'!#REF!</definedName>
    <definedName name="MINCTMR">'Design Calculator'!$F$67</definedName>
    <definedName name="MOSFET">'Design Calculator'!$F$38</definedName>
    <definedName name="NUMFETS">'Design Calculator'!$F$40</definedName>
    <definedName name="OCMAX">'Design Calculator'!$F$52</definedName>
    <definedName name="OCMIN">'Design Calculator'!$F$50</definedName>
    <definedName name="OCTYP">'Design Calculator'!$F$51</definedName>
    <definedName name="OPTION">'Design Calculator'!$F$76</definedName>
    <definedName name="OVPHYSTYP">'Device Parameters'!$E$9</definedName>
    <definedName name="OVPTHMAX">'Device Parameters'!$F$8</definedName>
    <definedName name="OVPTHMIN">'Device Parameters'!$D$8</definedName>
    <definedName name="OVPTHTYP">'Device Parameters'!$E$8</definedName>
    <definedName name="PLIM">[1]ILIM_SOA_considerations!$C$40</definedName>
    <definedName name="PLIMMAX">'Design Calculator'!#REF!</definedName>
    <definedName name="PLIMMIN">'Design Calculator'!#REF!</definedName>
    <definedName name="PLIMNOM">'Design Calculator'!#REF!</definedName>
    <definedName name="_xlnm.Print_Area" localSheetId="1">'Design Calculator'!$A$1:$M$173</definedName>
    <definedName name="RDIV1">'Design Calculator'!#REF!</definedName>
    <definedName name="RDIV2">'Design Calculator'!#REF!</definedName>
    <definedName name="RDSMAX">'Design Calculator'!$F$44</definedName>
    <definedName name="RDSMIN">'Design Calculator'!$F$45</definedName>
    <definedName name="RDSTYP">'Design Calculator'!$F$43</definedName>
    <definedName name="REIGHT">Equations!$J$16</definedName>
    <definedName name="RELEVEN">Equations!$J$19</definedName>
    <definedName name="REVPOL">'Design Calculator'!$F$37</definedName>
    <definedName name="RNINE">Equations!$J$17</definedName>
    <definedName name="RO">'Design Calculator'!$F$42</definedName>
    <definedName name="RONE">Equations!$F$16</definedName>
    <definedName name="RPWR">'Design Calculator'!#REF!</definedName>
    <definedName name="RREIGHT">Equations!$I$16</definedName>
    <definedName name="RREIGHTHYS">Equations!$H$16</definedName>
    <definedName name="RRELEVEN">Equations!$I$19</definedName>
    <definedName name="RRELEVENHYS">Equations!$H$19</definedName>
    <definedName name="Rrflt">[1]ILIM_SOA_considerations!$C$46</definedName>
    <definedName name="RRNINE">Equations!$I$17</definedName>
    <definedName name="RRNINEHYS">Equations!$H$17</definedName>
    <definedName name="RRONE">Equations!$E$16</definedName>
    <definedName name="RRONEHYS">Equations!$D$16</definedName>
    <definedName name="RRTEN">Equations!$I$18</definedName>
    <definedName name="RRTENHYS">Equations!$H$18</definedName>
    <definedName name="RRTHREE">Equations!$E$18</definedName>
    <definedName name="RRTHREEHYS">Equations!$D$18</definedName>
    <definedName name="RRTWO">Equations!$E$17</definedName>
    <definedName name="RRTWOHYS">Equations!$D$17</definedName>
    <definedName name="RS">'Design Calculator'!$F$49</definedName>
    <definedName name="Rsense">[1]ILIM_SOA_considerations!$C$30</definedName>
    <definedName name="RsMAX">'Design Calculator'!#REF!</definedName>
    <definedName name="RSMIN">'Design Calculator'!$F$48</definedName>
    <definedName name="RTEN">Equations!$J$18</definedName>
    <definedName name="RTHREE">Equations!$F$18</definedName>
    <definedName name="RTWO">Equations!$F$17</definedName>
    <definedName name="SOA_av">[1]ILIM_SOA_considerations!$C$52</definedName>
    <definedName name="ss_rate">Equations!$F$55</definedName>
    <definedName name="T_cap_charge">[1]ILIM_SOA_considerations!$C$45</definedName>
    <definedName name="T_margin">[1]ILIM_SOA_considerations!$C$9</definedName>
    <definedName name="T_total">[1]ILIM_SOA_considerations!$C$47</definedName>
    <definedName name="TAMB">'Design Calculator'!$F$33</definedName>
    <definedName name="Tfault">'Design Calculator'!$F$72</definedName>
    <definedName name="Tfaultmax">'Design Calculator'!#REF!</definedName>
    <definedName name="TFLTTYP">'Device Parameters'!$E$31</definedName>
    <definedName name="ThetaJA">'Design Calculator'!$F$44</definedName>
    <definedName name="TINSERT">'Design Calculator'!#REF!</definedName>
    <definedName name="TINSERTMAX">Equations!$F$102</definedName>
    <definedName name="TINSERTMIN">Equations!$F$100</definedName>
    <definedName name="TJ">'Design Calculator'!#REF!</definedName>
    <definedName name="TJMAX">'Design Calculator'!$AN$46</definedName>
    <definedName name="TRDSMAX">'Design Calculator'!$F$47</definedName>
    <definedName name="TRDSMIN">'Design Calculator'!$F$46</definedName>
    <definedName name="Tsd">[1]ILIM_SOA_considerations!$C$67</definedName>
    <definedName name="TSTARTMAX">Equations!$F$89</definedName>
    <definedName name="TSTARTMIN">Equations!$F$87</definedName>
    <definedName name="TSTARTNOM">Equations!$F$88</definedName>
    <definedName name="TVINMAX">'Design Calculator'!$F$78</definedName>
    <definedName name="TVINMIN">'Design Calculator'!$F$79</definedName>
    <definedName name="UVLOBIASMAX">'Device Parameters'!$F$16</definedName>
    <definedName name="UVLOBIASMIN">'Device Parameters'!$D$16</definedName>
    <definedName name="UVLOBIASTYP">'Device Parameters'!$E$16</definedName>
    <definedName name="UVLOHYSMAX">'Device Parameters'!$F$15</definedName>
    <definedName name="UVLOHYSMIN">'Device Parameters'!$D$15</definedName>
    <definedName name="UVLOHYSTYP">'Device Parameters'!$E$15</definedName>
    <definedName name="UVLOTHMAX">'Device Parameters'!$F$14</definedName>
    <definedName name="UVLOTHMIN">'Device Parameters'!$D$14</definedName>
    <definedName name="UVLOTHTYP">'Device Parameters'!$E$14</definedName>
    <definedName name="V_sns_cl_max">[1]ILIM_SOA_considerations!$C$15</definedName>
    <definedName name="Vbus">[1]ILIM_SOA_considerations!$C$23</definedName>
    <definedName name="VDSFLTTMEMIN">'Design Calculator'!$F$64</definedName>
    <definedName name="VGATEMAX">'Device Parameters'!$F$22</definedName>
    <definedName name="VGATEMIN">'Device Parameters'!$D$22</definedName>
    <definedName name="VGATETHMAX">'Device Parameters'!$F$23</definedName>
    <definedName name="VGATETHMIN">'Device Parameters'!$D$23</definedName>
    <definedName name="VGATETHTYP">'Device Parameters'!$E$23</definedName>
    <definedName name="VGATETYP">'Device Parameters'!$E$22</definedName>
    <definedName name="VINMAX">'Design Calculator'!$F$29</definedName>
    <definedName name="VINMIN">'Design Calculator'!$F$27</definedName>
    <definedName name="VINNOM">'Design Calculator'!$F$28</definedName>
    <definedName name="VOFFSETMAX">'Device Parameters'!$F$35</definedName>
    <definedName name="VOFFSETMIN">'Device Parameters'!$D$35</definedName>
    <definedName name="VOFFSETTYP">'Device Parameters'!$E$35</definedName>
    <definedName name="VREVPOL">'Design Calculator'!$F$30</definedName>
    <definedName name="VTHHI">'Design Calculator'!$E$55</definedName>
    <definedName name="VTHLO">'Design Calculator'!#REF!</definedName>
    <definedName name="VTMRHMAX">'Device Parameters'!$F$26</definedName>
    <definedName name="VTMRHMIN">'Device Parameters'!$D$26</definedName>
    <definedName name="VTMRHTYP">'Device Parameters'!$E$26</definedName>
    <definedName name="VTMRLTYP">'Device Parameters'!$E$27</definedName>
  </definedNames>
  <calcPr calcId="152511"/>
</workbook>
</file>

<file path=xl/calcChain.xml><?xml version="1.0" encoding="utf-8"?>
<calcChain xmlns="http://schemas.openxmlformats.org/spreadsheetml/2006/main">
  <c r="F102" i="1" l="1"/>
  <c r="F60" i="1"/>
  <c r="F110" i="1" l="1"/>
  <c r="F62" i="1" l="1"/>
  <c r="F48" i="1"/>
  <c r="F41" i="1" l="1"/>
  <c r="F57" i="1"/>
  <c r="F51" i="1"/>
  <c r="F50" i="1"/>
  <c r="F63" i="1"/>
  <c r="F66" i="1" l="1"/>
  <c r="F65" i="1"/>
  <c r="F64" i="1"/>
  <c r="F67" i="1" s="1"/>
  <c r="F105" i="1"/>
  <c r="F103" i="1"/>
  <c r="F101" i="1"/>
  <c r="F100" i="1"/>
  <c r="F98" i="1"/>
  <c r="F69" i="1"/>
  <c r="F70" i="1"/>
  <c r="F71" i="1"/>
  <c r="F72" i="1"/>
  <c r="F73" i="1"/>
  <c r="F74" i="1"/>
  <c r="E85" i="1"/>
  <c r="E84" i="1"/>
  <c r="L100" i="1"/>
  <c r="L101" i="1"/>
  <c r="L102" i="1"/>
  <c r="J19" i="3"/>
  <c r="J17" i="3"/>
  <c r="F18" i="3"/>
  <c r="F109" i="1"/>
  <c r="F107" i="1"/>
  <c r="I17" i="3" l="1"/>
  <c r="I16" i="3" s="1"/>
  <c r="I19" i="3"/>
  <c r="I18" i="3" s="1"/>
  <c r="F17" i="3"/>
  <c r="E16" i="3"/>
  <c r="D16" i="3"/>
  <c r="D18" i="3" s="1"/>
  <c r="D17" i="3" s="1"/>
  <c r="F16" i="3"/>
  <c r="H19" i="3"/>
  <c r="H18" i="3" s="1"/>
  <c r="H17" i="3"/>
  <c r="H16" i="3" s="1"/>
  <c r="J18" i="3"/>
  <c r="J31" i="3" s="1"/>
  <c r="J16" i="3"/>
  <c r="E82" i="1"/>
  <c r="F106" i="1"/>
  <c r="E80" i="1"/>
  <c r="F104" i="1"/>
  <c r="F99" i="1"/>
  <c r="F112" i="1"/>
  <c r="K102" i="1"/>
  <c r="K101" i="1"/>
  <c r="K100" i="1"/>
  <c r="E83" i="1"/>
  <c r="E81" i="1"/>
  <c r="J29" i="3" l="1"/>
  <c r="J26" i="3"/>
  <c r="J27" i="3"/>
  <c r="J28" i="3"/>
  <c r="J30" i="3"/>
  <c r="F29" i="3"/>
  <c r="F23" i="3"/>
  <c r="F28" i="3"/>
  <c r="F24" i="3"/>
  <c r="F27" i="3"/>
  <c r="F20" i="3"/>
  <c r="F25" i="3"/>
  <c r="F26" i="3"/>
  <c r="F21" i="3"/>
  <c r="F31" i="3"/>
  <c r="F22" i="3"/>
  <c r="F30" i="3"/>
  <c r="E18" i="3"/>
  <c r="F84" i="1" s="1"/>
  <c r="E17" i="3" l="1"/>
  <c r="F81" i="1" s="1"/>
  <c r="J22" i="3"/>
  <c r="J25" i="3"/>
  <c r="J24" i="3"/>
  <c r="J23" i="3"/>
  <c r="J20" i="3"/>
  <c r="J21" i="3"/>
  <c r="E55" i="1" l="1"/>
  <c r="F45" i="1" l="1"/>
  <c r="F52" i="1" s="1"/>
  <c r="D91" i="1" l="1"/>
  <c r="E91" i="1"/>
  <c r="F91" i="1"/>
  <c r="E90" i="1"/>
  <c r="F90" i="1"/>
  <c r="D90" i="1"/>
  <c r="Z187" i="3" l="1"/>
  <c r="F89" i="1" l="1"/>
  <c r="E88" i="1" l="1"/>
  <c r="K103" i="1" s="1"/>
  <c r="D93" i="1"/>
  <c r="F88" i="1"/>
  <c r="D88" i="1"/>
  <c r="D92" i="1"/>
  <c r="E92" i="1"/>
  <c r="K105" i="1" s="1"/>
  <c r="F92" i="1"/>
  <c r="F93" i="1"/>
  <c r="D89" i="1"/>
  <c r="E93" i="1"/>
  <c r="K106" i="1" s="1"/>
  <c r="E89" i="1" l="1"/>
  <c r="K104" i="1" s="1"/>
</calcChain>
</file>

<file path=xl/comments1.xml><?xml version="1.0" encoding="utf-8"?>
<comments xmlns="http://schemas.openxmlformats.org/spreadsheetml/2006/main">
  <authors>
    <author>dmorgan</author>
    <author>Steven Lin</author>
    <author>bdemsc</author>
    <author>a0272042</author>
  </authors>
  <commentList>
    <comment ref="F27" authorId="0" shapeId="0">
      <text>
        <r>
          <rPr>
            <b/>
            <sz val="8"/>
            <color indexed="81"/>
            <rFont val="Tahoma"/>
            <family val="2"/>
          </rPr>
          <t>The minimum system voltage must be no less than 5.5V.</t>
        </r>
      </text>
    </comment>
    <comment ref="F29" authorId="0" shapeId="0">
      <text>
        <r>
          <rPr>
            <b/>
            <sz val="8"/>
            <color indexed="81"/>
            <rFont val="Tahoma"/>
            <family val="2"/>
          </rPr>
          <t>The maximum system voltage must be no greater than 65V.</t>
        </r>
      </text>
    </comment>
    <comment ref="F32" authorId="0" shapeId="0">
      <text>
        <r>
          <rPr>
            <b/>
            <sz val="8"/>
            <color indexed="81"/>
            <rFont val="Tahoma"/>
            <family val="2"/>
          </rPr>
          <t xml:space="preserve">This is the capacitance at Vout. This should not be zero. A minimum of 10 </t>
        </r>
        <r>
          <rPr>
            <b/>
            <sz val="8"/>
            <color indexed="81"/>
            <rFont val="Arial"/>
            <family val="2"/>
          </rPr>
          <t>μ</t>
        </r>
        <r>
          <rPr>
            <b/>
            <sz val="8"/>
            <color indexed="81"/>
            <rFont val="Tahoma"/>
            <family val="2"/>
          </rPr>
          <t>F is recommended.</t>
        </r>
      </text>
    </comment>
    <comment ref="F40" authorId="1" shapeId="0">
      <text>
        <r>
          <rPr>
            <sz val="9"/>
            <color indexed="81"/>
            <rFont val="Tahoma"/>
            <family val="2"/>
          </rPr>
          <t>Enter 1 for no parallel FETs</t>
        </r>
      </text>
    </comment>
    <comment ref="F43" authorId="1" shapeId="0">
      <text>
        <r>
          <rPr>
            <sz val="9"/>
            <color indexed="81"/>
            <rFont val="Tahoma"/>
            <family val="2"/>
          </rPr>
          <t>Use Value for Vgs=10V or closest</t>
        </r>
      </text>
    </comment>
    <comment ref="F44" authorId="1" shapeId="0">
      <text>
        <r>
          <rPr>
            <sz val="9"/>
            <color indexed="81"/>
            <rFont val="Tahoma"/>
            <family val="2"/>
          </rPr>
          <t>Use value for Vgs=10V or closest</t>
        </r>
      </text>
    </comment>
    <comment ref="F51" authorId="1" shapeId="0">
      <text>
        <r>
          <rPr>
            <sz val="9"/>
            <color indexed="81"/>
            <rFont val="Tahoma"/>
            <family val="2"/>
          </rPr>
          <t>Overcurrent Threshold must exceed Maximum Load Current. For higher precision, do not use reverse polarity capability, and/or decrease Rds-on temperature coefficients with tighter temperature ranges</t>
        </r>
      </text>
    </comment>
    <comment ref="F55" authorId="1" shapeId="0">
      <text>
        <r>
          <rPr>
            <sz val="9"/>
            <color indexed="81"/>
            <rFont val="Tahoma"/>
            <family val="2"/>
          </rPr>
          <t>Enter Values from Gate Charge vs Vgs graph</t>
        </r>
      </text>
    </comment>
    <comment ref="F56" authorId="1" shapeId="0">
      <text>
        <r>
          <rPr>
            <sz val="9"/>
            <color indexed="81"/>
            <rFont val="Tahoma"/>
            <family val="2"/>
          </rPr>
          <t>Safety Factor must be greater than 1</t>
        </r>
      </text>
    </comment>
    <comment ref="F70" authorId="1" shapeId="0">
      <text>
        <r>
          <rPr>
            <sz val="9"/>
            <color indexed="81"/>
            <rFont val="Tahoma"/>
            <family val="2"/>
          </rPr>
          <t>Startup Fault Delay Time must exceed Startup Time. If red, try picking a larger capacitor, or a FET with lower gate charge</t>
        </r>
      </text>
    </comment>
    <comment ref="F76" authorId="2" shapeId="0">
      <text>
        <r>
          <rPr>
            <b/>
            <sz val="8"/>
            <color indexed="81"/>
            <rFont val="Tahoma"/>
            <family val="2"/>
          </rPr>
          <t>See the schematics to the right to select the appropriate option for setting the input voltage UVLO and OVLO thresholds.</t>
        </r>
      </text>
    </comment>
    <comment ref="F80" authorId="1" shapeId="0">
      <text>
        <r>
          <rPr>
            <sz val="9"/>
            <color indexed="81"/>
            <rFont val="Tahoma"/>
            <family val="2"/>
          </rPr>
          <t>Select R1, R11 based on Current Consumption allowed in the resistor divider, including UVLObias, and consideration of noise sensitivity. A Value less than 100k</t>
        </r>
        <r>
          <rPr>
            <sz val="9"/>
            <color indexed="81"/>
            <rFont val="Calibri"/>
            <family val="2"/>
          </rPr>
          <t>Ω</t>
        </r>
        <r>
          <rPr>
            <sz val="7.65"/>
            <color indexed="81"/>
            <rFont val="Tahoma"/>
            <family val="2"/>
          </rPr>
          <t xml:space="preserve"> is recommended, with lower values providing improved immunity to variations in ULVObias</t>
        </r>
      </text>
    </comment>
    <comment ref="F83" authorId="1" shapeId="0">
      <text>
        <r>
          <rPr>
            <sz val="9"/>
            <color indexed="81"/>
            <rFont val="Tahoma"/>
            <family val="2"/>
          </rPr>
          <t>Select R9 based on Current Consumption allowed in the resistor divider, including UVLObias, and consideration of noise sensitivity. A Value less than 100kΩ is recommended, with lower values providing improved immunity to variations in ULVObias</t>
        </r>
      </text>
    </comment>
    <comment ref="F111" authorId="3" shapeId="0">
      <text>
        <r>
          <rPr>
            <sz val="9"/>
            <color indexed="81"/>
            <rFont val="Tahoma"/>
            <family val="2"/>
          </rPr>
          <t xml:space="preserve">TI recommended. Same as EVM
</t>
        </r>
      </text>
    </comment>
    <comment ref="F115" authorId="3" shapeId="0">
      <text>
        <r>
          <rPr>
            <sz val="9"/>
            <color indexed="81"/>
            <rFont val="Tahoma"/>
            <family val="2"/>
          </rPr>
          <t xml:space="preserve">TI recomends the SMDJxx TVS, which are used on the EVM. 
Pick the proper value based on the input voltage. </t>
        </r>
      </text>
    </comment>
  </commentList>
</comments>
</file>

<file path=xl/sharedStrings.xml><?xml version="1.0" encoding="utf-8"?>
<sst xmlns="http://schemas.openxmlformats.org/spreadsheetml/2006/main" count="320" uniqueCount="228">
  <si>
    <t>ms</t>
  </si>
  <si>
    <t>R1 =</t>
  </si>
  <si>
    <t>R2 =</t>
  </si>
  <si>
    <t>R3 =</t>
  </si>
  <si>
    <t>Notes:</t>
  </si>
  <si>
    <t>Option A</t>
  </si>
  <si>
    <t>Option B</t>
  </si>
  <si>
    <t>A</t>
  </si>
  <si>
    <t>Minimum</t>
  </si>
  <si>
    <t>Typical</t>
  </si>
  <si>
    <t>Maximum</t>
  </si>
  <si>
    <t>Resulting Thresholds:</t>
  </si>
  <si>
    <t>Min</t>
  </si>
  <si>
    <t>Typ</t>
  </si>
  <si>
    <t>Max</t>
  </si>
  <si>
    <t>µF</t>
  </si>
  <si>
    <r>
      <t>k</t>
    </r>
    <r>
      <rPr>
        <sz val="10"/>
        <rFont val="Symbol"/>
        <family val="1"/>
        <charset val="2"/>
      </rPr>
      <t>W</t>
    </r>
  </si>
  <si>
    <t>V</t>
  </si>
  <si>
    <t>W</t>
  </si>
  <si>
    <t xml:space="preserve">Resulting Upper OVLO Threshold = </t>
  </si>
  <si>
    <t xml:space="preserve">Resulting Lower OVLO Threshold = </t>
  </si>
  <si>
    <t>Calculated Values are shown in White Cells</t>
  </si>
  <si>
    <t>www.ti.com/hotswap</t>
  </si>
  <si>
    <t>2. A TVS clamp from VIN to GND is absolutely mandatory to clamp the voltage overshoot upon MOSFET turn-off, e.g. during circuit breaker</t>
  </si>
  <si>
    <r>
      <t>Minimum Input Operating Voltage: V</t>
    </r>
    <r>
      <rPr>
        <vertAlign val="subscript"/>
        <sz val="10"/>
        <rFont val="Arial"/>
        <family val="2"/>
      </rPr>
      <t>IN(MIN)</t>
    </r>
  </si>
  <si>
    <r>
      <t>Maximum Input Operating Voltage: V</t>
    </r>
    <r>
      <rPr>
        <vertAlign val="subscript"/>
        <sz val="10"/>
        <rFont val="Arial"/>
        <family val="2"/>
      </rPr>
      <t>IN(MAX)</t>
    </r>
  </si>
  <si>
    <t>nF</t>
  </si>
  <si>
    <r>
      <t>Nominal Input Operating Voltage: V</t>
    </r>
    <r>
      <rPr>
        <vertAlign val="subscript"/>
        <sz val="10"/>
        <rFont val="Arial"/>
        <family val="2"/>
      </rPr>
      <t>IN(NOM)</t>
    </r>
  </si>
  <si>
    <r>
      <t>Maximum Ambient Operating Temperature: T</t>
    </r>
    <r>
      <rPr>
        <vertAlign val="subscript"/>
        <sz val="10"/>
        <rFont val="Arial"/>
        <family val="2"/>
      </rPr>
      <t>MAX</t>
    </r>
  </si>
  <si>
    <r>
      <t>Maximum Load Current: I</t>
    </r>
    <r>
      <rPr>
        <vertAlign val="subscript"/>
        <sz val="10"/>
        <rFont val="Arial"/>
        <family val="2"/>
      </rPr>
      <t>OUT(MAX)</t>
    </r>
  </si>
  <si>
    <r>
      <rPr>
        <vertAlign val="superscript"/>
        <sz val="10"/>
        <rFont val="Arial"/>
        <family val="2"/>
      </rPr>
      <t>o</t>
    </r>
    <r>
      <rPr>
        <sz val="10"/>
        <rFont val="Arial"/>
        <family val="2"/>
      </rPr>
      <t>C</t>
    </r>
  </si>
  <si>
    <t>Step 1: Operating Conditions</t>
  </si>
  <si>
    <t>Operating Conditions</t>
  </si>
  <si>
    <t>Input Voltage</t>
  </si>
  <si>
    <t>Units</t>
  </si>
  <si>
    <t>Upper Threshold</t>
  </si>
  <si>
    <t>Junction Temperature</t>
  </si>
  <si>
    <t>Gate</t>
  </si>
  <si>
    <t>Gate Sourcing Current</t>
  </si>
  <si>
    <t>Design Summary</t>
  </si>
  <si>
    <t>Upper UVLO Threshold</t>
  </si>
  <si>
    <t>Lower OVLO Threshold</t>
  </si>
  <si>
    <t>Lower UVLO Threshold</t>
  </si>
  <si>
    <t>Upper OVLO Threshold</t>
  </si>
  <si>
    <t>Timer Pin</t>
  </si>
  <si>
    <t>Re-enable threshold</t>
  </si>
  <si>
    <t>3. Componet tolerances not accounted for in Min/Max Calculations.</t>
  </si>
  <si>
    <t>Temp Derated SOA</t>
  </si>
  <si>
    <t>Enter Values in Green Shaded Cells</t>
  </si>
  <si>
    <t>Note: If any of the cells above are yellow, then these values are outside of the device's operating range. This will result in the device turning either on or off at its operating limits rather than at the user selected values in yellow.</t>
  </si>
  <si>
    <t>Settings</t>
  </si>
  <si>
    <t>Typical design procedure</t>
  </si>
  <si>
    <t>Typical applications require multiple passes through the design tool using MOSFET factors such as transient</t>
  </si>
  <si>
    <t>thermal response and safe operating area curves. Refer to the following application reports for more detail.</t>
  </si>
  <si>
    <t>The basic design process follows:</t>
  </si>
  <si>
    <t>Notes</t>
  </si>
  <si>
    <t xml:space="preserve">routine, day-to-day calculations.  </t>
  </si>
  <si>
    <t>3. Formulas and device constants used in the spreadsheet are locked to prohibit them from accidentally being overwritten or deleted.</t>
  </si>
  <si>
    <t>© 2014</t>
  </si>
  <si>
    <t xml:space="preserve">Yellow and Red cells highlight potential issues with the design. Red highlights items that are higher risk. </t>
  </si>
  <si>
    <t>2. All worksheets have light green inputs cells, white calculated cells, yellow warning cells and red high-risk cells.</t>
  </si>
  <si>
    <t>1. This worksheet is designed for use with Microsoft Excel 5.0 or later.  Its use is intended to assist power supply designers in their</t>
  </si>
  <si>
    <t>1. Enter operating conditions.</t>
  </si>
  <si>
    <t>Z1</t>
  </si>
  <si>
    <t>D1</t>
  </si>
  <si>
    <t>Q1</t>
  </si>
  <si>
    <t>5.0SMDJxx</t>
  </si>
  <si>
    <t xml:space="preserve">TEXAS INSTRUMENTS TEXT FILE LICENSE
Copyright (c) 2014 Texas Instruments Incorporated
All rights reserved not granted herein.
Limited License.  
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
Redistributions must preserve existing copyright notices and reproduce this license (including the above copyright notice and the disclaimer and (if applicable) source code license limitations below) in the documentation and/or other materials provided with the distribution
Redistribution and use in binary form, without modification, are permitted provided that the following conditions are met:
* No reverse engineering, decompilation, or disassembly of this software is permitted with respect to any software provided in binary form.
* any redistribution and use are licensed by TI for use only with TI Devices.
* Nothing shall obligate TI to provide you with source code for the software licensed and provided to you in object code.
If software source code is provided to you, modification and redistribution of the source code are permitted provided that the following conditions are met:
* any redistribution and use of the source code, including any resulting derivative works, are licensed by TI for use only with TI Devices.
* any redistribution and use of any object code compiled from the source code and any resulting derivative works, are licensed by TI for use only with TI Devices.
Neither the name of Texas Instruments Incorporated nor the names of its suppliers may be used to endorse or promote products derived from this software without specific prior written permission.
DISCLAIMER.
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t>
  </si>
  <si>
    <r>
      <t xml:space="preserve">                         </t>
    </r>
    <r>
      <rPr>
        <sz val="22"/>
        <color theme="0"/>
        <rFont val="Arial"/>
        <family val="2"/>
      </rPr>
      <t>LM5060 Hot Swap Design Tool</t>
    </r>
  </si>
  <si>
    <t>LM5060 Datasheet (See "Detailed Design Procedure")</t>
  </si>
  <si>
    <t>Step 2: MOSFET Selection + Current Limit</t>
  </si>
  <si>
    <t>Normalized Rds-on coefficient at Tmax</t>
  </si>
  <si>
    <t>T = 25C Rds-on typical</t>
  </si>
  <si>
    <t>T = 25C Rds-on max</t>
  </si>
  <si>
    <t>Calculated estimate of T = 25C Rds-on min</t>
  </si>
  <si>
    <t>Normalized Rds-on coefficient at Tmin</t>
  </si>
  <si>
    <t>Rs min (calculated)</t>
  </si>
  <si>
    <t>Actual Rs used</t>
  </si>
  <si>
    <t>Typical Overcurrent Threshold</t>
  </si>
  <si>
    <t>Sense Pin</t>
  </si>
  <si>
    <t>Voffset</t>
  </si>
  <si>
    <t>Step 3: Fault Detection Delay Time</t>
  </si>
  <si>
    <t>Reverse Polarity</t>
  </si>
  <si>
    <t>YES</t>
  </si>
  <si>
    <t>NO</t>
  </si>
  <si>
    <t>Minimum Output Pin Resistance</t>
  </si>
  <si>
    <r>
      <t>Output Pin Resistance: R</t>
    </r>
    <r>
      <rPr>
        <vertAlign val="subscript"/>
        <sz val="10"/>
        <rFont val="Arial"/>
        <family val="2"/>
      </rPr>
      <t>out</t>
    </r>
  </si>
  <si>
    <t xml:space="preserve">Worst Case Reverse Polarity Voltage  </t>
  </si>
  <si>
    <t>Iratio</t>
  </si>
  <si>
    <t>Timer Charge Current for Vds Fault</t>
  </si>
  <si>
    <t>Timer Reset Discharge Current</t>
  </si>
  <si>
    <t>Fault to GATE Low Delay</t>
  </si>
  <si>
    <t>s</t>
  </si>
  <si>
    <t>Timer Start-up Charge Current</t>
  </si>
  <si>
    <t>Gate Discharge Current, Fault state</t>
  </si>
  <si>
    <t>Gate Discharge Current, Off state</t>
  </si>
  <si>
    <t>Vgs Status Comparator Threshold Voltage</t>
  </si>
  <si>
    <t>Gate Output Voltage in Normal Operation</t>
  </si>
  <si>
    <r>
      <t>Minimum Timer Capacitance C</t>
    </r>
    <r>
      <rPr>
        <vertAlign val="subscript"/>
        <sz val="10"/>
        <rFont val="Arial"/>
        <family val="2"/>
      </rPr>
      <t>timer</t>
    </r>
  </si>
  <si>
    <t>Actual Used Timer Capacitance</t>
  </si>
  <si>
    <t>UVLO INPUT</t>
  </si>
  <si>
    <t>UVLO Threshold</t>
  </si>
  <si>
    <t>UVLO hysterisis</t>
  </si>
  <si>
    <t>UVLO pin pull-down current</t>
  </si>
  <si>
    <t>OPTION A</t>
  </si>
  <si>
    <t>OPTION B</t>
  </si>
  <si>
    <t>Isense</t>
  </si>
  <si>
    <t xml:space="preserve">R1 = </t>
  </si>
  <si>
    <t xml:space="preserve">R2 = </t>
  </si>
  <si>
    <t xml:space="preserve">R3 = </t>
  </si>
  <si>
    <t>OVP INPUT</t>
  </si>
  <si>
    <t>OVPTH</t>
  </si>
  <si>
    <t>OVP Threshold</t>
  </si>
  <si>
    <t>OVPHYS</t>
  </si>
  <si>
    <t>OVP Hysteresis</t>
  </si>
  <si>
    <t>OVPBIAS</t>
  </si>
  <si>
    <t>OVP Pin Bias Current</t>
  </si>
  <si>
    <t>OVPDEL</t>
  </si>
  <si>
    <t>OVP Delay Time</t>
  </si>
  <si>
    <t>UVLOTH</t>
  </si>
  <si>
    <t>UVLOHYS</t>
  </si>
  <si>
    <t>UVLOBIAS</t>
  </si>
  <si>
    <t>R8</t>
  </si>
  <si>
    <t>R9</t>
  </si>
  <si>
    <t>R10</t>
  </si>
  <si>
    <t>R11</t>
  </si>
  <si>
    <t>IGATE</t>
  </si>
  <si>
    <t>IGATEOFF</t>
  </si>
  <si>
    <t>IGATEFLT</t>
  </si>
  <si>
    <t>VGATE</t>
  </si>
  <si>
    <t>VGATETH</t>
  </si>
  <si>
    <t>VTMRH</t>
  </si>
  <si>
    <t>VTMRL</t>
  </si>
  <si>
    <t>ITMRH</t>
  </si>
  <si>
    <t>ITMRL</t>
  </si>
  <si>
    <t>ITMRR</t>
  </si>
  <si>
    <t>TFLT</t>
  </si>
  <si>
    <t>ISNS</t>
  </si>
  <si>
    <t>VOFFSET</t>
  </si>
  <si>
    <t>IRATIO</t>
  </si>
  <si>
    <t>R8 =</t>
  </si>
  <si>
    <t>R9 =</t>
  </si>
  <si>
    <t>R10 =</t>
  </si>
  <si>
    <t>R11 =</t>
  </si>
  <si>
    <t xml:space="preserve">R5= </t>
  </si>
  <si>
    <t>MOSFET Name</t>
  </si>
  <si>
    <t xml:space="preserve">Resulting upper VINMAX Threshold (min) = </t>
  </si>
  <si>
    <t xml:space="preserve">Resulting upper VINMAX Threshold (typ) = </t>
  </si>
  <si>
    <t xml:space="preserve">Resulting lower VINMIN Threshold (min) = </t>
  </si>
  <si>
    <t xml:space="preserve">Resulting lower VINMIN Threshold (typ) = </t>
  </si>
  <si>
    <t xml:space="preserve">Resulting lower VINMIN Threshold (max) = </t>
  </si>
  <si>
    <t xml:space="preserve">Resulting upper VINMIN Threshold (min) = </t>
  </si>
  <si>
    <t xml:space="preserve">Resulting upper VINMIN Threshold (typ) = </t>
  </si>
  <si>
    <t xml:space="preserve">Resulting upper VINMIN Threshold (max) = </t>
  </si>
  <si>
    <t xml:space="preserve">Resultingupper VINMAX Threshold (max) = </t>
  </si>
  <si>
    <t xml:space="preserve">Resulting lower VINMAX Threshold (min) = </t>
  </si>
  <si>
    <t xml:space="preserve">Resulting lower VINMAX Threshold (typ) = </t>
  </si>
  <si>
    <t xml:space="preserve">Resulting lower VINMAX Threshold (max) = </t>
  </si>
  <si>
    <t>User Values</t>
  </si>
  <si>
    <t>Include Hystersis</t>
  </si>
  <si>
    <t>No Hysteresis</t>
  </si>
  <si>
    <t>Hysteresis</t>
  </si>
  <si>
    <t>V/ms</t>
  </si>
  <si>
    <t xml:space="preserve">Upper UVLO Threshold = </t>
  </si>
  <si>
    <t xml:space="preserve">Lower UVLO Threshold = </t>
  </si>
  <si>
    <t xml:space="preserve">Upper OVLO Threshold = </t>
  </si>
  <si>
    <t xml:space="preserve">Lower OVLO Threshold = </t>
  </si>
  <si>
    <t>Step 5: UVLO &amp; OVLO Thresholds</t>
  </si>
  <si>
    <t>Over-Current Fault Delay</t>
  </si>
  <si>
    <t>Startup Delay Time</t>
  </si>
  <si>
    <t>Typical Over-Current Threshold</t>
  </si>
  <si>
    <t>Minimum Worst-Case Overcurrent Threshold</t>
  </si>
  <si>
    <t>Maximum Worst-Case Overcurrent Threshold</t>
  </si>
  <si>
    <t>nC</t>
  </si>
  <si>
    <t>100</t>
  </si>
  <si>
    <t>2. Select MOSFET and current limit parameters.</t>
  </si>
  <si>
    <t>3. Enter desired UVLO and OVLO values to get recommended resistor values.</t>
  </si>
  <si>
    <t>4. Review Circuit Characteristics</t>
  </si>
  <si>
    <t>Back to Back FETs?</t>
  </si>
  <si>
    <t>mΩ</t>
  </si>
  <si>
    <t>kΩ</t>
  </si>
  <si>
    <t>Gate Charge at Mosfet Vgs= 6.5 Volts With Margin</t>
  </si>
  <si>
    <t>Safety Margin</t>
  </si>
  <si>
    <t>Over-Current Fault Delay Time(Max)</t>
  </si>
  <si>
    <t>Startup Fault Delay Time(Max)</t>
  </si>
  <si>
    <t>Over-Current Fault Delay Time(Min)</t>
  </si>
  <si>
    <t xml:space="preserve"> Over-Current Fault Delay Time(Typical)</t>
  </si>
  <si>
    <t>Startup Fault Delay Time(Min)</t>
  </si>
  <si>
    <t>Startup Fault Delay Time(Typical)</t>
  </si>
  <si>
    <t>Maximum Startup Time</t>
  </si>
  <si>
    <t>Typical Startup Time</t>
  </si>
  <si>
    <t>Minimum Startup Time</t>
  </si>
  <si>
    <t>mA</t>
  </si>
  <si>
    <t># of Parallel FETs</t>
  </si>
  <si>
    <t>Desired Typical OVLO</t>
  </si>
  <si>
    <t>Desired Typical UVLO</t>
  </si>
  <si>
    <r>
      <t>Actual Capacitor C</t>
    </r>
    <r>
      <rPr>
        <vertAlign val="subscript"/>
        <sz val="10"/>
        <rFont val="Arial"/>
        <family val="2"/>
      </rPr>
      <t>Gate</t>
    </r>
  </si>
  <si>
    <t>Desired Maximum Inrush Current</t>
  </si>
  <si>
    <t>Calculated Maximum Slew Rate</t>
  </si>
  <si>
    <t>Actual Maximum Inrush Current</t>
  </si>
  <si>
    <r>
      <t>Recommended Capacitance C</t>
    </r>
    <r>
      <rPr>
        <vertAlign val="subscript"/>
        <sz val="10"/>
        <rFont val="Arial"/>
        <family val="2"/>
      </rPr>
      <t>Gate</t>
    </r>
  </si>
  <si>
    <r>
      <t>C</t>
    </r>
    <r>
      <rPr>
        <vertAlign val="subscript"/>
        <sz val="10"/>
        <rFont val="Arial"/>
        <family val="2"/>
      </rPr>
      <t>Timer</t>
    </r>
    <r>
      <rPr>
        <sz val="10"/>
        <rFont val="Arial"/>
        <family val="2"/>
      </rPr>
      <t xml:space="preserve"> =</t>
    </r>
  </si>
  <si>
    <r>
      <t>C</t>
    </r>
    <r>
      <rPr>
        <vertAlign val="subscript"/>
        <sz val="10"/>
        <rFont val="Arial"/>
        <family val="2"/>
      </rPr>
      <t>Gate</t>
    </r>
    <r>
      <rPr>
        <sz val="10"/>
        <rFont val="Arial"/>
        <family val="2"/>
      </rPr>
      <t xml:space="preserve"> =</t>
    </r>
  </si>
  <si>
    <t>Rs =</t>
  </si>
  <si>
    <t>Inrush Current Control</t>
  </si>
  <si>
    <t>SMBJ51A-13-F</t>
  </si>
  <si>
    <r>
      <t>C</t>
    </r>
    <r>
      <rPr>
        <vertAlign val="subscript"/>
        <sz val="10"/>
        <rFont val="Arial"/>
        <family val="2"/>
      </rPr>
      <t>in</t>
    </r>
    <r>
      <rPr>
        <sz val="10"/>
        <rFont val="Arial"/>
        <family val="2"/>
      </rPr>
      <t xml:space="preserve"> =</t>
    </r>
  </si>
  <si>
    <r>
      <t>1. Although not mandatory, C</t>
    </r>
    <r>
      <rPr>
        <vertAlign val="subscript"/>
        <sz val="10"/>
        <rFont val="Arial"/>
        <family val="2"/>
      </rPr>
      <t>in</t>
    </r>
    <r>
      <rPr>
        <sz val="10"/>
        <rFont val="Arial"/>
        <family val="2"/>
      </rPr>
      <t xml:space="preserve"> provides transient suppression at the VIN pin</t>
    </r>
  </si>
  <si>
    <r>
      <t>C</t>
    </r>
    <r>
      <rPr>
        <vertAlign val="subscript"/>
        <sz val="10"/>
        <rFont val="Arial"/>
        <family val="2"/>
      </rPr>
      <t>Load</t>
    </r>
    <r>
      <rPr>
        <sz val="10"/>
        <rFont val="Arial"/>
        <family val="2"/>
      </rPr>
      <t xml:space="preserve"> =</t>
    </r>
  </si>
  <si>
    <r>
      <t>Maximum Output Load Capacitance: C</t>
    </r>
    <r>
      <rPr>
        <vertAlign val="subscript"/>
        <sz val="10"/>
        <rFont val="Arial"/>
        <family val="2"/>
      </rPr>
      <t>load</t>
    </r>
  </si>
  <si>
    <t>Steps 1 &amp; 2: Operating Conditions, Current Limit, &amp; Circuit Breaker</t>
  </si>
  <si>
    <t>Step 3: MOSFET Selection</t>
  </si>
  <si>
    <t>Step 4: Startup</t>
  </si>
  <si>
    <t>Step 5: UVLO, OVLO &amp; PGD Thresholds</t>
  </si>
  <si>
    <t>Yes</t>
  </si>
  <si>
    <t>No</t>
  </si>
  <si>
    <r>
      <rPr>
        <b/>
        <u/>
        <sz val="12"/>
        <color rgb="FFFF0000"/>
        <rFont val="Arial"/>
        <family val="2"/>
      </rPr>
      <t>Note</t>
    </r>
    <r>
      <rPr>
        <sz val="12"/>
        <color rgb="FFFF0000"/>
        <rFont val="Arial"/>
        <family val="2"/>
      </rPr>
      <t>: Before proceeding, please watch the video tutorials listed to ensure accurate results from this tool!</t>
    </r>
  </si>
  <si>
    <t>Step 0: Calculator Tutorials</t>
  </si>
  <si>
    <t>Steps 1 &amp; 2: Operating Conditions, Current Limit, &amp; Circuit Breaker (7:41)</t>
  </si>
  <si>
    <t>Step 3: MOSFET Selection (9:58)</t>
  </si>
  <si>
    <t>Step 4: Startup (10:32)</t>
  </si>
  <si>
    <t>Step 5: UVLO, OVLO &amp; PGD Thresholds (4:20)</t>
  </si>
  <si>
    <r>
      <rPr>
        <sz val="10"/>
        <rFont val="Arial"/>
        <family val="2"/>
      </rPr>
      <t>*For additional questions not addressed in the videos, please post on</t>
    </r>
    <r>
      <rPr>
        <u/>
        <sz val="10"/>
        <color theme="10"/>
        <rFont val="Arial"/>
        <family val="2"/>
      </rPr>
      <t xml:space="preserve"> E2E.ti.com</t>
    </r>
  </si>
  <si>
    <r>
      <rPr>
        <b/>
        <sz val="11"/>
        <rFont val="Arial"/>
        <family val="2"/>
      </rPr>
      <t>I understand and agree to watch the video tutorials if help is needed.</t>
    </r>
    <r>
      <rPr>
        <sz val="11"/>
        <rFont val="Arial"/>
        <family val="2"/>
      </rPr>
      <t xml:space="preserve"> </t>
    </r>
    <r>
      <rPr>
        <sz val="10"/>
        <rFont val="Arial"/>
        <family val="2"/>
      </rPr>
      <t>(Choose Yes to enable the calculator.)</t>
    </r>
  </si>
  <si>
    <t xml:space="preserve">Assure to follow the layout and application guidelines listed on the datasheet. </t>
  </si>
  <si>
    <t>LM5060 Datasheet</t>
  </si>
  <si>
    <t>LM5060 Design Tool- Rev. C</t>
  </si>
  <si>
    <t>IRFH7004TRPBF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</si>
</sst>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48" x14ac:knownFonts="1">
    <font>
      <sz val="10"/>
      <name val="Arial"/>
    </font>
    <font>
      <sz val="11"/>
      <color theme="1"/>
      <name val="Calibri"/>
      <family val="2"/>
      <scheme val="minor"/>
    </font>
    <font>
      <sz val="10"/>
      <name val="Arial"/>
      <family val="2"/>
    </font>
    <font>
      <b/>
      <sz val="10"/>
      <name val="Arial"/>
      <family val="2"/>
    </font>
    <font>
      <sz val="8"/>
      <name val="Arial"/>
      <family val="2"/>
    </font>
    <font>
      <b/>
      <sz val="8"/>
      <color indexed="81"/>
      <name val="Tahoma"/>
      <family val="2"/>
    </font>
    <font>
      <vertAlign val="subscript"/>
      <sz val="10"/>
      <name val="Arial"/>
      <family val="2"/>
    </font>
    <font>
      <sz val="10"/>
      <name val="Arial"/>
      <family val="2"/>
    </font>
    <font>
      <b/>
      <sz val="10"/>
      <color indexed="10"/>
      <name val="Arial"/>
      <family val="2"/>
    </font>
    <font>
      <sz val="10"/>
      <color indexed="55"/>
      <name val="Arial"/>
      <family val="2"/>
    </font>
    <font>
      <sz val="10"/>
      <name val="Symbol"/>
      <family val="1"/>
      <charset val="2"/>
    </font>
    <font>
      <sz val="9"/>
      <color indexed="81"/>
      <name val="Tahoma"/>
      <family val="2"/>
    </font>
    <font>
      <b/>
      <sz val="12"/>
      <color rgb="FFFF0000"/>
      <name val="Calibri"/>
      <family val="2"/>
    </font>
    <font>
      <u/>
      <sz val="10"/>
      <color theme="10"/>
      <name val="Arial"/>
      <family val="2"/>
    </font>
    <font>
      <u/>
      <sz val="10"/>
      <color theme="0"/>
      <name val="Arial"/>
      <family val="2"/>
    </font>
    <font>
      <sz val="10"/>
      <name val="Calibri"/>
      <family val="2"/>
    </font>
    <font>
      <sz val="24"/>
      <color theme="0"/>
      <name val="Arial"/>
      <family val="2"/>
    </font>
    <font>
      <sz val="26"/>
      <color theme="0"/>
      <name val="Arial"/>
      <family val="2"/>
    </font>
    <font>
      <sz val="10"/>
      <color theme="0"/>
      <name val="Calibri"/>
      <family val="2"/>
    </font>
    <font>
      <b/>
      <sz val="11"/>
      <color rgb="FF0000FF"/>
      <name val="Arial"/>
      <family val="2"/>
    </font>
    <font>
      <b/>
      <sz val="11"/>
      <name val="Arial"/>
      <family val="2"/>
    </font>
    <font>
      <b/>
      <sz val="8"/>
      <color indexed="81"/>
      <name val="Arial"/>
      <family val="2"/>
    </font>
    <font>
      <vertAlign val="superscript"/>
      <sz val="10"/>
      <name val="Arial"/>
      <family val="2"/>
    </font>
    <font>
      <b/>
      <u/>
      <sz val="10"/>
      <name val="Arial"/>
      <family val="2"/>
    </font>
    <font>
      <u/>
      <sz val="10"/>
      <name val="Arial"/>
      <family val="2"/>
    </font>
    <font>
      <sz val="10"/>
      <color rgb="FFFF0000"/>
      <name val="Arial"/>
      <family val="2"/>
    </font>
    <font>
      <sz val="22"/>
      <color theme="0"/>
      <name val="Arial"/>
      <family val="2"/>
    </font>
    <font>
      <b/>
      <sz val="10"/>
      <color rgb="FFFF0000"/>
      <name val="Arial"/>
      <family val="2"/>
    </font>
    <font>
      <b/>
      <sz val="24"/>
      <name val="Arial"/>
      <family val="2"/>
    </font>
    <font>
      <sz val="12"/>
      <name val="MS Sans Serif"/>
      <family val="2"/>
    </font>
    <font>
      <b/>
      <sz val="18"/>
      <name val="Arial"/>
      <family val="2"/>
    </font>
    <font>
      <b/>
      <i/>
      <sz val="16"/>
      <name val="Arial"/>
      <family val="2"/>
    </font>
    <font>
      <b/>
      <i/>
      <sz val="11"/>
      <name val="Arial"/>
      <family val="2"/>
    </font>
    <font>
      <b/>
      <i/>
      <sz val="10"/>
      <name val="Arial"/>
      <family val="2"/>
    </font>
    <font>
      <b/>
      <sz val="9"/>
      <color rgb="FFFF0000"/>
      <name val="Arial"/>
      <family val="2"/>
    </font>
    <font>
      <sz val="11"/>
      <color rgb="FF000000"/>
      <name val="Arial"/>
      <family val="2"/>
    </font>
    <font>
      <sz val="10"/>
      <name val="Arial"/>
      <family val="2"/>
    </font>
    <font>
      <sz val="9"/>
      <color indexed="81"/>
      <name val="Calibri"/>
      <family val="2"/>
    </font>
    <font>
      <sz val="7.65"/>
      <color indexed="81"/>
      <name val="Tahoma"/>
      <family val="2"/>
    </font>
    <font>
      <sz val="10"/>
      <color theme="0"/>
      <name val="Arial"/>
      <family val="2"/>
    </font>
    <font>
      <b/>
      <sz val="10"/>
      <color theme="0"/>
      <name val="Arial"/>
      <family val="2"/>
    </font>
    <font>
      <sz val="12"/>
      <color rgb="FF0000FF"/>
      <name val="Arial"/>
      <family val="2"/>
    </font>
    <font>
      <b/>
      <u/>
      <sz val="12"/>
      <color rgb="FFFF0000"/>
      <name val="Arial"/>
      <family val="2"/>
    </font>
    <font>
      <sz val="12"/>
      <color rgb="FFFF0000"/>
      <name val="Arial"/>
      <family val="2"/>
    </font>
    <font>
      <sz val="12"/>
      <name val="Arial"/>
      <family val="2"/>
    </font>
    <font>
      <u/>
      <sz val="12"/>
      <color theme="10"/>
      <name val="Arial"/>
      <family val="2"/>
    </font>
    <font>
      <sz val="11"/>
      <name val="Arial"/>
      <family val="2"/>
    </font>
    <font>
      <u/>
      <sz val="11"/>
      <color theme="10"/>
      <name val="Arial"/>
      <family val="2"/>
    </font>
  </fonts>
  <fills count="12">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tint="-0.14996795556505021"/>
        <bgColor indexed="64"/>
      </patternFill>
    </fill>
    <fill>
      <patternFill patternType="solid">
        <fgColor theme="6" tint="0.39994506668294322"/>
        <bgColor indexed="64"/>
      </patternFill>
    </fill>
    <fill>
      <patternFill patternType="solid">
        <fgColor indexed="13"/>
        <bgColor indexed="64"/>
      </patternFill>
    </fill>
    <fill>
      <patternFill patternType="solid">
        <fgColor theme="7"/>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style="medium">
        <color indexed="64"/>
      </left>
      <right/>
      <top/>
      <bottom/>
      <diagonal/>
    </border>
    <border>
      <left/>
      <right/>
      <top/>
      <bottom style="medium">
        <color auto="1"/>
      </bottom>
      <diagonal/>
    </border>
    <border>
      <left style="medium">
        <color indexed="64"/>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indexed="64"/>
      </left>
      <right style="thin">
        <color indexed="64"/>
      </right>
      <top/>
      <bottom style="medium">
        <color auto="1"/>
      </bottom>
      <diagonal/>
    </border>
    <border>
      <left style="thin">
        <color indexed="64"/>
      </left>
      <right style="thin">
        <color indexed="64"/>
      </right>
      <top style="medium">
        <color auto="1"/>
      </top>
      <bottom/>
      <diagonal/>
    </border>
    <border>
      <left/>
      <right style="thin">
        <color auto="1"/>
      </right>
      <top style="medium">
        <color auto="1"/>
      </top>
      <bottom/>
      <diagonal/>
    </border>
    <border>
      <left style="thick">
        <color indexed="39"/>
      </left>
      <right/>
      <top style="thick">
        <color indexed="39"/>
      </top>
      <bottom/>
      <diagonal/>
    </border>
    <border>
      <left/>
      <right/>
      <top style="thick">
        <color indexed="39"/>
      </top>
      <bottom/>
      <diagonal/>
    </border>
    <border>
      <left/>
      <right style="thick">
        <color indexed="39"/>
      </right>
      <top style="thick">
        <color indexed="39"/>
      </top>
      <bottom/>
      <diagonal/>
    </border>
    <border>
      <left style="thick">
        <color indexed="39"/>
      </left>
      <right/>
      <top/>
      <bottom/>
      <diagonal/>
    </border>
    <border>
      <left/>
      <right style="thick">
        <color indexed="39"/>
      </right>
      <top/>
      <bottom/>
      <diagonal/>
    </border>
    <border>
      <left style="thick">
        <color indexed="39"/>
      </left>
      <right/>
      <top/>
      <bottom style="thick">
        <color indexed="39"/>
      </bottom>
      <diagonal/>
    </border>
    <border>
      <left/>
      <right/>
      <top/>
      <bottom style="thick">
        <color indexed="39"/>
      </bottom>
      <diagonal/>
    </border>
    <border>
      <left/>
      <right style="thick">
        <color indexed="39"/>
      </right>
      <top/>
      <bottom style="thick">
        <color indexed="39"/>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theme="0" tint="-0.499984740745262"/>
      </left>
      <right style="thin">
        <color indexed="64"/>
      </right>
      <top style="medium">
        <color theme="0" tint="-0.499984740745262"/>
      </top>
      <bottom style="medium">
        <color theme="0" tint="-0.499984740745262"/>
      </bottom>
      <diagonal/>
    </border>
    <border>
      <left style="thin">
        <color indexed="64"/>
      </left>
      <right style="thin">
        <color indexed="64"/>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indexed="64"/>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s>
  <cellStyleXfs count="11">
    <xf numFmtId="0" fontId="0" fillId="0" borderId="0"/>
    <xf numFmtId="0" fontId="13" fillId="0" borderId="0" applyNumberFormat="0" applyFill="0" applyBorder="0" applyAlignment="0" applyProtection="0">
      <alignment vertical="top"/>
      <protection locked="0"/>
    </xf>
    <xf numFmtId="0" fontId="2" fillId="0" borderId="0"/>
    <xf numFmtId="0" fontId="2" fillId="2" borderId="0">
      <alignment horizontal="center"/>
    </xf>
    <xf numFmtId="0" fontId="2" fillId="5" borderId="1">
      <alignment horizontal="center" vertical="center"/>
      <protection locked="0"/>
    </xf>
    <xf numFmtId="0" fontId="36" fillId="8" borderId="1">
      <alignment horizontal="center" vertical="center"/>
      <protection locked="0"/>
    </xf>
    <xf numFmtId="0" fontId="2" fillId="0" borderId="12"/>
    <xf numFmtId="0" fontId="2" fillId="8" borderId="1">
      <alignment horizontal="center" vertical="center"/>
      <protection locked="0"/>
    </xf>
    <xf numFmtId="0" fontId="2" fillId="8" borderId="1">
      <alignment horizontal="center" vertical="center"/>
      <protection locked="0"/>
    </xf>
    <xf numFmtId="0" fontId="2" fillId="8" borderId="1">
      <alignment horizontal="center" vertical="center"/>
      <protection locked="0"/>
    </xf>
    <xf numFmtId="0" fontId="1" fillId="0" borderId="0"/>
  </cellStyleXfs>
  <cellXfs count="310">
    <xf numFmtId="0" fontId="0" fillId="0" borderId="0" xfId="0"/>
    <xf numFmtId="0" fontId="0" fillId="0" borderId="0" xfId="0" applyAlignment="1">
      <alignment horizontal="center"/>
    </xf>
    <xf numFmtId="0" fontId="0" fillId="0" borderId="0" xfId="0" applyAlignment="1">
      <alignment horizontal="right"/>
    </xf>
    <xf numFmtId="0" fontId="0" fillId="0" borderId="0" xfId="0" applyFill="1" applyBorder="1" applyAlignment="1">
      <alignment horizontal="right"/>
    </xf>
    <xf numFmtId="2" fontId="0" fillId="0" borderId="0" xfId="0" applyNumberFormat="1"/>
    <xf numFmtId="0" fontId="0" fillId="0" borderId="1" xfId="0" applyBorder="1" applyAlignment="1">
      <alignment horizontal="center"/>
    </xf>
    <xf numFmtId="164" fontId="0" fillId="0" borderId="0" xfId="0" applyNumberFormat="1" applyAlignment="1">
      <alignment horizontal="center"/>
    </xf>
    <xf numFmtId="10" fontId="0" fillId="0" borderId="0" xfId="0" applyNumberFormat="1"/>
    <xf numFmtId="0" fontId="0" fillId="0" borderId="2" xfId="0" applyBorder="1" applyAlignment="1">
      <alignment horizontal="center"/>
    </xf>
    <xf numFmtId="0" fontId="0" fillId="0" borderId="0" xfId="0" applyBorder="1"/>
    <xf numFmtId="0" fontId="0" fillId="0" borderId="3" xfId="0" applyBorder="1"/>
    <xf numFmtId="0" fontId="0" fillId="0" borderId="4" xfId="0" applyBorder="1"/>
    <xf numFmtId="0" fontId="0" fillId="0" borderId="5" xfId="0" applyFill="1" applyBorder="1" applyAlignment="1">
      <alignment horizontal="right"/>
    </xf>
    <xf numFmtId="0" fontId="0" fillId="0" borderId="6" xfId="0" applyBorder="1"/>
    <xf numFmtId="0" fontId="0" fillId="0" borderId="7" xfId="0" applyFill="1" applyBorder="1" applyAlignment="1">
      <alignment horizontal="right"/>
    </xf>
    <xf numFmtId="0" fontId="0" fillId="0" borderId="8" xfId="0" applyBorder="1"/>
    <xf numFmtId="0" fontId="0" fillId="0" borderId="9" xfId="0" applyBorder="1"/>
    <xf numFmtId="0" fontId="0" fillId="0" borderId="10" xfId="0" applyFill="1" applyBorder="1" applyAlignment="1">
      <alignment horizontal="right"/>
    </xf>
    <xf numFmtId="2" fontId="0" fillId="0" borderId="0" xfId="0" applyNumberFormat="1" applyAlignment="1">
      <alignment horizontal="center"/>
    </xf>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0" fillId="2" borderId="0" xfId="0" applyFill="1" applyBorder="1" applyAlignment="1">
      <alignment horizontal="right"/>
    </xf>
    <xf numFmtId="0" fontId="0" fillId="2" borderId="0" xfId="0" applyFill="1" applyBorder="1"/>
    <xf numFmtId="0" fontId="9" fillId="2" borderId="0" xfId="0" applyFont="1" applyFill="1" applyAlignment="1">
      <alignment horizontal="left"/>
    </xf>
    <xf numFmtId="14" fontId="9" fillId="2" borderId="0" xfId="0" applyNumberFormat="1" applyFont="1" applyFill="1" applyAlignment="1">
      <alignment horizontal="left"/>
    </xf>
    <xf numFmtId="0" fontId="0" fillId="0" borderId="1" xfId="0" applyFill="1" applyBorder="1" applyAlignment="1">
      <alignment horizontal="center"/>
    </xf>
    <xf numFmtId="0" fontId="3" fillId="0" borderId="0" xfId="0" applyFont="1"/>
    <xf numFmtId="2" fontId="0" fillId="0" borderId="1" xfId="0" applyNumberFormat="1" applyBorder="1" applyAlignment="1">
      <alignment horizontal="center"/>
    </xf>
    <xf numFmtId="0" fontId="0" fillId="0" borderId="11" xfId="0" applyBorder="1" applyAlignment="1">
      <alignment horizontal="center"/>
    </xf>
    <xf numFmtId="0" fontId="0" fillId="0" borderId="13" xfId="0" applyFill="1" applyBorder="1" applyAlignment="1">
      <alignment horizontal="center"/>
    </xf>
    <xf numFmtId="0" fontId="0" fillId="2" borderId="0" xfId="0" applyFill="1" applyProtection="1">
      <protection locked="0"/>
    </xf>
    <xf numFmtId="0" fontId="0" fillId="2" borderId="0" xfId="0" applyFill="1" applyProtection="1"/>
    <xf numFmtId="0" fontId="2" fillId="0" borderId="0" xfId="0" applyFont="1"/>
    <xf numFmtId="0" fontId="2" fillId="0" borderId="0" xfId="0" applyFont="1" applyAlignment="1">
      <alignment horizontal="right"/>
    </xf>
    <xf numFmtId="0" fontId="2" fillId="2" borderId="0" xfId="0" applyFont="1" applyFill="1" applyBorder="1" applyAlignment="1">
      <alignment horizontal="left"/>
    </xf>
    <xf numFmtId="0" fontId="0" fillId="3" borderId="0" xfId="0" applyFill="1"/>
    <xf numFmtId="0" fontId="2" fillId="2" borderId="0" xfId="0" applyFont="1" applyFill="1" applyBorder="1" applyAlignment="1">
      <alignment horizontal="right"/>
    </xf>
    <xf numFmtId="0" fontId="14" fillId="2" borderId="0" xfId="1" applyFont="1" applyFill="1" applyAlignment="1" applyProtection="1"/>
    <xf numFmtId="0" fontId="15" fillId="3" borderId="0" xfId="0" applyFont="1" applyFill="1" applyProtection="1"/>
    <xf numFmtId="0" fontId="18" fillId="3" borderId="0" xfId="0" applyFont="1" applyFill="1" applyBorder="1" applyProtection="1"/>
    <xf numFmtId="0" fontId="18" fillId="3" borderId="0" xfId="0" applyFont="1" applyFill="1" applyProtection="1"/>
    <xf numFmtId="0" fontId="17" fillId="3" borderId="23" xfId="0" applyFont="1" applyFill="1" applyBorder="1" applyAlignment="1" applyProtection="1">
      <alignment horizontal="center" vertical="center"/>
    </xf>
    <xf numFmtId="0" fontId="19" fillId="2" borderId="0" xfId="0" applyFont="1" applyFill="1"/>
    <xf numFmtId="0" fontId="20" fillId="2" borderId="0" xfId="0" applyFont="1" applyFill="1"/>
    <xf numFmtId="0" fontId="0" fillId="2" borderId="1" xfId="0" applyNumberFormat="1" applyFill="1" applyBorder="1" applyAlignment="1">
      <alignment horizontal="center" vertical="center"/>
    </xf>
    <xf numFmtId="0" fontId="0" fillId="2" borderId="11" xfId="0" applyNumberFormat="1" applyFill="1" applyBorder="1" applyAlignment="1">
      <alignment horizontal="center" vertical="center"/>
    </xf>
    <xf numFmtId="165" fontId="0" fillId="2" borderId="11" xfId="0" applyNumberFormat="1" applyFill="1" applyBorder="1" applyAlignment="1">
      <alignment horizontal="center" vertical="center"/>
    </xf>
    <xf numFmtId="2" fontId="0" fillId="2" borderId="11" xfId="0" applyNumberFormat="1" applyFill="1" applyBorder="1" applyAlignment="1">
      <alignment horizontal="center" vertical="center"/>
    </xf>
    <xf numFmtId="1" fontId="0" fillId="2" borderId="11" xfId="0" applyNumberFormat="1" applyFill="1" applyBorder="1" applyAlignment="1">
      <alignment horizontal="center" vertical="center"/>
    </xf>
    <xf numFmtId="2" fontId="0" fillId="2" borderId="14" xfId="0" applyNumberFormat="1" applyFill="1" applyBorder="1" applyAlignment="1">
      <alignment horizontal="center" vertical="center"/>
    </xf>
    <xf numFmtId="2" fontId="0" fillId="2" borderId="15" xfId="0" applyNumberFormat="1" applyFill="1" applyBorder="1" applyAlignment="1">
      <alignment horizontal="center" vertical="center"/>
    </xf>
    <xf numFmtId="2" fontId="0" fillId="2" borderId="16" xfId="0" applyNumberFormat="1" applyFill="1" applyBorder="1" applyAlignment="1">
      <alignment horizontal="center" vertical="center"/>
    </xf>
    <xf numFmtId="2" fontId="0" fillId="2" borderId="17"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18" xfId="0" applyNumberFormat="1" applyFill="1" applyBorder="1" applyAlignment="1">
      <alignment horizontal="center" vertical="center"/>
    </xf>
    <xf numFmtId="2" fontId="0" fillId="2" borderId="19" xfId="0" applyNumberFormat="1" applyFill="1" applyBorder="1" applyAlignment="1">
      <alignment horizontal="center" vertical="center"/>
    </xf>
    <xf numFmtId="2" fontId="0" fillId="2" borderId="20" xfId="0" applyNumberFormat="1" applyFill="1" applyBorder="1" applyAlignment="1">
      <alignment horizontal="center" vertical="center"/>
    </xf>
    <xf numFmtId="2" fontId="0" fillId="2" borderId="21" xfId="0" applyNumberFormat="1" applyFill="1" applyBorder="1" applyAlignment="1">
      <alignment horizontal="center" vertical="center"/>
    </xf>
    <xf numFmtId="0" fontId="0" fillId="2" borderId="0" xfId="0" applyFill="1" applyBorder="1" applyAlignment="1">
      <alignment horizontal="right" vertical="center"/>
    </xf>
    <xf numFmtId="0" fontId="2" fillId="2" borderId="0" xfId="0" applyFont="1" applyFill="1" applyBorder="1" applyAlignment="1">
      <alignment horizontal="right" vertical="center"/>
    </xf>
    <xf numFmtId="0" fontId="2" fillId="0" borderId="0" xfId="0" applyFont="1" applyFill="1" applyBorder="1"/>
    <xf numFmtId="0" fontId="2" fillId="0" borderId="0" xfId="0" applyFont="1" applyFill="1" applyAlignment="1">
      <alignment horizontal="right"/>
    </xf>
    <xf numFmtId="0" fontId="2" fillId="0" borderId="0" xfId="0" applyFont="1" applyAlignment="1">
      <alignment horizontal="center"/>
    </xf>
    <xf numFmtId="0" fontId="0" fillId="2" borderId="23" xfId="0" applyFill="1" applyBorder="1"/>
    <xf numFmtId="0" fontId="2" fillId="2" borderId="23" xfId="0" applyFont="1" applyFill="1" applyBorder="1" applyAlignment="1">
      <alignment horizontal="right" vertical="center"/>
    </xf>
    <xf numFmtId="0" fontId="0" fillId="2" borderId="24" xfId="0" applyFill="1" applyBorder="1"/>
    <xf numFmtId="0" fontId="0" fillId="2" borderId="26" xfId="0" applyFill="1" applyBorder="1"/>
    <xf numFmtId="0" fontId="0" fillId="2" borderId="25" xfId="0" applyFill="1" applyBorder="1"/>
    <xf numFmtId="0" fontId="0" fillId="0" borderId="24" xfId="0" applyBorder="1"/>
    <xf numFmtId="0" fontId="0" fillId="2" borderId="23" xfId="0" applyFill="1" applyBorder="1" applyAlignment="1">
      <alignment horizontal="right" vertical="center"/>
    </xf>
    <xf numFmtId="0" fontId="0" fillId="2" borderId="28" xfId="0" applyFill="1" applyBorder="1"/>
    <xf numFmtId="0" fontId="3" fillId="2" borderId="0" xfId="0" applyFont="1" applyFill="1" applyBorder="1" applyAlignment="1">
      <alignment horizontal="right"/>
    </xf>
    <xf numFmtId="0" fontId="3" fillId="2" borderId="0" xfId="0" applyFont="1" applyFill="1" applyBorder="1" applyAlignment="1">
      <alignment horizontal="center"/>
    </xf>
    <xf numFmtId="0" fontId="8" fillId="2" borderId="0" xfId="0" applyFont="1" applyFill="1" applyBorder="1"/>
    <xf numFmtId="0" fontId="0" fillId="2" borderId="29" xfId="0" applyFill="1" applyBorder="1"/>
    <xf numFmtId="0" fontId="2" fillId="2" borderId="28" xfId="0" applyFont="1" applyFill="1" applyBorder="1"/>
    <xf numFmtId="0" fontId="0" fillId="2" borderId="7" xfId="0" applyFill="1" applyBorder="1" applyAlignment="1">
      <alignment horizontal="right" vertical="center"/>
    </xf>
    <xf numFmtId="0" fontId="2" fillId="2" borderId="7" xfId="0" applyFont="1" applyFill="1" applyBorder="1" applyAlignment="1">
      <alignment horizontal="right" vertical="center"/>
    </xf>
    <xf numFmtId="0" fontId="0" fillId="3" borderId="0" xfId="0" applyFill="1" applyBorder="1"/>
    <xf numFmtId="0" fontId="0" fillId="0" borderId="0" xfId="0" applyFill="1" applyBorder="1" applyAlignment="1" applyProtection="1">
      <alignment horizontal="center"/>
    </xf>
    <xf numFmtId="0" fontId="0" fillId="3" borderId="0" xfId="0" applyFill="1" applyBorder="1" applyAlignment="1">
      <alignment horizontal="center"/>
    </xf>
    <xf numFmtId="1" fontId="2" fillId="2" borderId="1" xfId="0" applyNumberFormat="1" applyFont="1" applyFill="1" applyBorder="1" applyAlignment="1">
      <alignment horizontal="center" vertical="center"/>
    </xf>
    <xf numFmtId="0" fontId="15" fillId="0" borderId="0" xfId="0" applyFont="1" applyFill="1" applyBorder="1" applyProtection="1"/>
    <xf numFmtId="0" fontId="0" fillId="2" borderId="27" xfId="0" applyFill="1" applyBorder="1"/>
    <xf numFmtId="0" fontId="2" fillId="2" borderId="0" xfId="0" applyFont="1" applyFill="1" applyBorder="1"/>
    <xf numFmtId="14" fontId="2" fillId="2" borderId="0" xfId="0" applyNumberFormat="1" applyFont="1" applyFill="1" applyBorder="1" applyAlignment="1">
      <alignment horizontal="center"/>
    </xf>
    <xf numFmtId="0" fontId="2" fillId="2" borderId="25" xfId="0" applyFont="1" applyFill="1" applyBorder="1" applyAlignment="1">
      <alignment horizontal="left"/>
    </xf>
    <xf numFmtId="0" fontId="0" fillId="7" borderId="23" xfId="0" applyFill="1" applyBorder="1"/>
    <xf numFmtId="2" fontId="0" fillId="2" borderId="1" xfId="0" applyNumberFormat="1" applyFill="1" applyBorder="1" applyAlignment="1">
      <alignment horizontal="center"/>
    </xf>
    <xf numFmtId="0" fontId="0" fillId="0" borderId="0" xfId="0" applyFill="1"/>
    <xf numFmtId="0" fontId="20" fillId="7" borderId="22" xfId="0" applyFont="1" applyFill="1" applyBorder="1"/>
    <xf numFmtId="0" fontId="0" fillId="0" borderId="0" xfId="0" applyAlignment="1">
      <alignment horizontal="center"/>
    </xf>
    <xf numFmtId="0" fontId="2" fillId="0" borderId="1" xfId="0" applyFont="1" applyBorder="1" applyAlignment="1">
      <alignment horizontal="center"/>
    </xf>
    <xf numFmtId="0" fontId="2" fillId="0" borderId="0" xfId="0" applyFont="1" applyAlignment="1">
      <alignment horizontal="left"/>
    </xf>
    <xf numFmtId="0" fontId="0" fillId="0" borderId="0" xfId="0" applyAlignment="1">
      <alignment horizontal="center"/>
    </xf>
    <xf numFmtId="0" fontId="2" fillId="0" borderId="1" xfId="0" applyFont="1" applyFill="1" applyBorder="1" applyAlignment="1">
      <alignment horizontal="center"/>
    </xf>
    <xf numFmtId="0" fontId="2" fillId="0" borderId="6" xfId="0" applyFont="1" applyFill="1" applyBorder="1" applyAlignment="1">
      <alignment horizontal="center"/>
    </xf>
    <xf numFmtId="0" fontId="2" fillId="3" borderId="0" xfId="0" applyFont="1" applyFill="1" applyBorder="1" applyAlignment="1">
      <alignment horizontal="right" vertical="center"/>
    </xf>
    <xf numFmtId="0" fontId="2" fillId="3" borderId="0" xfId="0" applyFont="1" applyFill="1" applyAlignment="1">
      <alignment horizontal="right"/>
    </xf>
    <xf numFmtId="0" fontId="2" fillId="2" borderId="31" xfId="0" applyFont="1" applyFill="1" applyBorder="1" applyAlignment="1">
      <alignment horizontal="center" vertical="center"/>
    </xf>
    <xf numFmtId="0" fontId="2" fillId="2" borderId="12" xfId="0" applyFont="1" applyFill="1" applyBorder="1" applyAlignment="1">
      <alignment horizontal="center" vertical="center"/>
    </xf>
    <xf numFmtId="0" fontId="0" fillId="2" borderId="12" xfId="0" applyFill="1" applyBorder="1" applyAlignment="1">
      <alignment horizontal="center" vertical="center"/>
    </xf>
    <xf numFmtId="0" fontId="0" fillId="2" borderId="32" xfId="0" applyFill="1" applyBorder="1" applyAlignment="1">
      <alignment horizontal="center" vertical="center"/>
    </xf>
    <xf numFmtId="0" fontId="2" fillId="2" borderId="7" xfId="0" applyFont="1" applyFill="1" applyBorder="1" applyAlignment="1">
      <alignment horizontal="center" vertical="center"/>
    </xf>
    <xf numFmtId="0" fontId="7" fillId="2" borderId="7" xfId="0" applyFont="1" applyFill="1" applyBorder="1" applyAlignment="1">
      <alignment horizontal="center" vertical="center"/>
    </xf>
    <xf numFmtId="0" fontId="0" fillId="2" borderId="7" xfId="0" applyFill="1" applyBorder="1" applyAlignment="1">
      <alignment horizontal="center"/>
    </xf>
    <xf numFmtId="0" fontId="0" fillId="2" borderId="0" xfId="0" applyFill="1" applyBorder="1" applyAlignment="1">
      <alignment horizontal="center"/>
    </xf>
    <xf numFmtId="0" fontId="0" fillId="2" borderId="25" xfId="0" applyFill="1" applyBorder="1" applyAlignment="1">
      <alignment horizontal="center"/>
    </xf>
    <xf numFmtId="0" fontId="0" fillId="3" borderId="0" xfId="0" applyFill="1" applyAlignment="1">
      <alignment horizontal="center"/>
    </xf>
    <xf numFmtId="0" fontId="2" fillId="0" borderId="0" xfId="0" applyFont="1" applyFill="1" applyBorder="1" applyAlignment="1">
      <alignment horizontal="right"/>
    </xf>
    <xf numFmtId="0" fontId="0" fillId="8" borderId="15" xfId="0" applyFill="1" applyBorder="1" applyAlignment="1" applyProtection="1">
      <alignment horizontal="center" vertical="center"/>
      <protection locked="0"/>
    </xf>
    <xf numFmtId="0" fontId="0" fillId="8" borderId="1" xfId="0" applyFill="1" applyBorder="1" applyAlignment="1" applyProtection="1">
      <alignment horizontal="center" vertical="center"/>
      <protection locked="0"/>
    </xf>
    <xf numFmtId="0" fontId="2" fillId="2" borderId="0" xfId="0" applyFont="1" applyFill="1"/>
    <xf numFmtId="0" fontId="0" fillId="6" borderId="1" xfId="0" applyNumberFormat="1" applyFill="1" applyBorder="1" applyAlignment="1" applyProtection="1">
      <alignment horizontal="center" vertical="center"/>
      <protection locked="0"/>
    </xf>
    <xf numFmtId="0" fontId="0" fillId="6" borderId="1" xfId="0" applyFill="1" applyBorder="1" applyAlignment="1" applyProtection="1">
      <alignment horizontal="center"/>
    </xf>
    <xf numFmtId="0" fontId="0" fillId="0" borderId="0" xfId="0" applyBorder="1" applyAlignment="1">
      <alignment horizontal="center"/>
    </xf>
    <xf numFmtId="0" fontId="0" fillId="0" borderId="0" xfId="0" applyAlignment="1">
      <alignment horizontal="center"/>
    </xf>
    <xf numFmtId="0" fontId="25" fillId="4" borderId="1" xfId="0" applyFont="1" applyFill="1" applyBorder="1" applyAlignment="1">
      <alignment horizontal="center"/>
    </xf>
    <xf numFmtId="0" fontId="0" fillId="5" borderId="1" xfId="0" applyFill="1" applyBorder="1" applyAlignment="1">
      <alignment horizontal="center"/>
    </xf>
    <xf numFmtId="11" fontId="0" fillId="0" borderId="0" xfId="0" applyNumberFormat="1" applyFill="1" applyBorder="1" applyAlignment="1" applyProtection="1">
      <alignment horizontal="center" vertical="center"/>
      <protection locked="0"/>
    </xf>
    <xf numFmtId="0" fontId="0" fillId="0" borderId="0" xfId="0" applyFill="1" applyAlignment="1">
      <alignment horizontal="right"/>
    </xf>
    <xf numFmtId="2" fontId="0" fillId="0" borderId="0" xfId="0" applyNumberFormat="1" applyFill="1"/>
    <xf numFmtId="0" fontId="0" fillId="0" borderId="0" xfId="0" applyFill="1" applyAlignment="1">
      <alignment horizontal="center"/>
    </xf>
    <xf numFmtId="0" fontId="2" fillId="0" borderId="0" xfId="0" applyFont="1" applyFill="1"/>
    <xf numFmtId="0" fontId="3" fillId="0" borderId="0" xfId="0" applyFont="1" applyFill="1" applyAlignment="1">
      <alignment horizontal="center"/>
    </xf>
    <xf numFmtId="0" fontId="2" fillId="0" borderId="0" xfId="0" applyFont="1" applyFill="1" applyAlignment="1">
      <alignment horizontal="center"/>
    </xf>
    <xf numFmtId="0" fontId="23" fillId="0" borderId="0" xfId="0" applyFont="1" applyFill="1" applyAlignment="1">
      <alignment horizontal="center"/>
    </xf>
    <xf numFmtId="2" fontId="2" fillId="0" borderId="0" xfId="0" applyNumberFormat="1" applyFont="1" applyFill="1"/>
    <xf numFmtId="0" fontId="3" fillId="0" borderId="0" xfId="0" applyFont="1" applyFill="1"/>
    <xf numFmtId="2" fontId="0" fillId="0" borderId="0" xfId="0" applyNumberFormat="1" applyFill="1" applyAlignment="1">
      <alignment horizontal="center"/>
    </xf>
    <xf numFmtId="0" fontId="0" fillId="0" borderId="4" xfId="0" applyFill="1" applyBorder="1"/>
    <xf numFmtId="0" fontId="0" fillId="0" borderId="0" xfId="0" applyFill="1" applyBorder="1"/>
    <xf numFmtId="0" fontId="0" fillId="0" borderId="9" xfId="0" applyFill="1" applyBorder="1"/>
    <xf numFmtId="2" fontId="0" fillId="0" borderId="0" xfId="0" applyNumberFormat="1" applyBorder="1" applyAlignment="1">
      <alignment horizontal="center"/>
    </xf>
    <xf numFmtId="0" fontId="0" fillId="9" borderId="33" xfId="0" applyFill="1" applyBorder="1" applyProtection="1"/>
    <xf numFmtId="0" fontId="0" fillId="9" borderId="34" xfId="0" applyFill="1" applyBorder="1" applyProtection="1"/>
    <xf numFmtId="0" fontId="0" fillId="9" borderId="35" xfId="0" applyFill="1" applyBorder="1" applyProtection="1"/>
    <xf numFmtId="0" fontId="0" fillId="9" borderId="36" xfId="0" applyFill="1" applyBorder="1" applyProtection="1"/>
    <xf numFmtId="0" fontId="0" fillId="9" borderId="0" xfId="0" applyFill="1" applyBorder="1" applyProtection="1"/>
    <xf numFmtId="0" fontId="0" fillId="9" borderId="37" xfId="0" applyFill="1" applyBorder="1" applyProtection="1"/>
    <xf numFmtId="0" fontId="28" fillId="9" borderId="0" xfId="0" applyFont="1" applyFill="1" applyBorder="1" applyProtection="1"/>
    <xf numFmtId="0" fontId="29" fillId="9" borderId="0" xfId="0" applyFont="1" applyFill="1" applyBorder="1" applyProtection="1"/>
    <xf numFmtId="0" fontId="30" fillId="9" borderId="0" xfId="0" applyFont="1" applyFill="1" applyBorder="1" applyProtection="1"/>
    <xf numFmtId="0" fontId="31" fillId="9" borderId="0" xfId="0" applyFont="1" applyFill="1" applyProtection="1"/>
    <xf numFmtId="0" fontId="0" fillId="9" borderId="0" xfId="0" applyFill="1" applyProtection="1"/>
    <xf numFmtId="0" fontId="32" fillId="9" borderId="0" xfId="0" applyFont="1" applyFill="1" applyAlignment="1" applyProtection="1"/>
    <xf numFmtId="0" fontId="32" fillId="9" borderId="0" xfId="0" applyFont="1" applyFill="1" applyAlignment="1" applyProtection="1">
      <alignment wrapText="1"/>
    </xf>
    <xf numFmtId="0" fontId="33" fillId="9" borderId="0" xfId="0" applyFont="1" applyFill="1" applyAlignment="1" applyProtection="1">
      <alignment vertical="center"/>
    </xf>
    <xf numFmtId="0" fontId="33" fillId="9" borderId="0" xfId="0" applyFont="1" applyFill="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2" fillId="9" borderId="0" xfId="0" applyFont="1" applyFill="1" applyBorder="1" applyProtection="1"/>
    <xf numFmtId="0" fontId="0" fillId="2" borderId="24" xfId="0" applyFill="1" applyBorder="1" applyAlignment="1">
      <alignment horizontal="right"/>
    </xf>
    <xf numFmtId="0" fontId="2" fillId="0" borderId="0" xfId="0" applyFont="1"/>
    <xf numFmtId="0" fontId="2" fillId="2" borderId="1" xfId="0" applyFont="1" applyFill="1" applyBorder="1" applyAlignment="1">
      <alignment horizontal="right"/>
    </xf>
    <xf numFmtId="164" fontId="2" fillId="2" borderId="1" xfId="0" applyNumberFormat="1" applyFont="1" applyFill="1" applyBorder="1" applyAlignment="1">
      <alignment horizontal="right"/>
    </xf>
    <xf numFmtId="0" fontId="0" fillId="10" borderId="22" xfId="0" applyFill="1" applyBorder="1"/>
    <xf numFmtId="0" fontId="2" fillId="10" borderId="23" xfId="0" applyFont="1" applyFill="1" applyBorder="1" applyAlignment="1">
      <alignment horizontal="center"/>
    </xf>
    <xf numFmtId="0" fontId="3" fillId="10" borderId="23" xfId="0" applyFont="1" applyFill="1" applyBorder="1" applyAlignment="1">
      <alignment horizontal="center"/>
    </xf>
    <xf numFmtId="0" fontId="3" fillId="10" borderId="27" xfId="0" applyFont="1" applyFill="1" applyBorder="1" applyAlignment="1">
      <alignment horizontal="left"/>
    </xf>
    <xf numFmtId="0" fontId="0" fillId="2" borderId="17" xfId="0" applyFill="1" applyBorder="1"/>
    <xf numFmtId="0" fontId="2" fillId="2" borderId="18" xfId="0" applyFont="1" applyFill="1" applyBorder="1"/>
    <xf numFmtId="0" fontId="0" fillId="2" borderId="19" xfId="0" applyFill="1" applyBorder="1"/>
    <xf numFmtId="164" fontId="2" fillId="2" borderId="20" xfId="0" applyNumberFormat="1" applyFont="1" applyFill="1" applyBorder="1" applyAlignment="1">
      <alignment horizontal="right"/>
    </xf>
    <xf numFmtId="0" fontId="2" fillId="2" borderId="21" xfId="0" applyFont="1" applyFill="1" applyBorder="1"/>
    <xf numFmtId="0" fontId="0" fillId="0" borderId="0" xfId="0" applyAlignment="1">
      <alignment horizontal="center"/>
    </xf>
    <xf numFmtId="0" fontId="0" fillId="8" borderId="11" xfId="0" applyFill="1" applyBorder="1" applyAlignment="1" applyProtection="1">
      <alignment horizontal="center" vertical="center"/>
      <protection locked="0"/>
    </xf>
    <xf numFmtId="0" fontId="36" fillId="8" borderId="1" xfId="5">
      <alignment horizontal="center" vertical="center"/>
      <protection locked="0"/>
    </xf>
    <xf numFmtId="0" fontId="2" fillId="2" borderId="23" xfId="0" applyFont="1" applyFill="1" applyBorder="1"/>
    <xf numFmtId="0" fontId="15" fillId="2" borderId="12" xfId="0" applyFont="1" applyFill="1" applyBorder="1" applyAlignment="1">
      <alignment horizontal="center" vertical="center"/>
    </xf>
    <xf numFmtId="0" fontId="0" fillId="6" borderId="13" xfId="0" applyFill="1" applyBorder="1" applyAlignment="1" applyProtection="1">
      <alignment horizontal="center" vertical="center"/>
      <protection locked="0"/>
    </xf>
    <xf numFmtId="0" fontId="36" fillId="8" borderId="13" xfId="5" applyBorder="1">
      <alignment horizontal="center" vertical="center"/>
      <protection locked="0"/>
    </xf>
    <xf numFmtId="0" fontId="2" fillId="8" borderId="15" xfId="5" applyFont="1" applyBorder="1">
      <alignment horizontal="center" vertical="center"/>
      <protection locked="0"/>
    </xf>
    <xf numFmtId="0" fontId="2" fillId="8" borderId="13" xfId="5" applyFont="1" applyBorder="1">
      <alignment horizontal="center" vertical="center"/>
      <protection locked="0"/>
    </xf>
    <xf numFmtId="0" fontId="2" fillId="2" borderId="0" xfId="0" quotePrefix="1" applyFont="1" applyFill="1" applyBorder="1" applyAlignment="1">
      <alignment horizontal="right"/>
    </xf>
    <xf numFmtId="0" fontId="20" fillId="0" borderId="0" xfId="0" applyFont="1" applyFill="1" applyBorder="1"/>
    <xf numFmtId="0" fontId="27" fillId="2" borderId="0" xfId="0" applyFont="1" applyFill="1" applyBorder="1"/>
    <xf numFmtId="0" fontId="2" fillId="8" borderId="1" xfId="5" applyFont="1" applyBorder="1">
      <alignment horizontal="center" vertical="center"/>
      <protection locked="0"/>
    </xf>
    <xf numFmtId="0" fontId="2" fillId="2" borderId="41" xfId="0" applyFont="1" applyFill="1" applyBorder="1" applyAlignment="1">
      <alignment horizontal="center"/>
    </xf>
    <xf numFmtId="0" fontId="36" fillId="8" borderId="1" xfId="5" applyBorder="1">
      <alignment horizontal="center" vertical="center"/>
      <protection locked="0"/>
    </xf>
    <xf numFmtId="0" fontId="2" fillId="0" borderId="5" xfId="0" applyFont="1" applyFill="1" applyBorder="1" applyAlignment="1">
      <alignment horizontal="right"/>
    </xf>
    <xf numFmtId="0" fontId="2" fillId="0" borderId="7" xfId="0" applyFont="1" applyFill="1" applyBorder="1" applyAlignment="1">
      <alignment horizontal="right"/>
    </xf>
    <xf numFmtId="0" fontId="2" fillId="0" borderId="10" xfId="0" applyFont="1" applyFill="1" applyBorder="1" applyAlignment="1">
      <alignment horizontal="right"/>
    </xf>
    <xf numFmtId="0" fontId="0" fillId="2" borderId="13" xfId="0" applyNumberFormat="1" applyFill="1" applyBorder="1" applyAlignment="1">
      <alignment horizontal="center" vertical="center"/>
    </xf>
    <xf numFmtId="0" fontId="2" fillId="2" borderId="25" xfId="0" applyFont="1" applyFill="1" applyBorder="1" applyAlignment="1">
      <alignment horizontal="right"/>
    </xf>
    <xf numFmtId="0" fontId="0" fillId="0" borderId="25" xfId="0" applyBorder="1"/>
    <xf numFmtId="0" fontId="0" fillId="2" borderId="7" xfId="0" applyFill="1" applyBorder="1" applyAlignment="1">
      <alignment horizontal="center" vertical="center"/>
    </xf>
    <xf numFmtId="0" fontId="20" fillId="3" borderId="24" xfId="0" applyFont="1" applyFill="1" applyBorder="1"/>
    <xf numFmtId="0" fontId="0" fillId="0" borderId="0" xfId="0" applyFont="1" applyFill="1" applyAlignment="1">
      <alignment horizontal="right"/>
    </xf>
    <xf numFmtId="0" fontId="2" fillId="6" borderId="13" xfId="0" applyFont="1" applyFill="1" applyBorder="1" applyAlignment="1" applyProtection="1">
      <alignment horizontal="center" vertical="center"/>
      <protection locked="0"/>
    </xf>
    <xf numFmtId="0" fontId="2" fillId="2" borderId="0" xfId="3">
      <alignment horizontal="center"/>
    </xf>
    <xf numFmtId="0" fontId="2" fillId="0" borderId="0" xfId="2"/>
    <xf numFmtId="0" fontId="2" fillId="2" borderId="24" xfId="3" applyBorder="1">
      <alignment horizontal="center"/>
    </xf>
    <xf numFmtId="2" fontId="0" fillId="2" borderId="42" xfId="0" applyNumberFormat="1" applyFill="1" applyBorder="1" applyAlignment="1">
      <alignment horizontal="center" vertical="center"/>
    </xf>
    <xf numFmtId="2" fontId="0" fillId="2" borderId="30" xfId="0" applyNumberFormat="1" applyFill="1" applyBorder="1" applyAlignment="1">
      <alignment horizontal="center" vertical="center"/>
    </xf>
    <xf numFmtId="2" fontId="0" fillId="2" borderId="43" xfId="0" applyNumberFormat="1" applyFill="1" applyBorder="1" applyAlignment="1">
      <alignment horizontal="center" vertical="center"/>
    </xf>
    <xf numFmtId="0" fontId="2" fillId="0" borderId="1" xfId="6" applyBorder="1" applyAlignment="1">
      <alignment horizontal="center"/>
    </xf>
    <xf numFmtId="0" fontId="2" fillId="2" borderId="7" xfId="3" applyBorder="1">
      <alignment horizontal="center"/>
    </xf>
    <xf numFmtId="0" fontId="2" fillId="2" borderId="28" xfId="3" applyBorder="1">
      <alignment horizontal="center"/>
    </xf>
    <xf numFmtId="0" fontId="7" fillId="2" borderId="31" xfId="0" applyFont="1" applyFill="1" applyBorder="1" applyAlignment="1">
      <alignment horizontal="center" vertical="center"/>
    </xf>
    <xf numFmtId="0" fontId="7" fillId="2" borderId="12" xfId="0" applyFont="1" applyFill="1" applyBorder="1" applyAlignment="1">
      <alignment horizontal="center" vertical="center"/>
    </xf>
    <xf numFmtId="0" fontId="20" fillId="11" borderId="22" xfId="0" applyFont="1" applyFill="1" applyBorder="1"/>
    <xf numFmtId="0" fontId="0" fillId="11" borderId="23" xfId="0" applyFill="1" applyBorder="1"/>
    <xf numFmtId="0" fontId="27" fillId="2" borderId="23" xfId="0" applyFont="1" applyFill="1" applyBorder="1"/>
    <xf numFmtId="49" fontId="2" fillId="2" borderId="11" xfId="0" applyNumberFormat="1" applyFont="1" applyFill="1" applyBorder="1" applyAlignment="1">
      <alignment horizontal="center" vertical="center"/>
    </xf>
    <xf numFmtId="0" fontId="0" fillId="0" borderId="20" xfId="0" applyFill="1" applyBorder="1"/>
    <xf numFmtId="0" fontId="2" fillId="2" borderId="1" xfId="3" applyBorder="1" applyAlignment="1">
      <alignment horizontal="center"/>
    </xf>
    <xf numFmtId="0" fontId="36" fillId="8" borderId="1" xfId="5" applyBorder="1" applyAlignment="1">
      <alignment horizontal="center" vertical="center"/>
      <protection locked="0"/>
    </xf>
    <xf numFmtId="0" fontId="2" fillId="0" borderId="1" xfId="2" applyBorder="1" applyAlignment="1">
      <alignment horizontal="center"/>
    </xf>
    <xf numFmtId="0" fontId="36" fillId="8" borderId="1" xfId="5" applyAlignment="1">
      <alignment horizontal="center" vertical="center"/>
      <protection locked="0"/>
    </xf>
    <xf numFmtId="0" fontId="2" fillId="0" borderId="12" xfId="6" applyAlignment="1">
      <alignment horizontal="center"/>
    </xf>
    <xf numFmtId="0" fontId="2" fillId="2" borderId="0" xfId="3" applyAlignment="1">
      <alignment horizontal="right"/>
    </xf>
    <xf numFmtId="0" fontId="39" fillId="3" borderId="12" xfId="6" applyFont="1" applyFill="1"/>
    <xf numFmtId="2" fontId="2" fillId="0" borderId="1" xfId="0" applyNumberFormat="1" applyFont="1" applyFill="1" applyBorder="1" applyAlignment="1">
      <alignment horizontal="center"/>
    </xf>
    <xf numFmtId="2" fontId="0" fillId="0" borderId="1" xfId="0" applyNumberFormat="1" applyFill="1" applyBorder="1" applyAlignment="1">
      <alignment horizontal="center"/>
    </xf>
    <xf numFmtId="2" fontId="0" fillId="2" borderId="20" xfId="0" applyNumberFormat="1" applyFill="1" applyBorder="1" applyAlignment="1">
      <alignment horizontal="center"/>
    </xf>
    <xf numFmtId="2" fontId="36" fillId="8" borderId="1" xfId="5" applyNumberFormat="1">
      <alignment horizontal="center" vertical="center"/>
      <protection locked="0"/>
    </xf>
    <xf numFmtId="0" fontId="0" fillId="2" borderId="44" xfId="0" applyFill="1" applyBorder="1"/>
    <xf numFmtId="2" fontId="2" fillId="0" borderId="1" xfId="0" applyNumberFormat="1" applyFont="1" applyFill="1" applyBorder="1" applyAlignment="1" applyProtection="1">
      <alignment horizontal="center" vertical="center"/>
    </xf>
    <xf numFmtId="0" fontId="39" fillId="0" borderId="0" xfId="0" applyFont="1"/>
    <xf numFmtId="0" fontId="27" fillId="2" borderId="0" xfId="0" applyFont="1" applyFill="1" applyBorder="1" applyAlignment="1">
      <alignment horizontal="right"/>
    </xf>
    <xf numFmtId="0" fontId="18" fillId="0" borderId="0" xfId="0" applyFont="1" applyFill="1" applyBorder="1" applyProtection="1"/>
    <xf numFmtId="0" fontId="40" fillId="0" borderId="0" xfId="0" applyFont="1"/>
    <xf numFmtId="0" fontId="39" fillId="0" borderId="0" xfId="0" applyFont="1" applyBorder="1"/>
    <xf numFmtId="0" fontId="0" fillId="2" borderId="0" xfId="0" applyFill="1" applyBorder="1"/>
    <xf numFmtId="0" fontId="2" fillId="2" borderId="0" xfId="0" applyFont="1" applyFill="1" applyBorder="1" applyAlignment="1">
      <alignment horizontal="right" vertical="center"/>
    </xf>
    <xf numFmtId="0" fontId="0" fillId="2" borderId="23" xfId="0" applyFill="1" applyBorder="1"/>
    <xf numFmtId="0" fontId="0" fillId="2" borderId="24" xfId="0" applyFill="1" applyBorder="1"/>
    <xf numFmtId="0" fontId="0" fillId="2" borderId="26" xfId="0" applyFill="1" applyBorder="1"/>
    <xf numFmtId="0" fontId="0" fillId="2" borderId="25" xfId="0" applyFill="1" applyBorder="1"/>
    <xf numFmtId="0" fontId="0" fillId="2" borderId="28" xfId="0" applyFill="1" applyBorder="1"/>
    <xf numFmtId="0" fontId="0" fillId="2" borderId="29" xfId="0" applyFill="1" applyBorder="1"/>
    <xf numFmtId="0" fontId="0" fillId="2" borderId="27" xfId="0" applyFill="1" applyBorder="1"/>
    <xf numFmtId="0" fontId="20" fillId="7" borderId="22" xfId="0" applyFont="1" applyFill="1" applyBorder="1"/>
    <xf numFmtId="0" fontId="44" fillId="2" borderId="0" xfId="0" applyFont="1" applyFill="1" applyBorder="1"/>
    <xf numFmtId="0" fontId="44" fillId="2" borderId="0" xfId="0" applyFont="1" applyFill="1" applyBorder="1" applyAlignment="1">
      <alignment horizontal="right" vertical="center"/>
    </xf>
    <xf numFmtId="0" fontId="0" fillId="0" borderId="0" xfId="0"/>
    <xf numFmtId="0" fontId="0" fillId="2" borderId="0" xfId="0" applyFill="1"/>
    <xf numFmtId="0" fontId="0" fillId="2" borderId="0" xfId="0" applyFill="1" applyBorder="1"/>
    <xf numFmtId="0" fontId="0" fillId="2" borderId="28" xfId="0" applyFill="1" applyBorder="1"/>
    <xf numFmtId="0" fontId="2" fillId="2" borderId="0" xfId="0" applyFont="1" applyFill="1" applyBorder="1"/>
    <xf numFmtId="0" fontId="39" fillId="0" borderId="0" xfId="0" applyFont="1"/>
    <xf numFmtId="0" fontId="44" fillId="2" borderId="0" xfId="0" applyFont="1" applyFill="1" applyBorder="1"/>
    <xf numFmtId="0" fontId="2" fillId="2" borderId="25" xfId="0" applyFont="1" applyFill="1" applyBorder="1" applyAlignment="1">
      <alignment horizontal="center" vertical="center"/>
    </xf>
    <xf numFmtId="0" fontId="2" fillId="2" borderId="25" xfId="0" applyFont="1" applyFill="1" applyBorder="1"/>
    <xf numFmtId="0" fontId="45" fillId="2" borderId="0" xfId="1" applyFont="1" applyFill="1" applyBorder="1" applyAlignment="1" applyProtection="1">
      <alignment horizontal="left"/>
    </xf>
    <xf numFmtId="0" fontId="2" fillId="2" borderId="32" xfId="0" applyFont="1" applyFill="1" applyBorder="1" applyAlignment="1">
      <alignment horizontal="right" vertical="center"/>
    </xf>
    <xf numFmtId="0" fontId="0" fillId="3" borderId="20" xfId="0" applyFill="1" applyBorder="1" applyAlignment="1" applyProtection="1">
      <alignment horizontal="center" vertical="center"/>
      <protection locked="0"/>
    </xf>
    <xf numFmtId="0" fontId="39" fillId="3" borderId="31" xfId="6" applyFont="1" applyFill="1" applyBorder="1"/>
    <xf numFmtId="0" fontId="41" fillId="2" borderId="24" xfId="0" applyFont="1" applyFill="1" applyBorder="1" applyAlignment="1">
      <alignment vertical="top" wrapText="1"/>
    </xf>
    <xf numFmtId="0" fontId="0" fillId="3" borderId="11" xfId="0" applyFill="1" applyBorder="1" applyAlignment="1" applyProtection="1">
      <alignment horizontal="center" vertical="center"/>
      <protection locked="0"/>
    </xf>
    <xf numFmtId="0" fontId="2" fillId="2" borderId="0" xfId="0" applyFont="1" applyFill="1" applyBorder="1" applyAlignment="1">
      <alignment horizontal="center" vertical="center"/>
    </xf>
    <xf numFmtId="0" fontId="13" fillId="2" borderId="24" xfId="1" applyFont="1" applyFill="1" applyBorder="1" applyAlignment="1" applyProtection="1">
      <alignment vertical="center" wrapText="1"/>
    </xf>
    <xf numFmtId="0" fontId="13" fillId="2" borderId="26" xfId="1" applyFont="1" applyFill="1" applyBorder="1" applyAlignment="1" applyProtection="1">
      <alignment vertical="center" wrapText="1"/>
    </xf>
    <xf numFmtId="165" fontId="0" fillId="0" borderId="11" xfId="0" applyNumberFormat="1" applyFill="1" applyBorder="1" applyAlignment="1" applyProtection="1">
      <alignment horizontal="center" vertical="center"/>
    </xf>
    <xf numFmtId="165" fontId="0" fillId="0" borderId="1" xfId="0" applyNumberFormat="1" applyFill="1" applyBorder="1" applyAlignment="1" applyProtection="1">
      <alignment horizontal="center" vertical="center"/>
    </xf>
    <xf numFmtId="0" fontId="2" fillId="2" borderId="23" xfId="0" quotePrefix="1" applyFont="1" applyFill="1" applyBorder="1" applyAlignment="1">
      <alignment horizontal="right"/>
    </xf>
    <xf numFmtId="2" fontId="36" fillId="8" borderId="15" xfId="5" applyNumberFormat="1" applyBorder="1">
      <alignment horizontal="center" vertical="center"/>
      <protection locked="0"/>
    </xf>
    <xf numFmtId="0" fontId="45" fillId="2" borderId="23" xfId="1" applyFont="1" applyFill="1" applyBorder="1" applyAlignment="1" applyProtection="1">
      <alignment wrapText="1"/>
    </xf>
    <xf numFmtId="0" fontId="45" fillId="2" borderId="0" xfId="1" applyFont="1" applyFill="1" applyBorder="1" applyAlignment="1" applyProtection="1">
      <alignment horizontal="left" wrapText="1"/>
    </xf>
    <xf numFmtId="0" fontId="44" fillId="3" borderId="0" xfId="0" applyFont="1" applyFill="1" applyBorder="1"/>
    <xf numFmtId="0" fontId="44" fillId="3" borderId="23" xfId="0" applyFont="1" applyFill="1" applyBorder="1"/>
    <xf numFmtId="0" fontId="0" fillId="11" borderId="0" xfId="0" applyFill="1"/>
    <xf numFmtId="0" fontId="19" fillId="3" borderId="24" xfId="0" applyFont="1" applyFill="1" applyBorder="1"/>
    <xf numFmtId="0" fontId="0" fillId="3" borderId="24" xfId="0" applyFill="1" applyBorder="1"/>
    <xf numFmtId="0" fontId="2" fillId="3" borderId="24" xfId="3" applyFill="1" applyBorder="1">
      <alignment horizontal="center"/>
    </xf>
    <xf numFmtId="0" fontId="2" fillId="3" borderId="24" xfId="2" applyFill="1" applyBorder="1"/>
    <xf numFmtId="0" fontId="34" fillId="3" borderId="24" xfId="0" applyFont="1" applyFill="1" applyBorder="1" applyAlignment="1">
      <alignment vertical="top" wrapText="1"/>
    </xf>
    <xf numFmtId="0" fontId="2" fillId="3" borderId="0" xfId="3" applyFill="1">
      <alignment horizontal="center"/>
    </xf>
    <xf numFmtId="0" fontId="13" fillId="3" borderId="24" xfId="1" applyFont="1" applyFill="1" applyBorder="1" applyAlignment="1" applyProtection="1"/>
    <xf numFmtId="0" fontId="2" fillId="2" borderId="25" xfId="0" applyFont="1" applyFill="1" applyBorder="1" applyAlignment="1">
      <alignment vertical="top" wrapText="1"/>
    </xf>
    <xf numFmtId="0" fontId="32" fillId="6" borderId="47" xfId="0" applyFont="1" applyFill="1" applyBorder="1" applyAlignment="1" applyProtection="1">
      <alignment horizontal="center" vertical="top"/>
      <protection locked="0"/>
    </xf>
    <xf numFmtId="0" fontId="32" fillId="6" borderId="49" xfId="0" applyFont="1" applyFill="1" applyBorder="1" applyAlignment="1" applyProtection="1">
      <alignment horizontal="center" vertical="top"/>
      <protection locked="0"/>
    </xf>
    <xf numFmtId="0" fontId="47" fillId="2" borderId="0" xfId="1" applyFont="1" applyFill="1" applyBorder="1" applyAlignment="1" applyProtection="1"/>
    <xf numFmtId="0" fontId="13" fillId="0" borderId="0" xfId="1" applyAlignment="1" applyProtection="1"/>
    <xf numFmtId="0" fontId="13" fillId="5" borderId="0" xfId="1" applyFill="1" applyAlignment="1" applyProtection="1"/>
    <xf numFmtId="0" fontId="35" fillId="0" borderId="22"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27" xfId="0" applyFont="1" applyBorder="1" applyAlignment="1">
      <alignment horizontal="center" vertical="center" wrapText="1"/>
    </xf>
    <xf numFmtId="0" fontId="35" fillId="0" borderId="24" xfId="0" applyFont="1" applyBorder="1" applyAlignment="1">
      <alignment horizontal="center" vertical="center" wrapText="1"/>
    </xf>
    <xf numFmtId="0" fontId="35" fillId="0" borderId="0" xfId="0" applyFont="1" applyBorder="1" applyAlignment="1">
      <alignment horizontal="center" vertical="center" wrapText="1"/>
    </xf>
    <xf numFmtId="0" fontId="35" fillId="0" borderId="28" xfId="0" applyFont="1" applyBorder="1" applyAlignment="1">
      <alignment horizontal="center" vertical="center" wrapText="1"/>
    </xf>
    <xf numFmtId="0" fontId="35" fillId="0" borderId="26"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29" xfId="0" applyFont="1" applyBorder="1" applyAlignment="1">
      <alignment horizontal="center" vertical="center" wrapText="1"/>
    </xf>
    <xf numFmtId="0" fontId="8" fillId="2" borderId="0" xfId="0" applyFont="1" applyFill="1" applyBorder="1" applyAlignment="1">
      <alignment horizontal="left" wrapText="1"/>
    </xf>
    <xf numFmtId="0" fontId="8" fillId="2" borderId="7" xfId="0" applyFont="1" applyFill="1" applyBorder="1" applyAlignment="1">
      <alignment horizontal="left" wrapText="1"/>
    </xf>
    <xf numFmtId="0" fontId="12" fillId="3" borderId="0" xfId="0" applyFont="1" applyFill="1" applyBorder="1" applyAlignment="1" applyProtection="1">
      <alignment horizontal="center" vertical="center"/>
    </xf>
    <xf numFmtId="0" fontId="45" fillId="2" borderId="0" xfId="1" applyFont="1" applyFill="1" applyBorder="1" applyAlignment="1" applyProtection="1">
      <alignment horizontal="left"/>
    </xf>
    <xf numFmtId="0" fontId="20" fillId="5" borderId="50" xfId="0" applyFont="1" applyFill="1" applyBorder="1" applyAlignment="1">
      <alignment horizontal="left" wrapText="1"/>
    </xf>
    <xf numFmtId="0" fontId="0" fillId="5" borderId="51" xfId="0" applyFill="1" applyBorder="1" applyAlignment="1">
      <alignment horizontal="left" wrapText="1"/>
    </xf>
    <xf numFmtId="0" fontId="0" fillId="5" borderId="47" xfId="0" applyFill="1" applyBorder="1" applyAlignment="1">
      <alignment horizontal="left" wrapText="1"/>
    </xf>
    <xf numFmtId="0" fontId="16" fillId="4" borderId="22" xfId="0" applyFont="1" applyFill="1" applyBorder="1" applyAlignment="1" applyProtection="1">
      <alignment horizontal="left" vertical="center"/>
    </xf>
    <xf numFmtId="0" fontId="16" fillId="4" borderId="23" xfId="0" applyFont="1" applyFill="1" applyBorder="1" applyAlignment="1" applyProtection="1">
      <alignment horizontal="left" vertical="center"/>
    </xf>
    <xf numFmtId="0" fontId="2" fillId="2" borderId="6" xfId="0" applyFont="1" applyFill="1" applyBorder="1" applyAlignment="1">
      <alignment horizontal="left" vertical="center" wrapText="1"/>
    </xf>
    <xf numFmtId="0" fontId="2" fillId="2" borderId="0" xfId="0" applyFont="1" applyFill="1" applyAlignment="1">
      <alignment horizontal="left" vertical="center" wrapText="1"/>
    </xf>
    <xf numFmtId="0" fontId="13" fillId="3" borderId="24" xfId="1" applyFill="1" applyBorder="1" applyAlignment="1" applyProtection="1">
      <alignment horizontal="left" vertical="top" wrapText="1"/>
    </xf>
    <xf numFmtId="0" fontId="43" fillId="2" borderId="24" xfId="0" applyFont="1" applyFill="1" applyBorder="1" applyAlignment="1">
      <alignment horizontal="left" vertical="top" wrapText="1"/>
    </xf>
    <xf numFmtId="0" fontId="13" fillId="0" borderId="0" xfId="1" applyAlignment="1" applyProtection="1">
      <alignment wrapText="1"/>
    </xf>
    <xf numFmtId="0" fontId="43" fillId="2" borderId="23" xfId="1" applyFont="1" applyFill="1" applyBorder="1" applyAlignment="1" applyProtection="1">
      <alignment horizontal="left" wrapText="1"/>
    </xf>
    <xf numFmtId="0" fontId="43" fillId="2" borderId="0" xfId="1" applyFont="1" applyFill="1" applyBorder="1" applyAlignment="1" applyProtection="1">
      <alignment horizontal="left" wrapText="1"/>
    </xf>
    <xf numFmtId="0" fontId="46" fillId="5" borderId="45" xfId="0" applyFont="1" applyFill="1" applyBorder="1" applyAlignment="1">
      <alignment horizontal="left" vertical="top" wrapText="1"/>
    </xf>
    <xf numFmtId="0" fontId="46" fillId="5" borderId="46" xfId="0" applyFont="1" applyFill="1" applyBorder="1" applyAlignment="1">
      <alignment horizontal="left" vertical="top" wrapText="1"/>
    </xf>
    <xf numFmtId="0" fontId="46" fillId="5" borderId="48" xfId="0" applyFont="1" applyFill="1" applyBorder="1" applyAlignment="1">
      <alignment horizontal="left" vertical="top" wrapText="1"/>
    </xf>
    <xf numFmtId="0" fontId="13" fillId="2" borderId="0" xfId="1" applyFill="1" applyBorder="1" applyAlignment="1" applyProtection="1">
      <alignment horizontal="left" wrapText="1"/>
    </xf>
    <xf numFmtId="0" fontId="23" fillId="0" borderId="0" xfId="0" applyFont="1" applyFill="1" applyAlignment="1">
      <alignment horizontal="center"/>
    </xf>
    <xf numFmtId="0" fontId="24" fillId="0" borderId="0" xfId="0" applyFont="1" applyFill="1" applyAlignment="1">
      <alignment horizontal="center"/>
    </xf>
    <xf numFmtId="0" fontId="3" fillId="0" borderId="0" xfId="0" applyFont="1" applyFill="1" applyAlignment="1">
      <alignment horizontal="center"/>
    </xf>
  </cellXfs>
  <cellStyles count="11">
    <cellStyle name="ENTER VALUE" xfId="5"/>
    <cellStyle name="ENTER VALUE 2" xfId="9"/>
    <cellStyle name="ENTER VALUE 3" xfId="8"/>
    <cellStyle name="ENTER VALUE 4" xfId="7"/>
    <cellStyle name="Hyperlink" xfId="1" builtinId="8"/>
    <cellStyle name="Normal" xfId="0" builtinId="0"/>
    <cellStyle name="Normal 2" xfId="2"/>
    <cellStyle name="Normal 3" xfId="10"/>
    <cellStyle name="Style 1" xfId="3"/>
    <cellStyle name="Style 2" xfId="4"/>
    <cellStyle name="UNIT" xfId="6"/>
  </cellStyles>
  <dxfs count="23">
    <dxf>
      <fill>
        <patternFill>
          <bgColor rgb="FFFF0000"/>
        </patternFill>
      </fill>
    </dxf>
    <dxf>
      <font>
        <color auto="1"/>
      </font>
      <fill>
        <patternFill>
          <bgColor rgb="FFFFFF0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border>
        <left style="thin">
          <color auto="1"/>
        </left>
        <right style="thin">
          <color auto="1"/>
        </right>
        <top style="thin">
          <color auto="1"/>
        </top>
        <bottom style="thin">
          <color auto="1"/>
        </bottom>
      </border>
    </dxf>
    <dxf>
      <font>
        <strike val="0"/>
        <color theme="0"/>
      </font>
      <fill>
        <patternFill patternType="none">
          <bgColor auto="1"/>
        </patternFill>
      </fill>
    </dxf>
    <dxf>
      <font>
        <color theme="0"/>
      </font>
      <fill>
        <patternFill>
          <fgColor theme="0"/>
          <bgColor theme="0"/>
        </patternFill>
      </fill>
    </dxf>
    <dxf>
      <font>
        <strike val="0"/>
        <color theme="0"/>
      </font>
      <fill>
        <patternFill patternType="none">
          <bgColor auto="1"/>
        </patternFill>
      </fill>
    </dxf>
    <dxf>
      <font>
        <color theme="0"/>
      </font>
      <fill>
        <patternFill patternType="solid">
          <bgColor theme="0"/>
        </patternFill>
      </fill>
      <border>
        <left/>
        <right/>
      </border>
    </dxf>
    <dxf>
      <font>
        <color theme="0"/>
      </font>
    </dxf>
  </dxfs>
  <tableStyles count="0" defaultTableStyle="TableStyleMedium9" defaultPivotStyle="PivotStyleLight16"/>
  <colors>
    <mruColors>
      <color rgb="FF0000FF"/>
      <color rgb="FFFF5050"/>
      <color rgb="FF0053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image" Target="../media/image7.jpeg"/><Relationship Id="rId13" Type="http://schemas.openxmlformats.org/officeDocument/2006/relationships/hyperlink" Target="https://training.ti.com/node/1133677" TargetMode="External"/><Relationship Id="rId18" Type="http://schemas.openxmlformats.org/officeDocument/2006/relationships/image" Target="../media/image14.png"/><Relationship Id="rId3" Type="http://schemas.openxmlformats.org/officeDocument/2006/relationships/image" Target="../media/image2.png"/><Relationship Id="rId21" Type="http://schemas.openxmlformats.org/officeDocument/2006/relationships/hyperlink" Target="http://www.ti.com/power-management/protection-monitoring-hot-swap/controllers/support-training.html#videos" TargetMode="External"/><Relationship Id="rId7" Type="http://schemas.openxmlformats.org/officeDocument/2006/relationships/image" Target="../media/image6.gif"/><Relationship Id="rId12" Type="http://schemas.openxmlformats.org/officeDocument/2006/relationships/image" Target="../media/image11.png"/><Relationship Id="rId17" Type="http://schemas.openxmlformats.org/officeDocument/2006/relationships/hyperlink" Target="https://training.ti.com/node/1133673" TargetMode="External"/><Relationship Id="rId2" Type="http://schemas.openxmlformats.org/officeDocument/2006/relationships/hyperlink" Target="http://www.ti.com/" TargetMode="External"/><Relationship Id="rId16" Type="http://schemas.openxmlformats.org/officeDocument/2006/relationships/image" Target="../media/image13.png"/><Relationship Id="rId20" Type="http://schemas.openxmlformats.org/officeDocument/2006/relationships/image" Target="../media/image15.png"/><Relationship Id="rId1" Type="http://schemas.openxmlformats.org/officeDocument/2006/relationships/hyperlink" Target="http://www.ti.com/lit/gpn/lm5060" TargetMode="External"/><Relationship Id="rId6" Type="http://schemas.openxmlformats.org/officeDocument/2006/relationships/image" Target="../media/image5.gif"/><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hyperlink" Target="https://training.ti.com/node/1133681" TargetMode="External"/><Relationship Id="rId10" Type="http://schemas.openxmlformats.org/officeDocument/2006/relationships/image" Target="../media/image9.png"/><Relationship Id="rId19" Type="http://schemas.openxmlformats.org/officeDocument/2006/relationships/hyperlink" Target="https://training.ti.com/node/1133664" TargetMode="External"/><Relationship Id="rId4" Type="http://schemas.openxmlformats.org/officeDocument/2006/relationships/image" Target="../media/image3.emf"/><Relationship Id="rId9" Type="http://schemas.openxmlformats.org/officeDocument/2006/relationships/image" Target="../media/image8.png"/><Relationship Id="rId14" Type="http://schemas.openxmlformats.org/officeDocument/2006/relationships/image" Target="../media/image12.png"/><Relationship Id="rId22"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104775</xdr:rowOff>
    </xdr:from>
    <xdr:to>
      <xdr:col>15</xdr:col>
      <xdr:colOff>581025</xdr:colOff>
      <xdr:row>5</xdr:row>
      <xdr:rowOff>38100</xdr:rowOff>
    </xdr:to>
    <xdr:sp macro="" textlink="">
      <xdr:nvSpPr>
        <xdr:cNvPr id="2" name="Rectangle 1"/>
        <xdr:cNvSpPr>
          <a:spLocks noChangeArrowheads="1"/>
        </xdr:cNvSpPr>
      </xdr:nvSpPr>
      <xdr:spPr bwMode="auto">
        <a:xfrm>
          <a:off x="0" y="257175"/>
          <a:ext cx="9725025" cy="93345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142875</xdr:colOff>
      <xdr:row>2</xdr:row>
      <xdr:rowOff>28575</xdr:rowOff>
    </xdr:from>
    <xdr:to>
      <xdr:col>4</xdr:col>
      <xdr:colOff>28575</xdr:colOff>
      <xdr:row>4</xdr:row>
      <xdr:rowOff>133350</xdr:rowOff>
    </xdr:to>
    <xdr:pic>
      <xdr:nvPicPr>
        <xdr:cNvPr id="4"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342900"/>
          <a:ext cx="23241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64769</xdr:colOff>
      <xdr:row>1</xdr:row>
      <xdr:rowOff>104775</xdr:rowOff>
    </xdr:from>
    <xdr:to>
      <xdr:col>7</xdr:col>
      <xdr:colOff>19050</xdr:colOff>
      <xdr:row>7</xdr:row>
      <xdr:rowOff>0</xdr:rowOff>
    </xdr:to>
    <xdr:sp macro="" textlink="">
      <xdr:nvSpPr>
        <xdr:cNvPr id="1025" name="Text Box 1">
          <a:hlinkClick xmlns:r="http://schemas.openxmlformats.org/officeDocument/2006/relationships" r:id="rId1"/>
        </xdr:cNvPr>
        <xdr:cNvSpPr txBox="1">
          <a:spLocks noChangeArrowheads="1"/>
        </xdr:cNvSpPr>
      </xdr:nvSpPr>
      <xdr:spPr bwMode="auto">
        <a:xfrm>
          <a:off x="64769" y="876300"/>
          <a:ext cx="6497956" cy="9048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1" i="0" u="sng" strike="noStrike" baseline="0">
              <a:solidFill>
                <a:srgbClr val="FF0000"/>
              </a:solidFill>
              <a:latin typeface="Arial"/>
              <a:cs typeface="Arial"/>
            </a:rPr>
            <a:t>Note</a:t>
          </a: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The components calculated in this worksheet are reasonable starting values for a design using the LM5060 Hot-swap Controller. As such, they are not optimized for any particular performance attribute. Tolerances of the components are not included in the calculations. See the Instructions tab for additional information.</a:t>
          </a:r>
        </a:p>
        <a:p>
          <a:pPr algn="l" rtl="0">
            <a:defRPr sz="1000"/>
          </a:pPr>
          <a:r>
            <a:rPr lang="en-US" sz="1200" b="1" i="0" u="none" strike="noStrike" baseline="0">
              <a:solidFill>
                <a:sysClr val="windowText" lastClr="000000"/>
              </a:solidFill>
              <a:latin typeface="Arial"/>
              <a:cs typeface="Arial"/>
            </a:rPr>
            <a:t>Consult the LM5060 datasheet for more detail.</a:t>
          </a:r>
        </a:p>
      </xdr:txBody>
    </xdr:sp>
    <xdr:clientData/>
  </xdr:twoCellAnchor>
  <xdr:twoCellAnchor>
    <xdr:from>
      <xdr:col>39</xdr:col>
      <xdr:colOff>0</xdr:colOff>
      <xdr:row>51</xdr:row>
      <xdr:rowOff>0</xdr:rowOff>
    </xdr:from>
    <xdr:to>
      <xdr:col>39</xdr:col>
      <xdr:colOff>0</xdr:colOff>
      <xdr:row>53</xdr:row>
      <xdr:rowOff>0</xdr:rowOff>
    </xdr:to>
    <xdr:sp macro="" textlink="">
      <xdr:nvSpPr>
        <xdr:cNvPr id="1056" name="Text Box 32"/>
        <xdr:cNvSpPr txBox="1">
          <a:spLocks noChangeArrowheads="1"/>
        </xdr:cNvSpPr>
      </xdr:nvSpPr>
      <xdr:spPr bwMode="auto">
        <a:xfrm>
          <a:off x="16821150" y="4267200"/>
          <a:ext cx="2276475" cy="8477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Max R</a:t>
          </a:r>
          <a:r>
            <a:rPr lang="en-US" sz="1000" b="0" i="0" u="none" strike="noStrike" baseline="-25000">
              <a:solidFill>
                <a:srgbClr val="000000"/>
              </a:solidFill>
              <a:latin typeface="Arial"/>
              <a:cs typeface="Arial"/>
            </a:rPr>
            <a:t>S</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45 mV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(Max Load Current x 1.01)</a:t>
          </a:r>
        </a:p>
        <a:p>
          <a:pPr algn="l" rtl="0">
            <a:defRPr sz="1000"/>
          </a:pPr>
          <a:endParaRPr lang="en-US" sz="10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The 1.01 factor provides 1% margin from the max. normal load current.</a:t>
          </a:r>
        </a:p>
      </xdr:txBody>
    </xdr:sp>
    <xdr:clientData/>
  </xdr:twoCellAnchor>
  <xdr:twoCellAnchor editAs="oneCell">
    <xdr:from>
      <xdr:col>0</xdr:col>
      <xdr:colOff>76200</xdr:colOff>
      <xdr:row>0</xdr:row>
      <xdr:rowOff>171450</xdr:rowOff>
    </xdr:from>
    <xdr:to>
      <xdr:col>1</xdr:col>
      <xdr:colOff>1657687</xdr:colOff>
      <xdr:row>0</xdr:row>
      <xdr:rowOff>609600</xdr:rowOff>
    </xdr:to>
    <xdr:pic>
      <xdr:nvPicPr>
        <xdr:cNvPr id="10" name="Picture 9">
          <a:hlinkClick xmlns:r="http://schemas.openxmlformats.org/officeDocument/2006/relationships" r:id="rId2"/>
        </xdr:cNvPr>
        <xdr:cNvPicPr/>
      </xdr:nvPicPr>
      <xdr:blipFill>
        <a:blip xmlns:r="http://schemas.openxmlformats.org/officeDocument/2006/relationships" r:embed="rId3" cstate="print"/>
        <a:srcRect r="26499"/>
        <a:stretch>
          <a:fillRect/>
        </a:stretch>
      </xdr:blipFill>
      <xdr:spPr bwMode="auto">
        <a:xfrm>
          <a:off x="76200" y="171450"/>
          <a:ext cx="1657687" cy="438150"/>
        </a:xfrm>
        <a:prstGeom prst="rect">
          <a:avLst/>
        </a:prstGeom>
        <a:noFill/>
        <a:ln w="9525">
          <a:noFill/>
          <a:miter lim="800000"/>
          <a:headEnd/>
          <a:tailEnd/>
        </a:ln>
      </xdr:spPr>
    </xdr:pic>
    <xdr:clientData/>
  </xdr:twoCellAnchor>
  <xdr:twoCellAnchor editAs="oneCell">
    <xdr:from>
      <xdr:col>5</xdr:col>
      <xdr:colOff>95251</xdr:colOff>
      <xdr:row>129</xdr:row>
      <xdr:rowOff>95251</xdr:rowOff>
    </xdr:from>
    <xdr:to>
      <xdr:col>10</xdr:col>
      <xdr:colOff>284861</xdr:colOff>
      <xdr:row>129</xdr:row>
      <xdr:rowOff>97409</xdr:rowOff>
    </xdr:to>
    <xdr:pic>
      <xdr:nvPicPr>
        <xdr:cNvPr id="3" name="Picture 216"/>
        <xdr:cNvPicPr>
          <a:picLocks noChangeAspect="1" noChangeArrowheads="1"/>
        </xdr:cNvPicPr>
      </xdr:nvPicPr>
      <xdr:blipFill>
        <a:blip xmlns:r="http://schemas.openxmlformats.org/officeDocument/2006/relationships" r:embed="rId4" cstate="print"/>
        <a:srcRect/>
        <a:stretch>
          <a:fillRect/>
        </a:stretch>
      </xdr:blipFill>
      <xdr:spPr bwMode="auto">
        <a:xfrm>
          <a:off x="5467351" y="15116176"/>
          <a:ext cx="4019549" cy="653471"/>
        </a:xfrm>
        <a:prstGeom prst="rect">
          <a:avLst/>
        </a:prstGeom>
        <a:noFill/>
      </xdr:spPr>
    </xdr:pic>
    <xdr:clientData/>
  </xdr:twoCellAnchor>
  <xdr:twoCellAnchor>
    <xdr:from>
      <xdr:col>16</xdr:col>
      <xdr:colOff>714375</xdr:colOff>
      <xdr:row>0</xdr:row>
      <xdr:rowOff>114871</xdr:rowOff>
    </xdr:from>
    <xdr:to>
      <xdr:col>16</xdr:col>
      <xdr:colOff>2247900</xdr:colOff>
      <xdr:row>0</xdr:row>
      <xdr:rowOff>516906</xdr:rowOff>
    </xdr:to>
    <xdr:pic>
      <xdr:nvPicPr>
        <xdr:cNvPr id="11" name="Picture 84"/>
        <xdr:cNvPicPr>
          <a:picLocks noChangeAspect="1" noChangeArrowheads="1"/>
        </xdr:cNvPicPr>
      </xdr:nvPicPr>
      <xdr:blipFill>
        <a:blip xmlns:r="http://schemas.openxmlformats.org/officeDocument/2006/relationships" r:embed="rId5" cstate="print"/>
        <a:srcRect/>
        <a:stretch>
          <a:fillRect/>
        </a:stretch>
      </xdr:blipFill>
      <xdr:spPr bwMode="auto">
        <a:xfrm>
          <a:off x="10982325" y="114871"/>
          <a:ext cx="1533525" cy="402035"/>
        </a:xfrm>
        <a:prstGeom prst="rect">
          <a:avLst/>
        </a:prstGeom>
        <a:noFill/>
        <a:ln w="1">
          <a:noFill/>
          <a:miter lim="800000"/>
          <a:headEnd/>
          <a:tailEnd type="none" w="med" len="med"/>
        </a:ln>
        <a:effectLst/>
      </xdr:spPr>
    </xdr:pic>
    <xdr:clientData/>
  </xdr:twoCellAnchor>
  <xdr:oneCellAnchor>
    <xdr:from>
      <xdr:col>8</xdr:col>
      <xdr:colOff>53340</xdr:colOff>
      <xdr:row>36</xdr:row>
      <xdr:rowOff>0</xdr:rowOff>
    </xdr:from>
    <xdr:ext cx="184731" cy="264560"/>
    <xdr:sp macro="" textlink="">
      <xdr:nvSpPr>
        <xdr:cNvPr id="4" name="TextBox 3"/>
        <xdr:cNvSpPr txBox="1"/>
      </xdr:nvSpPr>
      <xdr:spPr>
        <a:xfrm>
          <a:off x="7726680" y="5196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434340</xdr:colOff>
      <xdr:row>47</xdr:row>
      <xdr:rowOff>91440</xdr:rowOff>
    </xdr:from>
    <xdr:ext cx="184731" cy="264560"/>
    <xdr:sp macro="" textlink="">
      <xdr:nvSpPr>
        <xdr:cNvPr id="5" name="TextBox 4"/>
        <xdr:cNvSpPr txBox="1"/>
      </xdr:nvSpPr>
      <xdr:spPr>
        <a:xfrm>
          <a:off x="10309860" y="7741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662940</xdr:colOff>
      <xdr:row>54</xdr:row>
      <xdr:rowOff>30480</xdr:rowOff>
    </xdr:from>
    <xdr:ext cx="184731" cy="264560"/>
    <xdr:sp macro="" textlink="">
      <xdr:nvSpPr>
        <xdr:cNvPr id="2" name="TextBox 1"/>
        <xdr:cNvSpPr txBox="1"/>
      </xdr:nvSpPr>
      <xdr:spPr>
        <a:xfrm>
          <a:off x="11193780" y="9860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12</xdr:col>
      <xdr:colOff>0</xdr:colOff>
      <xdr:row>10</xdr:row>
      <xdr:rowOff>0</xdr:rowOff>
    </xdr:from>
    <xdr:to>
      <xdr:col>12</xdr:col>
      <xdr:colOff>9525</xdr:colOff>
      <xdr:row>10</xdr:row>
      <xdr:rowOff>9525</xdr:rowOff>
    </xdr:to>
    <xdr:pic>
      <xdr:nvPicPr>
        <xdr:cNvPr id="24" name="Picture 23" descr="http://d.adroll.com/cm/w/ou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3346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19050</xdr:colOff>
      <xdr:row>10</xdr:row>
      <xdr:rowOff>0</xdr:rowOff>
    </xdr:from>
    <xdr:to>
      <xdr:col>12</xdr:col>
      <xdr:colOff>28575</xdr:colOff>
      <xdr:row>10</xdr:row>
      <xdr:rowOff>9525</xdr:rowOff>
    </xdr:to>
    <xdr:sp macro="" textlink="">
      <xdr:nvSpPr>
        <xdr:cNvPr id="1351" name="AutoShape 327" descr="http://d.adroll.com/cm/x/out"/>
        <xdr:cNvSpPr>
          <a:spLocks noChangeAspect="1" noChangeArrowheads="1"/>
        </xdr:cNvSpPr>
      </xdr:nvSpPr>
      <xdr:spPr bwMode="auto">
        <a:xfrm>
          <a:off x="103536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38100</xdr:colOff>
      <xdr:row>10</xdr:row>
      <xdr:rowOff>0</xdr:rowOff>
    </xdr:from>
    <xdr:to>
      <xdr:col>12</xdr:col>
      <xdr:colOff>47625</xdr:colOff>
      <xdr:row>10</xdr:row>
      <xdr:rowOff>9525</xdr:rowOff>
    </xdr:to>
    <xdr:pic>
      <xdr:nvPicPr>
        <xdr:cNvPr id="25" name="Picture 24" descr="http://www.googleadservices.com/pagead/conversion/1011350631/?label=RVMHCInF3gYQ5_if4gM&amp;guid=ON&amp;script=0&amp;ord=7961155264590054"/>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3727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57150</xdr:colOff>
      <xdr:row>10</xdr:row>
      <xdr:rowOff>0</xdr:rowOff>
    </xdr:from>
    <xdr:to>
      <xdr:col>12</xdr:col>
      <xdr:colOff>66675</xdr:colOff>
      <xdr:row>10</xdr:row>
      <xdr:rowOff>9525</xdr:rowOff>
    </xdr:to>
    <xdr:sp macro="" textlink="">
      <xdr:nvSpPr>
        <xdr:cNvPr id="1353" name="AutoShape 329" descr="http://d.adroll.com/cm/g/out?google_nid=adroll2"/>
        <xdr:cNvSpPr>
          <a:spLocks noChangeAspect="1" noChangeArrowheads="1"/>
        </xdr:cNvSpPr>
      </xdr:nvSpPr>
      <xdr:spPr bwMode="auto">
        <a:xfrm>
          <a:off x="103917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76200</xdr:colOff>
      <xdr:row>10</xdr:row>
      <xdr:rowOff>0</xdr:rowOff>
    </xdr:from>
    <xdr:to>
      <xdr:col>12</xdr:col>
      <xdr:colOff>85725</xdr:colOff>
      <xdr:row>10</xdr:row>
      <xdr:rowOff>9525</xdr:rowOff>
    </xdr:to>
    <xdr:sp macro="" textlink="">
      <xdr:nvSpPr>
        <xdr:cNvPr id="1354" name="AutoShape 330" descr="http://ib.adnxs.com/seg?add=556715&amp;t=2"/>
        <xdr:cNvSpPr>
          <a:spLocks noChangeAspect="1" noChangeArrowheads="1"/>
        </xdr:cNvSpPr>
      </xdr:nvSpPr>
      <xdr:spPr bwMode="auto">
        <a:xfrm>
          <a:off x="1041082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421821</xdr:colOff>
      <xdr:row>2</xdr:row>
      <xdr:rowOff>95251</xdr:rowOff>
    </xdr:from>
    <xdr:to>
      <xdr:col>10</xdr:col>
      <xdr:colOff>483933</xdr:colOff>
      <xdr:row>10</xdr:row>
      <xdr:rowOff>121104</xdr:rowOff>
    </xdr:to>
    <xdr:pic>
      <xdr:nvPicPr>
        <xdr:cNvPr id="36" name="Picture 35" descr="High-Side Protection Controller with Low Quiescent Current - LM5060"/>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482586" y="1058957"/>
          <a:ext cx="1974582" cy="14079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171145</xdr:colOff>
      <xdr:row>99</xdr:row>
      <xdr:rowOff>163068</xdr:rowOff>
    </xdr:from>
    <xdr:to>
      <xdr:col>4</xdr:col>
      <xdr:colOff>762000</xdr:colOff>
      <xdr:row>115</xdr:row>
      <xdr:rowOff>68072</xdr:rowOff>
    </xdr:to>
    <xdr:pic>
      <xdr:nvPicPr>
        <xdr:cNvPr id="6" name="Picture 5"/>
        <xdr:cNvPicPr>
          <a:picLocks noChangeAspect="1"/>
        </xdr:cNvPicPr>
      </xdr:nvPicPr>
      <xdr:blipFill>
        <a:blip xmlns:r="http://schemas.openxmlformats.org/officeDocument/2006/relationships" r:embed="rId9"/>
        <a:stretch>
          <a:fillRect/>
        </a:stretch>
      </xdr:blipFill>
      <xdr:spPr>
        <a:xfrm>
          <a:off x="201625" y="15882039"/>
          <a:ext cx="4823221" cy="2778832"/>
        </a:xfrm>
        <a:prstGeom prst="rect">
          <a:avLst/>
        </a:prstGeom>
      </xdr:spPr>
    </xdr:pic>
    <xdr:clientData/>
  </xdr:twoCellAnchor>
  <xdr:twoCellAnchor editAs="oneCell">
    <xdr:from>
      <xdr:col>8</xdr:col>
      <xdr:colOff>797861</xdr:colOff>
      <xdr:row>76</xdr:row>
      <xdr:rowOff>62752</xdr:rowOff>
    </xdr:from>
    <xdr:to>
      <xdr:col>12</xdr:col>
      <xdr:colOff>313864</xdr:colOff>
      <xdr:row>84</xdr:row>
      <xdr:rowOff>143435</xdr:rowOff>
    </xdr:to>
    <xdr:pic>
      <xdr:nvPicPr>
        <xdr:cNvPr id="9" name="Picture 8"/>
        <xdr:cNvPicPr>
          <a:picLocks noChangeAspect="1"/>
        </xdr:cNvPicPr>
      </xdr:nvPicPr>
      <xdr:blipFill>
        <a:blip xmlns:r="http://schemas.openxmlformats.org/officeDocument/2006/relationships" r:embed="rId10"/>
        <a:stretch>
          <a:fillRect/>
        </a:stretch>
      </xdr:blipFill>
      <xdr:spPr>
        <a:xfrm>
          <a:off x="8588190" y="10641105"/>
          <a:ext cx="2711280" cy="1586755"/>
        </a:xfrm>
        <a:prstGeom prst="rect">
          <a:avLst/>
        </a:prstGeom>
      </xdr:spPr>
    </xdr:pic>
    <xdr:clientData/>
  </xdr:twoCellAnchor>
  <xdr:twoCellAnchor editAs="oneCell">
    <xdr:from>
      <xdr:col>8</xdr:col>
      <xdr:colOff>690281</xdr:colOff>
      <xdr:row>86</xdr:row>
      <xdr:rowOff>44824</xdr:rowOff>
    </xdr:from>
    <xdr:to>
      <xdr:col>12</xdr:col>
      <xdr:colOff>418392</xdr:colOff>
      <xdr:row>96</xdr:row>
      <xdr:rowOff>30780</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8480610" y="12487836"/>
          <a:ext cx="2923388" cy="1635461"/>
        </a:xfrm>
        <a:prstGeom prst="rect">
          <a:avLst/>
        </a:prstGeom>
      </xdr:spPr>
    </xdr:pic>
    <xdr:clientData/>
  </xdr:twoCellAnchor>
  <xdr:twoCellAnchor>
    <xdr:from>
      <xdr:col>3</xdr:col>
      <xdr:colOff>227661</xdr:colOff>
      <xdr:row>100</xdr:row>
      <xdr:rowOff>134391</xdr:rowOff>
    </xdr:from>
    <xdr:to>
      <xdr:col>3</xdr:col>
      <xdr:colOff>644927</xdr:colOff>
      <xdr:row>101</xdr:row>
      <xdr:rowOff>134389</xdr:rowOff>
    </xdr:to>
    <xdr:sp macro="" textlink="">
      <xdr:nvSpPr>
        <xdr:cNvPr id="21" name="TextBox 20"/>
        <xdr:cNvSpPr txBox="1"/>
      </xdr:nvSpPr>
      <xdr:spPr>
        <a:xfrm>
          <a:off x="3351861" y="15945891"/>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Gate</a:t>
          </a:r>
        </a:p>
      </xdr:txBody>
    </xdr:sp>
    <xdr:clientData/>
  </xdr:twoCellAnchor>
  <xdr:twoCellAnchor>
    <xdr:from>
      <xdr:col>3</xdr:col>
      <xdr:colOff>387234</xdr:colOff>
      <xdr:row>102</xdr:row>
      <xdr:rowOff>79663</xdr:rowOff>
    </xdr:from>
    <xdr:to>
      <xdr:col>3</xdr:col>
      <xdr:colOff>546561</xdr:colOff>
      <xdr:row>102</xdr:row>
      <xdr:rowOff>173181</xdr:rowOff>
    </xdr:to>
    <xdr:sp macro="" textlink="">
      <xdr:nvSpPr>
        <xdr:cNvPr id="13" name="Rectangle 12"/>
        <xdr:cNvSpPr/>
      </xdr:nvSpPr>
      <xdr:spPr>
        <a:xfrm>
          <a:off x="3511434" y="16272163"/>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591538</xdr:colOff>
      <xdr:row>58</xdr:row>
      <xdr:rowOff>97117</xdr:rowOff>
    </xdr:from>
    <xdr:to>
      <xdr:col>12</xdr:col>
      <xdr:colOff>280370</xdr:colOff>
      <xdr:row>71</xdr:row>
      <xdr:rowOff>166798</xdr:rowOff>
    </xdr:to>
    <xdr:pic>
      <xdr:nvPicPr>
        <xdr:cNvPr id="7" name="Picture 6"/>
        <xdr:cNvPicPr>
          <a:picLocks noChangeAspect="1"/>
        </xdr:cNvPicPr>
      </xdr:nvPicPr>
      <xdr:blipFill>
        <a:blip xmlns:r="http://schemas.openxmlformats.org/officeDocument/2006/relationships" r:embed="rId12"/>
        <a:stretch>
          <a:fillRect/>
        </a:stretch>
      </xdr:blipFill>
      <xdr:spPr>
        <a:xfrm>
          <a:off x="8652303" y="11019117"/>
          <a:ext cx="2946008" cy="2266034"/>
        </a:xfrm>
        <a:prstGeom prst="rect">
          <a:avLst/>
        </a:prstGeom>
      </xdr:spPr>
    </xdr:pic>
    <xdr:clientData/>
  </xdr:twoCellAnchor>
  <xdr:twoCellAnchor>
    <xdr:from>
      <xdr:col>2</xdr:col>
      <xdr:colOff>853812</xdr:colOff>
      <xdr:row>102</xdr:row>
      <xdr:rowOff>36875</xdr:rowOff>
    </xdr:from>
    <xdr:to>
      <xdr:col>2</xdr:col>
      <xdr:colOff>1013139</xdr:colOff>
      <xdr:row>102</xdr:row>
      <xdr:rowOff>133324</xdr:rowOff>
    </xdr:to>
    <xdr:sp macro="" textlink="">
      <xdr:nvSpPr>
        <xdr:cNvPr id="27" name="Rectangle 26"/>
        <xdr:cNvSpPr/>
      </xdr:nvSpPr>
      <xdr:spPr>
        <a:xfrm>
          <a:off x="2940520" y="16402290"/>
          <a:ext cx="159327" cy="964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800672</xdr:colOff>
      <xdr:row>101</xdr:row>
      <xdr:rowOff>84034</xdr:rowOff>
    </xdr:from>
    <xdr:to>
      <xdr:col>3</xdr:col>
      <xdr:colOff>73267</xdr:colOff>
      <xdr:row>102</xdr:row>
      <xdr:rowOff>84033</xdr:rowOff>
    </xdr:to>
    <xdr:sp macro="" textlink="">
      <xdr:nvSpPr>
        <xdr:cNvPr id="26" name="TextBox 25"/>
        <xdr:cNvSpPr txBox="1"/>
      </xdr:nvSpPr>
      <xdr:spPr>
        <a:xfrm>
          <a:off x="2887380" y="16256019"/>
          <a:ext cx="310087" cy="193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aseline="0"/>
            <a:t>R</a:t>
          </a:r>
          <a:r>
            <a:rPr lang="en-US" sz="900" baseline="-25000"/>
            <a:t>s</a:t>
          </a:r>
        </a:p>
      </xdr:txBody>
    </xdr:sp>
    <xdr:clientData/>
  </xdr:twoCellAnchor>
  <xdr:twoCellAnchor>
    <xdr:from>
      <xdr:col>2</xdr:col>
      <xdr:colOff>152399</xdr:colOff>
      <xdr:row>97</xdr:row>
      <xdr:rowOff>163285</xdr:rowOff>
    </xdr:from>
    <xdr:to>
      <xdr:col>4</xdr:col>
      <xdr:colOff>925285</xdr:colOff>
      <xdr:row>100</xdr:row>
      <xdr:rowOff>174171</xdr:rowOff>
    </xdr:to>
    <xdr:sp macro="" textlink="">
      <xdr:nvSpPr>
        <xdr:cNvPr id="14" name="TextBox 13"/>
        <xdr:cNvSpPr txBox="1"/>
      </xdr:nvSpPr>
      <xdr:spPr>
        <a:xfrm>
          <a:off x="2242456" y="15457714"/>
          <a:ext cx="2939143" cy="642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a:t>
          </a:r>
          <a:r>
            <a:rPr lang="en-US" sz="1100" b="1" baseline="0"/>
            <a:t> If reverse polarity protection is needed, see LM5060 Datasheet for latest diagram.</a:t>
          </a:r>
          <a:endParaRPr lang="en-US" sz="1100" b="1"/>
        </a:p>
      </xdr:txBody>
    </xdr:sp>
    <xdr:clientData/>
  </xdr:twoCellAnchor>
  <xdr:twoCellAnchor>
    <xdr:from>
      <xdr:col>2</xdr:col>
      <xdr:colOff>376885</xdr:colOff>
      <xdr:row>105</xdr:row>
      <xdr:rowOff>71628</xdr:rowOff>
    </xdr:from>
    <xdr:to>
      <xdr:col>2</xdr:col>
      <xdr:colOff>536212</xdr:colOff>
      <xdr:row>105</xdr:row>
      <xdr:rowOff>165146</xdr:rowOff>
    </xdr:to>
    <xdr:sp macro="" textlink="">
      <xdr:nvSpPr>
        <xdr:cNvPr id="28" name="Rectangle 27"/>
        <xdr:cNvSpPr/>
      </xdr:nvSpPr>
      <xdr:spPr>
        <a:xfrm>
          <a:off x="2464765" y="16835628"/>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79705</xdr:colOff>
      <xdr:row>109</xdr:row>
      <xdr:rowOff>33528</xdr:rowOff>
    </xdr:from>
    <xdr:to>
      <xdr:col>4</xdr:col>
      <xdr:colOff>239032</xdr:colOff>
      <xdr:row>109</xdr:row>
      <xdr:rowOff>127046</xdr:rowOff>
    </xdr:to>
    <xdr:sp macro="" textlink="">
      <xdr:nvSpPr>
        <xdr:cNvPr id="29" name="Rectangle 28"/>
        <xdr:cNvSpPr/>
      </xdr:nvSpPr>
      <xdr:spPr>
        <a:xfrm>
          <a:off x="4339285" y="17559528"/>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277825</xdr:colOff>
      <xdr:row>104</xdr:row>
      <xdr:rowOff>178308</xdr:rowOff>
    </xdr:from>
    <xdr:to>
      <xdr:col>2</xdr:col>
      <xdr:colOff>695091</xdr:colOff>
      <xdr:row>105</xdr:row>
      <xdr:rowOff>178306</xdr:rowOff>
    </xdr:to>
    <xdr:sp macro="" textlink="">
      <xdr:nvSpPr>
        <xdr:cNvPr id="30" name="TextBox 29"/>
        <xdr:cNvSpPr txBox="1"/>
      </xdr:nvSpPr>
      <xdr:spPr>
        <a:xfrm>
          <a:off x="2365705" y="16751808"/>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in</a:t>
          </a:r>
        </a:p>
      </xdr:txBody>
    </xdr:sp>
    <xdr:clientData/>
  </xdr:twoCellAnchor>
  <xdr:twoCellAnchor>
    <xdr:from>
      <xdr:col>3</xdr:col>
      <xdr:colOff>1123645</xdr:colOff>
      <xdr:row>108</xdr:row>
      <xdr:rowOff>132588</xdr:rowOff>
    </xdr:from>
    <xdr:to>
      <xdr:col>4</xdr:col>
      <xdr:colOff>405531</xdr:colOff>
      <xdr:row>109</xdr:row>
      <xdr:rowOff>132586</xdr:rowOff>
    </xdr:to>
    <xdr:sp macro="" textlink="">
      <xdr:nvSpPr>
        <xdr:cNvPr id="31" name="TextBox 30"/>
        <xdr:cNvSpPr txBox="1"/>
      </xdr:nvSpPr>
      <xdr:spPr>
        <a:xfrm>
          <a:off x="4247845" y="17468088"/>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timer</a:t>
          </a:r>
        </a:p>
      </xdr:txBody>
    </xdr:sp>
    <xdr:clientData/>
  </xdr:twoCellAnchor>
  <xdr:twoCellAnchor>
    <xdr:from>
      <xdr:col>3</xdr:col>
      <xdr:colOff>883920</xdr:colOff>
      <xdr:row>100</xdr:row>
      <xdr:rowOff>182880</xdr:rowOff>
    </xdr:from>
    <xdr:to>
      <xdr:col>3</xdr:col>
      <xdr:colOff>1097280</xdr:colOff>
      <xdr:row>107</xdr:row>
      <xdr:rowOff>7620</xdr:rowOff>
    </xdr:to>
    <xdr:sp macro="" textlink="">
      <xdr:nvSpPr>
        <xdr:cNvPr id="32" name="Rectangle 31"/>
        <xdr:cNvSpPr/>
      </xdr:nvSpPr>
      <xdr:spPr>
        <a:xfrm>
          <a:off x="4008120" y="15994380"/>
          <a:ext cx="213360" cy="115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1409700</xdr:colOff>
      <xdr:row>100</xdr:row>
      <xdr:rowOff>178527</xdr:rowOff>
    </xdr:from>
    <xdr:to>
      <xdr:col>1</xdr:col>
      <xdr:colOff>1805940</xdr:colOff>
      <xdr:row>107</xdr:row>
      <xdr:rowOff>83821</xdr:rowOff>
    </xdr:to>
    <xdr:sp macro="" textlink="">
      <xdr:nvSpPr>
        <xdr:cNvPr id="33" name="Rectangle 32"/>
        <xdr:cNvSpPr/>
      </xdr:nvSpPr>
      <xdr:spPr>
        <a:xfrm>
          <a:off x="1440180" y="16089087"/>
          <a:ext cx="396240" cy="12464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1031966</xdr:colOff>
      <xdr:row>104</xdr:row>
      <xdr:rowOff>126274</xdr:rowOff>
    </xdr:from>
    <xdr:to>
      <xdr:col>4</xdr:col>
      <xdr:colOff>189412</xdr:colOff>
      <xdr:row>106</xdr:row>
      <xdr:rowOff>65315</xdr:rowOff>
    </xdr:to>
    <xdr:sp macro="" textlink="">
      <xdr:nvSpPr>
        <xdr:cNvPr id="34" name="Rectangle 33"/>
        <xdr:cNvSpPr/>
      </xdr:nvSpPr>
      <xdr:spPr>
        <a:xfrm>
          <a:off x="4158343" y="16803188"/>
          <a:ext cx="293915" cy="322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89647</xdr:colOff>
      <xdr:row>107</xdr:row>
      <xdr:rowOff>71718</xdr:rowOff>
    </xdr:from>
    <xdr:to>
      <xdr:col>10</xdr:col>
      <xdr:colOff>633547</xdr:colOff>
      <xdr:row>117</xdr:row>
      <xdr:rowOff>3881</xdr:rowOff>
    </xdr:to>
    <xdr:pic>
      <xdr:nvPicPr>
        <xdr:cNvPr id="35" name="Picture 34"/>
        <xdr:cNvPicPr>
          <a:picLocks noChangeAspect="1"/>
        </xdr:cNvPicPr>
      </xdr:nvPicPr>
      <xdr:blipFill>
        <a:blip xmlns:r="http://schemas.openxmlformats.org/officeDocument/2006/relationships" r:embed="rId11"/>
        <a:stretch>
          <a:fillRect/>
        </a:stretch>
      </xdr:blipFill>
      <xdr:spPr>
        <a:xfrm>
          <a:off x="7377953" y="17194306"/>
          <a:ext cx="2919547" cy="1635461"/>
        </a:xfrm>
        <a:prstGeom prst="rect">
          <a:avLst/>
        </a:prstGeom>
      </xdr:spPr>
    </xdr:pic>
    <xdr:clientData/>
  </xdr:twoCellAnchor>
  <xdr:twoCellAnchor editAs="oneCell">
    <xdr:from>
      <xdr:col>1</xdr:col>
      <xdr:colOff>67236</xdr:colOff>
      <xdr:row>27</xdr:row>
      <xdr:rowOff>54767</xdr:rowOff>
    </xdr:from>
    <xdr:to>
      <xdr:col>1</xdr:col>
      <xdr:colOff>1813721</xdr:colOff>
      <xdr:row>32</xdr:row>
      <xdr:rowOff>44822</xdr:rowOff>
    </xdr:to>
    <xdr:pic>
      <xdr:nvPicPr>
        <xdr:cNvPr id="15" name="Picture 14">
          <a:hlinkClick xmlns:r="http://schemas.openxmlformats.org/officeDocument/2006/relationships" r:id="rId13"/>
        </xdr:cNvPr>
        <xdr:cNvPicPr>
          <a:picLocks noChangeAspect="1"/>
        </xdr:cNvPicPr>
      </xdr:nvPicPr>
      <xdr:blipFill>
        <a:blip xmlns:r="http://schemas.openxmlformats.org/officeDocument/2006/relationships" r:embed="rId14"/>
        <a:stretch>
          <a:fillRect/>
        </a:stretch>
      </xdr:blipFill>
      <xdr:spPr>
        <a:xfrm>
          <a:off x="102514" y="5910878"/>
          <a:ext cx="1746485" cy="942555"/>
        </a:xfrm>
        <a:prstGeom prst="rect">
          <a:avLst/>
        </a:prstGeom>
      </xdr:spPr>
    </xdr:pic>
    <xdr:clientData/>
  </xdr:twoCellAnchor>
  <xdr:twoCellAnchor editAs="oneCell">
    <xdr:from>
      <xdr:col>1</xdr:col>
      <xdr:colOff>14942</xdr:colOff>
      <xdr:row>37</xdr:row>
      <xdr:rowOff>0</xdr:rowOff>
    </xdr:from>
    <xdr:to>
      <xdr:col>1</xdr:col>
      <xdr:colOff>1820219</xdr:colOff>
      <xdr:row>42</xdr:row>
      <xdr:rowOff>165652</xdr:rowOff>
    </xdr:to>
    <xdr:pic>
      <xdr:nvPicPr>
        <xdr:cNvPr id="42" name="Picture 41">
          <a:hlinkClick xmlns:r="http://schemas.openxmlformats.org/officeDocument/2006/relationships" r:id="rId13"/>
        </xdr:cNvPr>
        <xdr:cNvPicPr>
          <a:picLocks noChangeAspect="1"/>
        </xdr:cNvPicPr>
      </xdr:nvPicPr>
      <xdr:blipFill>
        <a:blip xmlns:r="http://schemas.openxmlformats.org/officeDocument/2006/relationships" r:embed="rId14"/>
        <a:stretch>
          <a:fillRect/>
        </a:stretch>
      </xdr:blipFill>
      <xdr:spPr>
        <a:xfrm>
          <a:off x="44824" y="7231529"/>
          <a:ext cx="1805277" cy="993589"/>
        </a:xfrm>
        <a:prstGeom prst="rect">
          <a:avLst/>
        </a:prstGeom>
      </xdr:spPr>
    </xdr:pic>
    <xdr:clientData/>
  </xdr:twoCellAnchor>
  <xdr:twoCellAnchor>
    <xdr:from>
      <xdr:col>10</xdr:col>
      <xdr:colOff>500492</xdr:colOff>
      <xdr:row>60</xdr:row>
      <xdr:rowOff>194217</xdr:rowOff>
    </xdr:from>
    <xdr:to>
      <xdr:col>10</xdr:col>
      <xdr:colOff>724643</xdr:colOff>
      <xdr:row>61</xdr:row>
      <xdr:rowOff>82176</xdr:rowOff>
    </xdr:to>
    <xdr:sp macro="" textlink="">
      <xdr:nvSpPr>
        <xdr:cNvPr id="20" name="Rounded Rectangle 19"/>
        <xdr:cNvSpPr/>
      </xdr:nvSpPr>
      <xdr:spPr>
        <a:xfrm>
          <a:off x="10473727" y="11467335"/>
          <a:ext cx="224151" cy="82194"/>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322983</xdr:colOff>
      <xdr:row>60</xdr:row>
      <xdr:rowOff>89650</xdr:rowOff>
    </xdr:from>
    <xdr:to>
      <xdr:col>11</xdr:col>
      <xdr:colOff>44729</xdr:colOff>
      <xdr:row>61</xdr:row>
      <xdr:rowOff>89655</xdr:rowOff>
    </xdr:to>
    <xdr:sp macro="" textlink="">
      <xdr:nvSpPr>
        <xdr:cNvPr id="8" name="TextBox 7"/>
        <xdr:cNvSpPr txBox="1"/>
      </xdr:nvSpPr>
      <xdr:spPr>
        <a:xfrm>
          <a:off x="10296218" y="11362768"/>
          <a:ext cx="446393" cy="194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t>C</a:t>
          </a:r>
          <a:r>
            <a:rPr lang="en-US" sz="900" baseline="-25000"/>
            <a:t>Gate</a:t>
          </a:r>
        </a:p>
      </xdr:txBody>
    </xdr:sp>
    <xdr:clientData/>
  </xdr:twoCellAnchor>
  <xdr:twoCellAnchor editAs="oneCell">
    <xdr:from>
      <xdr:col>1</xdr:col>
      <xdr:colOff>14943</xdr:colOff>
      <xdr:row>76</xdr:row>
      <xdr:rowOff>1</xdr:rowOff>
    </xdr:from>
    <xdr:to>
      <xdr:col>2</xdr:col>
      <xdr:colOff>288</xdr:colOff>
      <xdr:row>81</xdr:row>
      <xdr:rowOff>127000</xdr:rowOff>
    </xdr:to>
    <xdr:pic>
      <xdr:nvPicPr>
        <xdr:cNvPr id="22" name="Picture 21">
          <a:hlinkClick xmlns:r="http://schemas.openxmlformats.org/officeDocument/2006/relationships" r:id="rId15"/>
        </xdr:cNvPr>
        <xdr:cNvPicPr>
          <a:picLocks noChangeAspect="1"/>
        </xdr:cNvPicPr>
      </xdr:nvPicPr>
      <xdr:blipFill>
        <a:blip xmlns:r="http://schemas.openxmlformats.org/officeDocument/2006/relationships" r:embed="rId16"/>
        <a:stretch>
          <a:fillRect/>
        </a:stretch>
      </xdr:blipFill>
      <xdr:spPr>
        <a:xfrm>
          <a:off x="44825" y="14089530"/>
          <a:ext cx="2008786" cy="1098176"/>
        </a:xfrm>
        <a:prstGeom prst="rect">
          <a:avLst/>
        </a:prstGeom>
      </xdr:spPr>
    </xdr:pic>
    <xdr:clientData/>
  </xdr:twoCellAnchor>
  <xdr:twoCellAnchor editAs="oneCell">
    <xdr:from>
      <xdr:col>1</xdr:col>
      <xdr:colOff>29882</xdr:colOff>
      <xdr:row>45</xdr:row>
      <xdr:rowOff>112059</xdr:rowOff>
    </xdr:from>
    <xdr:to>
      <xdr:col>1</xdr:col>
      <xdr:colOff>1886970</xdr:colOff>
      <xdr:row>51</xdr:row>
      <xdr:rowOff>7454</xdr:rowOff>
    </xdr:to>
    <xdr:pic>
      <xdr:nvPicPr>
        <xdr:cNvPr id="46" name="Picture 45">
          <a:hlinkClick xmlns:r="http://schemas.openxmlformats.org/officeDocument/2006/relationships" r:id="rId17"/>
        </xdr:cNvPr>
        <xdr:cNvPicPr>
          <a:picLocks noChangeAspect="1"/>
        </xdr:cNvPicPr>
      </xdr:nvPicPr>
      <xdr:blipFill>
        <a:blip xmlns:r="http://schemas.openxmlformats.org/officeDocument/2006/relationships" r:embed="rId18"/>
        <a:stretch>
          <a:fillRect/>
        </a:stretch>
      </xdr:blipFill>
      <xdr:spPr>
        <a:xfrm>
          <a:off x="59764" y="8890000"/>
          <a:ext cx="1857088" cy="1001043"/>
        </a:xfrm>
        <a:prstGeom prst="rect">
          <a:avLst/>
        </a:prstGeom>
      </xdr:spPr>
    </xdr:pic>
    <xdr:clientData/>
  </xdr:twoCellAnchor>
  <xdr:twoCellAnchor editAs="oneCell">
    <xdr:from>
      <xdr:col>1</xdr:col>
      <xdr:colOff>29884</xdr:colOff>
      <xdr:row>55</xdr:row>
      <xdr:rowOff>14940</xdr:rowOff>
    </xdr:from>
    <xdr:to>
      <xdr:col>1</xdr:col>
      <xdr:colOff>1989464</xdr:colOff>
      <xdr:row>61</xdr:row>
      <xdr:rowOff>59765</xdr:rowOff>
    </xdr:to>
    <xdr:pic>
      <xdr:nvPicPr>
        <xdr:cNvPr id="1344" name="Picture 1343">
          <a:hlinkClick xmlns:r="http://schemas.openxmlformats.org/officeDocument/2006/relationships" r:id="rId19"/>
        </xdr:cNvPr>
        <xdr:cNvPicPr>
          <a:picLocks noChangeAspect="1"/>
        </xdr:cNvPicPr>
      </xdr:nvPicPr>
      <xdr:blipFill>
        <a:blip xmlns:r="http://schemas.openxmlformats.org/officeDocument/2006/relationships" r:embed="rId20"/>
        <a:stretch>
          <a:fillRect/>
        </a:stretch>
      </xdr:blipFill>
      <xdr:spPr>
        <a:xfrm>
          <a:off x="59766" y="11048999"/>
          <a:ext cx="1959580" cy="1060825"/>
        </a:xfrm>
        <a:prstGeom prst="rect">
          <a:avLst/>
        </a:prstGeom>
      </xdr:spPr>
    </xdr:pic>
    <xdr:clientData/>
  </xdr:twoCellAnchor>
  <xdr:twoCellAnchor editAs="oneCell">
    <xdr:from>
      <xdr:col>1</xdr:col>
      <xdr:colOff>56445</xdr:colOff>
      <xdr:row>14</xdr:row>
      <xdr:rowOff>35278</xdr:rowOff>
    </xdr:from>
    <xdr:to>
      <xdr:col>1</xdr:col>
      <xdr:colOff>1756834</xdr:colOff>
      <xdr:row>21</xdr:row>
      <xdr:rowOff>220523</xdr:rowOff>
    </xdr:to>
    <xdr:pic>
      <xdr:nvPicPr>
        <xdr:cNvPr id="16" name="Picture 15">
          <a:hlinkClick xmlns:r="http://schemas.openxmlformats.org/officeDocument/2006/relationships" r:id="rId21"/>
        </xdr:cNvPr>
        <xdr:cNvPicPr>
          <a:picLocks noChangeAspect="1"/>
        </xdr:cNvPicPr>
      </xdr:nvPicPr>
      <xdr:blipFill>
        <a:blip xmlns:r="http://schemas.openxmlformats.org/officeDocument/2006/relationships" r:embed="rId22"/>
        <a:stretch>
          <a:fillRect/>
        </a:stretch>
      </xdr:blipFill>
      <xdr:spPr>
        <a:xfrm>
          <a:off x="91723" y="3302000"/>
          <a:ext cx="1700389" cy="15187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657225</xdr:colOff>
      <xdr:row>118</xdr:row>
      <xdr:rowOff>85725</xdr:rowOff>
    </xdr:from>
    <xdr:to>
      <xdr:col>18</xdr:col>
      <xdr:colOff>247650</xdr:colOff>
      <xdr:row>144</xdr:row>
      <xdr:rowOff>28575</xdr:rowOff>
    </xdr:to>
    <xdr:sp macro="" textlink="">
      <xdr:nvSpPr>
        <xdr:cNvPr id="2" name="Text Box 17"/>
        <xdr:cNvSpPr txBox="1">
          <a:spLocks noChangeArrowheads="1"/>
        </xdr:cNvSpPr>
      </xdr:nvSpPr>
      <xdr:spPr bwMode="auto">
        <a:xfrm>
          <a:off x="69246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A</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R1 x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x 2.46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x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2.48V  x  R1      </a:t>
          </a:r>
          <a:r>
            <a:rPr lang="en-US" sz="1000" b="0" i="0" u="none" strike="noStrike" baseline="0">
              <a:solidFill>
                <a:srgbClr val="000000"/>
              </a:solidFill>
              <a:latin typeface="Arial"/>
              <a:cs typeface="Arial"/>
            </a:rPr>
            <a:t>    -  R3</a:t>
          </a: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2.48V + (R1 x  </a:t>
          </a:r>
          <a:r>
            <a:rPr lang="en-US" sz="1000" b="0" i="0" u="sng" strike="noStrike" baseline="0">
              <a:solidFill>
                <a:srgbClr val="000000"/>
              </a:solidFill>
              <a:latin typeface="Arial"/>
              <a:cs typeface="Arial"/>
            </a:rPr>
            <a:t>( 2.48V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 x </a:t>
          </a:r>
          <a:r>
            <a:rPr lang="en-US" sz="1000" b="0" i="0" u="sng" strike="noStrike" baseline="0">
              <a:solidFill>
                <a:srgbClr val="000000"/>
              </a:solidFill>
              <a:latin typeface="Arial"/>
              <a:cs typeface="Arial"/>
            </a:rPr>
            <a:t>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2.46V x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((R1 + R2) x ((</a:t>
          </a:r>
          <a:r>
            <a:rPr lang="en-US" sz="1000" b="0" i="0" u="sng" strike="noStrike" baseline="0">
              <a:solidFill>
                <a:srgbClr val="000000"/>
              </a:solidFill>
              <a:latin typeface="Arial"/>
              <a:cs typeface="Arial"/>
            </a:rPr>
            <a:t> 2.46V)</a:t>
          </a:r>
          <a:r>
            <a:rPr lang="en-US" sz="1000" b="0" i="0" u="none" strike="noStrike" baseline="0">
              <a:solidFill>
                <a:srgbClr val="000000"/>
              </a:solidFill>
              <a:latin typeface="Arial"/>
              <a:cs typeface="Arial"/>
            </a:rPr>
            <a:t>  -  21uA)) + 2.46V</a:t>
          </a: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38100</xdr:colOff>
      <xdr:row>167</xdr:row>
      <xdr:rowOff>133350</xdr:rowOff>
    </xdr:from>
    <xdr:to>
      <xdr:col>11</xdr:col>
      <xdr:colOff>276225</xdr:colOff>
      <xdr:row>178</xdr:row>
      <xdr:rowOff>142875</xdr:rowOff>
    </xdr:to>
    <xdr:sp macro="" textlink="">
      <xdr:nvSpPr>
        <xdr:cNvPr id="3" name="Text Box 98"/>
        <xdr:cNvSpPr txBox="1">
          <a:spLocks noChangeArrowheads="1"/>
        </xdr:cNvSpPr>
      </xdr:nvSpPr>
      <xdr:spPr bwMode="auto">
        <a:xfrm>
          <a:off x="32308800" y="16125825"/>
          <a:ext cx="2838450" cy="17907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Rpwr = 1.428 x 10</a:t>
          </a:r>
          <a:r>
            <a:rPr lang="en-US" sz="1000" b="0" i="0" u="none" strike="noStrike" baseline="30000">
              <a:solidFill>
                <a:srgbClr val="000000"/>
              </a:solidFill>
              <a:latin typeface="Arial"/>
              <a:cs typeface="Arial"/>
            </a:rPr>
            <a:t>5</a:t>
          </a:r>
          <a:r>
            <a:rPr lang="en-US" sz="1000" b="0" i="0" u="none" strike="noStrike" baseline="0">
              <a:solidFill>
                <a:srgbClr val="000000"/>
              </a:solidFill>
              <a:latin typeface="Arial"/>
              <a:cs typeface="Arial"/>
            </a:rPr>
            <a:t> x Rs x P</a:t>
          </a:r>
          <a:r>
            <a:rPr lang="en-US" sz="1000" b="0" i="0" u="none" strike="noStrike" baseline="-25000">
              <a:solidFill>
                <a:srgbClr val="000000"/>
              </a:solidFill>
              <a:latin typeface="Arial"/>
              <a:cs typeface="Arial"/>
            </a:rPr>
            <a:t>FET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FET(min)</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4.44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FET(typ)</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5.85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FET(max)</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7.25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xdr:txBody>
    </xdr:sp>
    <xdr:clientData/>
  </xdr:twoCellAnchor>
  <xdr:twoCellAnchor>
    <xdr:from>
      <xdr:col>18</xdr:col>
      <xdr:colOff>333375</xdr:colOff>
      <xdr:row>118</xdr:row>
      <xdr:rowOff>85725</xdr:rowOff>
    </xdr:from>
    <xdr:to>
      <xdr:col>25</xdr:col>
      <xdr:colOff>95250</xdr:colOff>
      <xdr:row>144</xdr:row>
      <xdr:rowOff>28575</xdr:rowOff>
    </xdr:to>
    <xdr:sp macro="" textlink="">
      <xdr:nvSpPr>
        <xdr:cNvPr id="4" name="Text Box 17"/>
        <xdr:cNvSpPr txBox="1">
          <a:spLocks noChangeArrowheads="1"/>
        </xdr:cNvSpPr>
      </xdr:nvSpPr>
      <xdr:spPr bwMode="auto">
        <a:xfrm>
          <a:off x="110394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R2 =  </a:t>
          </a:r>
          <a:r>
            <a:rPr lang="en-US" sz="1100" b="0" i="0" u="sng" baseline="0">
              <a:effectLst/>
              <a:latin typeface="+mn-lt"/>
              <a:ea typeface="+mn-ea"/>
              <a:cs typeface="+mn-cs"/>
            </a:rPr>
            <a:t>       2.48V  x  R1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UVLO(lower) - 2.48V</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R3 = </a:t>
          </a:r>
          <a:r>
            <a:rPr lang="en-US" sz="1100" b="0" i="0" u="sng" baseline="0">
              <a:effectLst/>
              <a:latin typeface="+mn-lt"/>
              <a:ea typeface="+mn-ea"/>
              <a:cs typeface="+mn-cs"/>
            </a:rPr>
            <a:t> OVLO(upper) - OVLO(lower)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21 uA </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R4 =  </a:t>
          </a:r>
          <a:r>
            <a:rPr lang="en-US" sz="1100" b="0" i="0" u="sng" baseline="0">
              <a:effectLst/>
              <a:latin typeface="+mn-lt"/>
              <a:ea typeface="+mn-ea"/>
              <a:cs typeface="+mn-cs"/>
            </a:rPr>
            <a:t>       2.46V  x  R3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OVLO(upper) - 2.46V</a:t>
          </a:r>
          <a:endParaRPr lang="en-US" sz="1000">
            <a:effectLst/>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2.48V + (R1 x  </a:t>
          </a:r>
          <a:r>
            <a:rPr lang="en-US" sz="1000" b="0" i="0" u="sng" strike="noStrike" baseline="0">
              <a:solidFill>
                <a:srgbClr val="000000"/>
              </a:solidFill>
              <a:latin typeface="Arial"/>
              <a:cs typeface="Arial"/>
            </a:rPr>
            <a:t>( 2.48V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 x </a:t>
          </a:r>
          <a:r>
            <a:rPr lang="en-US" sz="1000" b="0" i="0" u="sng" strike="noStrike" baseline="0">
              <a:solidFill>
                <a:srgbClr val="000000"/>
              </a:solidFill>
              <a:latin typeface="Arial"/>
              <a:cs typeface="Arial"/>
            </a:rPr>
            <a:t> (R1 + R2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2.46V)</a:t>
          </a:r>
          <a:r>
            <a:rPr lang="en-US" sz="1000" b="0" i="0" u="none" strike="noStrike" baseline="0">
              <a:solidFill>
                <a:srgbClr val="000000"/>
              </a:solidFill>
              <a:latin typeface="Arial"/>
              <a:cs typeface="Arial"/>
            </a:rPr>
            <a:t>  -  21uA)) + 2.46V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_7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0.74</v>
          </cell>
        </row>
        <row r="47">
          <cell r="C47">
            <v>13.954879379662346</v>
          </cell>
        </row>
        <row r="52">
          <cell r="C52">
            <v>62.580553546791855</v>
          </cell>
        </row>
        <row r="61">
          <cell r="C61">
            <v>1650</v>
          </cell>
        </row>
        <row r="67">
          <cell r="C67">
            <v>2.2000000000000001E-7</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ti.com/lit/gpn/lm506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ti.com/general/docs/video/watch.tsp?entryid=4607940999001" TargetMode="External"/><Relationship Id="rId13" Type="http://schemas.openxmlformats.org/officeDocument/2006/relationships/hyperlink" Target="https://training.ti.com/node/1133677" TargetMode="External"/><Relationship Id="rId18" Type="http://schemas.openxmlformats.org/officeDocument/2006/relationships/drawing" Target="../drawings/drawing2.xml"/><Relationship Id="rId3" Type="http://schemas.openxmlformats.org/officeDocument/2006/relationships/hyperlink" Target="http://e2e.ti.com/" TargetMode="External"/><Relationship Id="rId7" Type="http://schemas.openxmlformats.org/officeDocument/2006/relationships/hyperlink" Target="http://www.ti.com/general/docs/video/watch.tsp?entryid=4609077027001" TargetMode="External"/><Relationship Id="rId12" Type="http://schemas.openxmlformats.org/officeDocument/2006/relationships/hyperlink" Target="https://training.ti.com/node/1133681" TargetMode="External"/><Relationship Id="rId17" Type="http://schemas.openxmlformats.org/officeDocument/2006/relationships/printerSettings" Target="../printerSettings/printerSettings1.bin"/><Relationship Id="rId2" Type="http://schemas.openxmlformats.org/officeDocument/2006/relationships/hyperlink" Target="https://training.ti.com/node/1133677" TargetMode="External"/><Relationship Id="rId16" Type="http://schemas.openxmlformats.org/officeDocument/2006/relationships/hyperlink" Target="https://training.ti.com/node/1133681" TargetMode="External"/><Relationship Id="rId20" Type="http://schemas.openxmlformats.org/officeDocument/2006/relationships/comments" Target="../comments1.xml"/><Relationship Id="rId1" Type="http://schemas.openxmlformats.org/officeDocument/2006/relationships/hyperlink" Target="http://www.ti.com/hotswap" TargetMode="External"/><Relationship Id="rId6" Type="http://schemas.openxmlformats.org/officeDocument/2006/relationships/hyperlink" Target="http://www.ti.com/general/docs/video/watch.tsp?entryid=4609077122001" TargetMode="External"/><Relationship Id="rId11" Type="http://schemas.openxmlformats.org/officeDocument/2006/relationships/hyperlink" Target="https://training.ti.com/node/1133664" TargetMode="External"/><Relationship Id="rId5" Type="http://schemas.openxmlformats.org/officeDocument/2006/relationships/hyperlink" Target="http://www.ti.com/general/docs/video/watch.tsp?entryid=4609733745001" TargetMode="External"/><Relationship Id="rId15" Type="http://schemas.openxmlformats.org/officeDocument/2006/relationships/hyperlink" Target="https://training.ti.com/node/1133664" TargetMode="External"/><Relationship Id="rId10" Type="http://schemas.openxmlformats.org/officeDocument/2006/relationships/hyperlink" Target="https://training.ti.com/node/1133673" TargetMode="External"/><Relationship Id="rId19" Type="http://schemas.openxmlformats.org/officeDocument/2006/relationships/vmlDrawing" Target="../drawings/vmlDrawing1.vml"/><Relationship Id="rId4" Type="http://schemas.openxmlformats.org/officeDocument/2006/relationships/hyperlink" Target="http://www.ti.com/product/lm5060" TargetMode="External"/><Relationship Id="rId9" Type="http://schemas.openxmlformats.org/officeDocument/2006/relationships/hyperlink" Target="https://training.ti.com/node/1133677" TargetMode="External"/><Relationship Id="rId14" Type="http://schemas.openxmlformats.org/officeDocument/2006/relationships/hyperlink" Target="https://training.ti.com/node/113367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96"/>
  <sheetViews>
    <sheetView topLeftCell="A4" workbookViewId="0">
      <selection activeCell="B9" sqref="B9"/>
    </sheetView>
  </sheetViews>
  <sheetFormatPr defaultRowHeight="12.5" x14ac:dyDescent="0.25"/>
  <sheetData>
    <row r="1" spans="1:16" ht="13" thickTop="1" x14ac:dyDescent="0.25">
      <c r="A1" s="135"/>
      <c r="B1" s="136"/>
      <c r="C1" s="136"/>
      <c r="D1" s="136"/>
      <c r="E1" s="136"/>
      <c r="F1" s="136"/>
      <c r="G1" s="136"/>
      <c r="H1" s="136"/>
      <c r="I1" s="136"/>
      <c r="J1" s="136"/>
      <c r="K1" s="136"/>
      <c r="L1" s="136"/>
      <c r="M1" s="136"/>
      <c r="N1" s="136"/>
      <c r="O1" s="136"/>
      <c r="P1" s="137"/>
    </row>
    <row r="2" spans="1:16" x14ac:dyDescent="0.25">
      <c r="A2" s="138"/>
      <c r="B2" s="139"/>
      <c r="C2" s="139"/>
      <c r="D2" s="139"/>
      <c r="E2" s="139"/>
      <c r="F2" s="139"/>
      <c r="G2" s="139"/>
      <c r="H2" s="139"/>
      <c r="I2" s="139"/>
      <c r="J2" s="139"/>
      <c r="K2" s="139"/>
      <c r="L2" s="139"/>
      <c r="M2" s="139"/>
      <c r="N2" s="139"/>
      <c r="O2" s="139"/>
      <c r="P2" s="140"/>
    </row>
    <row r="3" spans="1:16" ht="30" x14ac:dyDescent="0.6">
      <c r="A3" s="138"/>
      <c r="B3" s="139"/>
      <c r="C3" s="139"/>
      <c r="D3" s="141"/>
      <c r="E3" s="139"/>
      <c r="F3" s="139"/>
      <c r="G3" s="139"/>
      <c r="H3" s="139"/>
      <c r="I3" s="139"/>
      <c r="J3" s="139"/>
      <c r="K3" s="139"/>
      <c r="L3" s="142"/>
      <c r="M3" s="139"/>
      <c r="N3" s="139"/>
      <c r="O3" s="139"/>
      <c r="P3" s="140"/>
    </row>
    <row r="4" spans="1:16" ht="23" x14ac:dyDescent="0.5">
      <c r="A4" s="138"/>
      <c r="B4" s="139"/>
      <c r="C4" s="139"/>
      <c r="D4" s="143"/>
      <c r="E4" s="139"/>
      <c r="F4" s="139"/>
      <c r="G4" s="139"/>
      <c r="H4" s="139"/>
      <c r="I4" s="139"/>
      <c r="J4" s="139"/>
      <c r="K4" s="139"/>
      <c r="L4" s="139"/>
      <c r="M4" s="139"/>
      <c r="N4" s="139"/>
      <c r="O4" s="139"/>
      <c r="P4" s="140"/>
    </row>
    <row r="5" spans="1:16" x14ac:dyDescent="0.25">
      <c r="A5" s="138"/>
      <c r="B5" s="139"/>
      <c r="C5" s="139"/>
      <c r="D5" s="139"/>
      <c r="E5" s="139"/>
      <c r="F5" s="139"/>
      <c r="G5" s="139"/>
      <c r="H5" s="139"/>
      <c r="I5" s="139"/>
      <c r="J5" s="139"/>
      <c r="K5" s="139"/>
      <c r="L5" s="139"/>
      <c r="M5" s="139"/>
      <c r="N5" s="139"/>
      <c r="O5" s="139"/>
      <c r="P5" s="140"/>
    </row>
    <row r="6" spans="1:16" x14ac:dyDescent="0.25">
      <c r="A6" s="138"/>
      <c r="B6" s="139"/>
      <c r="C6" s="139"/>
      <c r="D6" s="139"/>
      <c r="E6" s="139"/>
      <c r="F6" s="139"/>
      <c r="G6" s="139"/>
      <c r="H6" s="139"/>
      <c r="I6" s="139"/>
      <c r="J6" s="139"/>
      <c r="K6" s="139"/>
      <c r="L6" s="139"/>
      <c r="M6" s="139"/>
      <c r="N6" s="139"/>
      <c r="O6" s="139"/>
      <c r="P6" s="140"/>
    </row>
    <row r="7" spans="1:16" ht="15.5" x14ac:dyDescent="0.35">
      <c r="A7" s="138"/>
      <c r="B7" s="139"/>
      <c r="C7" s="139"/>
      <c r="D7" s="139"/>
      <c r="E7" s="139"/>
      <c r="F7" s="139"/>
      <c r="G7" s="139"/>
      <c r="H7" s="139"/>
      <c r="I7" s="139"/>
      <c r="J7" s="139"/>
      <c r="K7" s="139"/>
      <c r="L7" s="139"/>
      <c r="M7" s="142" t="s">
        <v>58</v>
      </c>
      <c r="N7" s="139"/>
      <c r="O7" s="139"/>
      <c r="P7" s="140"/>
    </row>
    <row r="8" spans="1:16" ht="30" x14ac:dyDescent="0.6">
      <c r="A8" s="138"/>
      <c r="B8" s="141" t="s">
        <v>226</v>
      </c>
      <c r="C8" s="139"/>
      <c r="D8" s="139"/>
      <c r="E8" s="139"/>
      <c r="F8" s="139"/>
      <c r="G8" s="139"/>
      <c r="H8" s="139"/>
      <c r="I8" s="139"/>
      <c r="J8" s="139"/>
      <c r="K8" s="139"/>
      <c r="L8" s="139"/>
      <c r="M8" s="139"/>
      <c r="N8" s="139"/>
      <c r="O8" s="139"/>
      <c r="P8" s="140"/>
    </row>
    <row r="9" spans="1:16" x14ac:dyDescent="0.25">
      <c r="A9" s="138"/>
      <c r="B9" s="139"/>
      <c r="C9" s="139"/>
      <c r="D9" s="139"/>
      <c r="E9" s="139"/>
      <c r="F9" s="139"/>
      <c r="G9" s="139"/>
      <c r="H9" s="139"/>
      <c r="I9" s="139"/>
      <c r="J9" s="139"/>
      <c r="K9" s="139"/>
      <c r="L9" s="139"/>
      <c r="M9" s="139"/>
      <c r="N9" s="139"/>
      <c r="O9" s="139"/>
      <c r="P9" s="140"/>
    </row>
    <row r="10" spans="1:16" ht="20" x14ac:dyDescent="0.4">
      <c r="A10" s="138"/>
      <c r="B10" s="144" t="s">
        <v>51</v>
      </c>
      <c r="C10" s="145"/>
      <c r="D10" s="145"/>
      <c r="E10" s="145"/>
      <c r="F10" s="139"/>
      <c r="G10" s="139"/>
      <c r="H10" s="139"/>
      <c r="I10" s="139"/>
      <c r="J10" s="139"/>
      <c r="K10" s="139"/>
      <c r="L10" s="139"/>
      <c r="M10" s="139"/>
      <c r="N10" s="139"/>
      <c r="O10" s="139"/>
      <c r="P10" s="140"/>
    </row>
    <row r="11" spans="1:16" ht="14" x14ac:dyDescent="0.3">
      <c r="A11" s="138"/>
      <c r="B11" s="146" t="s">
        <v>52</v>
      </c>
      <c r="C11" s="147"/>
      <c r="D11" s="147"/>
      <c r="E11" s="147"/>
      <c r="F11" s="139"/>
      <c r="G11" s="139"/>
      <c r="H11" s="139"/>
      <c r="I11" s="139"/>
      <c r="J11" s="139"/>
      <c r="K11" s="139"/>
      <c r="L11" s="139"/>
      <c r="M11" s="139"/>
      <c r="N11" s="139"/>
      <c r="O11" s="139"/>
      <c r="P11" s="140"/>
    </row>
    <row r="12" spans="1:16" ht="14" x14ac:dyDescent="0.3">
      <c r="A12" s="138"/>
      <c r="B12" s="146" t="s">
        <v>53</v>
      </c>
      <c r="C12" s="147"/>
      <c r="D12" s="147"/>
      <c r="E12" s="147"/>
      <c r="F12" s="139"/>
      <c r="G12" s="139"/>
      <c r="H12" s="139"/>
      <c r="I12" s="139"/>
      <c r="J12" s="139"/>
      <c r="K12" s="139"/>
      <c r="L12" s="139"/>
      <c r="M12" s="139"/>
      <c r="N12" s="139"/>
      <c r="O12" s="139"/>
      <c r="P12" s="140"/>
    </row>
    <row r="13" spans="1:16" x14ac:dyDescent="0.25">
      <c r="A13" s="138"/>
      <c r="B13" s="145"/>
      <c r="C13" s="145"/>
      <c r="D13" s="145"/>
      <c r="E13" s="145"/>
      <c r="F13" s="139"/>
      <c r="G13" s="139"/>
      <c r="H13" s="139"/>
      <c r="I13" s="139"/>
      <c r="J13" s="139"/>
      <c r="K13" s="139"/>
      <c r="L13" s="139"/>
      <c r="M13" s="139"/>
      <c r="N13" s="139"/>
      <c r="O13" s="139"/>
      <c r="P13" s="140"/>
    </row>
    <row r="14" spans="1:16" x14ac:dyDescent="0.25">
      <c r="A14" s="138"/>
      <c r="B14" s="277" t="s">
        <v>69</v>
      </c>
      <c r="C14" s="277"/>
      <c r="D14" s="277"/>
      <c r="E14" s="277"/>
      <c r="F14" s="277"/>
      <c r="G14" s="277"/>
      <c r="H14" s="277"/>
      <c r="I14" s="277"/>
      <c r="J14" s="139"/>
      <c r="K14" s="139"/>
      <c r="L14" s="139"/>
      <c r="M14" s="139"/>
      <c r="N14" s="139"/>
      <c r="O14" s="139"/>
      <c r="P14" s="140"/>
    </row>
    <row r="15" spans="1:16" x14ac:dyDescent="0.25">
      <c r="A15" s="138"/>
      <c r="B15" s="145"/>
      <c r="C15" s="145"/>
      <c r="D15" s="145"/>
      <c r="E15" s="145"/>
      <c r="F15" s="139"/>
      <c r="G15" s="139"/>
      <c r="H15" s="139"/>
      <c r="I15" s="139"/>
      <c r="J15" s="139"/>
      <c r="K15" s="139"/>
      <c r="L15" s="139"/>
      <c r="M15" s="139"/>
      <c r="N15" s="139"/>
      <c r="O15" s="139"/>
      <c r="P15" s="140"/>
    </row>
    <row r="16" spans="1:16" ht="13" x14ac:dyDescent="0.25">
      <c r="A16" s="138"/>
      <c r="B16" s="148" t="s">
        <v>54</v>
      </c>
      <c r="C16" s="145"/>
      <c r="D16" s="145"/>
      <c r="E16" s="145"/>
      <c r="F16" s="139"/>
      <c r="G16" s="139"/>
      <c r="H16" s="139"/>
      <c r="I16" s="139"/>
      <c r="J16" s="139"/>
      <c r="K16" s="139"/>
      <c r="L16" s="139"/>
      <c r="M16" s="139"/>
      <c r="N16" s="139"/>
      <c r="O16" s="139"/>
      <c r="P16" s="140"/>
    </row>
    <row r="17" spans="1:16" ht="13" x14ac:dyDescent="0.3">
      <c r="A17" s="138"/>
      <c r="B17" s="149" t="s">
        <v>62</v>
      </c>
      <c r="C17" s="145"/>
      <c r="D17" s="145"/>
      <c r="E17" s="145"/>
      <c r="F17" s="139"/>
      <c r="G17" s="139"/>
      <c r="H17" s="139"/>
      <c r="I17" s="139"/>
      <c r="J17" s="139"/>
      <c r="K17" s="139"/>
      <c r="L17" s="139"/>
      <c r="M17" s="139"/>
      <c r="N17" s="139"/>
      <c r="O17" s="139"/>
      <c r="P17" s="140"/>
    </row>
    <row r="18" spans="1:16" ht="13" x14ac:dyDescent="0.3">
      <c r="A18" s="138"/>
      <c r="B18" s="149" t="s">
        <v>175</v>
      </c>
      <c r="C18" s="145"/>
      <c r="D18" s="145"/>
      <c r="E18" s="145"/>
      <c r="F18" s="139"/>
      <c r="G18" s="139"/>
      <c r="H18" s="139"/>
      <c r="I18" s="139"/>
      <c r="J18" s="139"/>
      <c r="K18" s="139"/>
      <c r="L18" s="139"/>
      <c r="M18" s="139"/>
      <c r="N18" s="139"/>
      <c r="O18" s="139"/>
      <c r="P18" s="140"/>
    </row>
    <row r="19" spans="1:16" ht="13" x14ac:dyDescent="0.3">
      <c r="A19" s="138"/>
      <c r="B19" s="149" t="s">
        <v>176</v>
      </c>
      <c r="C19" s="145"/>
      <c r="D19" s="145"/>
      <c r="E19" s="145"/>
      <c r="F19" s="139"/>
      <c r="G19" s="139"/>
      <c r="H19" s="139"/>
      <c r="I19" s="139"/>
      <c r="J19" s="139"/>
      <c r="K19" s="139"/>
      <c r="L19" s="139"/>
      <c r="M19" s="139"/>
      <c r="N19" s="139"/>
      <c r="O19" s="139"/>
      <c r="P19" s="140"/>
    </row>
    <row r="20" spans="1:16" ht="13" x14ac:dyDescent="0.3">
      <c r="A20" s="138"/>
      <c r="B20" s="149" t="s">
        <v>177</v>
      </c>
      <c r="C20" s="145"/>
      <c r="D20" s="145"/>
      <c r="E20" s="145"/>
      <c r="F20" s="139"/>
      <c r="G20" s="139"/>
      <c r="H20" s="139"/>
      <c r="I20" s="139"/>
      <c r="J20" s="139"/>
      <c r="K20" s="139"/>
      <c r="L20" s="139"/>
      <c r="M20" s="139"/>
      <c r="N20" s="139"/>
      <c r="O20" s="139"/>
      <c r="P20" s="140"/>
    </row>
    <row r="21" spans="1:16" ht="13" x14ac:dyDescent="0.3">
      <c r="A21" s="138"/>
      <c r="B21" s="149"/>
      <c r="C21" s="145"/>
      <c r="D21" s="145"/>
      <c r="E21" s="145"/>
      <c r="F21" s="139"/>
      <c r="G21" s="139"/>
      <c r="H21" s="139"/>
      <c r="I21" s="139"/>
      <c r="J21" s="139"/>
      <c r="K21" s="139"/>
      <c r="L21" s="139"/>
      <c r="M21" s="139"/>
      <c r="N21" s="139"/>
      <c r="O21" s="139"/>
      <c r="P21" s="140"/>
    </row>
    <row r="22" spans="1:16" ht="20" x14ac:dyDescent="0.4">
      <c r="A22" s="138"/>
      <c r="B22" s="144" t="s">
        <v>55</v>
      </c>
      <c r="C22" s="139"/>
      <c r="D22" s="139"/>
      <c r="E22" s="139"/>
      <c r="F22" s="139"/>
      <c r="G22" s="139"/>
      <c r="H22" s="139"/>
      <c r="I22" s="139"/>
      <c r="J22" s="139"/>
      <c r="K22" s="139"/>
      <c r="L22" s="139"/>
      <c r="M22" s="139"/>
      <c r="N22" s="139"/>
      <c r="O22" s="139"/>
      <c r="P22" s="140"/>
    </row>
    <row r="23" spans="1:16" x14ac:dyDescent="0.25">
      <c r="A23" s="138"/>
      <c r="B23" s="153" t="s">
        <v>61</v>
      </c>
      <c r="C23" s="139"/>
      <c r="D23" s="139"/>
      <c r="E23" s="139"/>
      <c r="F23" s="139"/>
      <c r="G23" s="139"/>
      <c r="H23" s="139"/>
      <c r="I23" s="139"/>
      <c r="J23" s="139"/>
      <c r="K23" s="139"/>
      <c r="L23" s="139"/>
      <c r="M23" s="139"/>
      <c r="N23" s="139"/>
      <c r="O23" s="139"/>
      <c r="P23" s="140"/>
    </row>
    <row r="24" spans="1:16" x14ac:dyDescent="0.25">
      <c r="A24" s="138"/>
      <c r="B24" s="139" t="s">
        <v>56</v>
      </c>
      <c r="C24" s="139"/>
      <c r="D24" s="139"/>
      <c r="E24" s="139"/>
      <c r="F24" s="139"/>
      <c r="G24" s="139"/>
      <c r="H24" s="139"/>
      <c r="I24" s="139"/>
      <c r="J24" s="139"/>
      <c r="K24" s="139"/>
      <c r="L24" s="139"/>
      <c r="M24" s="139"/>
      <c r="N24" s="139"/>
      <c r="O24" s="139"/>
      <c r="P24" s="140"/>
    </row>
    <row r="25" spans="1:16" x14ac:dyDescent="0.25">
      <c r="A25" s="138"/>
      <c r="B25" s="139"/>
      <c r="C25" s="139"/>
      <c r="D25" s="139"/>
      <c r="E25" s="139"/>
      <c r="F25" s="139"/>
      <c r="G25" s="139"/>
      <c r="H25" s="139"/>
      <c r="I25" s="139"/>
      <c r="J25" s="139"/>
      <c r="K25" s="139"/>
      <c r="L25" s="139"/>
      <c r="M25" s="139"/>
      <c r="N25" s="139"/>
      <c r="O25" s="139"/>
      <c r="P25" s="140"/>
    </row>
    <row r="26" spans="1:16" x14ac:dyDescent="0.25">
      <c r="A26" s="138"/>
      <c r="B26" s="153" t="s">
        <v>60</v>
      </c>
      <c r="C26" s="139"/>
      <c r="D26" s="139"/>
      <c r="E26" s="139"/>
      <c r="F26" s="139"/>
      <c r="G26" s="139"/>
      <c r="H26" s="139"/>
      <c r="I26" s="139"/>
      <c r="J26" s="139"/>
      <c r="K26" s="139"/>
      <c r="L26" s="139"/>
      <c r="M26" s="139"/>
      <c r="N26" s="139"/>
      <c r="O26" s="139"/>
      <c r="P26" s="140"/>
    </row>
    <row r="27" spans="1:16" x14ac:dyDescent="0.25">
      <c r="A27" s="138"/>
      <c r="B27" s="139"/>
      <c r="C27" s="139"/>
      <c r="D27" s="139"/>
      <c r="E27" s="139"/>
      <c r="F27" s="139"/>
      <c r="G27" s="139"/>
      <c r="H27" s="139"/>
      <c r="I27" s="139"/>
      <c r="J27" s="139"/>
      <c r="K27" s="139"/>
      <c r="L27" s="139"/>
      <c r="M27" s="139"/>
      <c r="N27" s="139"/>
      <c r="O27" s="139"/>
      <c r="P27" s="140"/>
    </row>
    <row r="28" spans="1:16" x14ac:dyDescent="0.25">
      <c r="A28" s="138"/>
      <c r="B28" s="139" t="s">
        <v>57</v>
      </c>
      <c r="C28" s="139"/>
      <c r="D28" s="139"/>
      <c r="E28" s="139"/>
      <c r="F28" s="139"/>
      <c r="G28" s="139"/>
      <c r="H28" s="139"/>
      <c r="I28" s="139"/>
      <c r="J28" s="139"/>
      <c r="K28" s="139"/>
      <c r="L28" s="139"/>
      <c r="M28" s="139"/>
      <c r="N28" s="139"/>
      <c r="O28" s="139"/>
      <c r="P28" s="140"/>
    </row>
    <row r="29" spans="1:16" x14ac:dyDescent="0.25">
      <c r="A29" s="138"/>
      <c r="B29" s="153"/>
      <c r="C29" s="139"/>
      <c r="D29" s="139"/>
      <c r="E29" s="139"/>
      <c r="F29" s="139"/>
      <c r="G29" s="139"/>
      <c r="H29" s="139"/>
      <c r="I29" s="139"/>
      <c r="J29" s="139"/>
      <c r="K29" s="139"/>
      <c r="L29" s="139"/>
      <c r="M29" s="139"/>
      <c r="N29" s="139"/>
      <c r="O29" s="139"/>
      <c r="P29" s="140"/>
    </row>
    <row r="30" spans="1:16" ht="13" thickBot="1" x14ac:dyDescent="0.3">
      <c r="A30" s="138"/>
      <c r="B30" s="139"/>
      <c r="C30" s="139"/>
      <c r="D30" s="139"/>
      <c r="E30" s="139"/>
      <c r="F30" s="139"/>
      <c r="G30" s="139"/>
      <c r="H30" s="139"/>
      <c r="I30" s="139"/>
      <c r="J30" s="139"/>
      <c r="K30" s="139"/>
      <c r="L30" s="139"/>
      <c r="M30" s="139"/>
      <c r="N30" s="139"/>
      <c r="O30" s="139"/>
      <c r="P30" s="140"/>
    </row>
    <row r="31" spans="1:16" x14ac:dyDescent="0.25">
      <c r="A31" s="138"/>
      <c r="B31" s="278" t="s">
        <v>67</v>
      </c>
      <c r="C31" s="279"/>
      <c r="D31" s="279"/>
      <c r="E31" s="279"/>
      <c r="F31" s="279"/>
      <c r="G31" s="279"/>
      <c r="H31" s="279"/>
      <c r="I31" s="279"/>
      <c r="J31" s="279"/>
      <c r="K31" s="279"/>
      <c r="L31" s="279"/>
      <c r="M31" s="280"/>
      <c r="N31" s="139"/>
      <c r="O31" s="139"/>
      <c r="P31" s="140"/>
    </row>
    <row r="32" spans="1:16" x14ac:dyDescent="0.25">
      <c r="A32" s="138"/>
      <c r="B32" s="281"/>
      <c r="C32" s="282"/>
      <c r="D32" s="282"/>
      <c r="E32" s="282"/>
      <c r="F32" s="282"/>
      <c r="G32" s="282"/>
      <c r="H32" s="282"/>
      <c r="I32" s="282"/>
      <c r="J32" s="282"/>
      <c r="K32" s="282"/>
      <c r="L32" s="282"/>
      <c r="M32" s="283"/>
      <c r="N32" s="139"/>
      <c r="O32" s="139"/>
      <c r="P32" s="140"/>
    </row>
    <row r="33" spans="1:16" x14ac:dyDescent="0.25">
      <c r="A33" s="138"/>
      <c r="B33" s="281"/>
      <c r="C33" s="282"/>
      <c r="D33" s="282"/>
      <c r="E33" s="282"/>
      <c r="F33" s="282"/>
      <c r="G33" s="282"/>
      <c r="H33" s="282"/>
      <c r="I33" s="282"/>
      <c r="J33" s="282"/>
      <c r="K33" s="282"/>
      <c r="L33" s="282"/>
      <c r="M33" s="283"/>
      <c r="N33" s="139"/>
      <c r="O33" s="139"/>
      <c r="P33" s="140"/>
    </row>
    <row r="34" spans="1:16" x14ac:dyDescent="0.25">
      <c r="A34" s="138"/>
      <c r="B34" s="281"/>
      <c r="C34" s="282"/>
      <c r="D34" s="282"/>
      <c r="E34" s="282"/>
      <c r="F34" s="282"/>
      <c r="G34" s="282"/>
      <c r="H34" s="282"/>
      <c r="I34" s="282"/>
      <c r="J34" s="282"/>
      <c r="K34" s="282"/>
      <c r="L34" s="282"/>
      <c r="M34" s="283"/>
      <c r="N34" s="139"/>
      <c r="O34" s="139"/>
      <c r="P34" s="140"/>
    </row>
    <row r="35" spans="1:16" x14ac:dyDescent="0.25">
      <c r="A35" s="138"/>
      <c r="B35" s="281"/>
      <c r="C35" s="282"/>
      <c r="D35" s="282"/>
      <c r="E35" s="282"/>
      <c r="F35" s="282"/>
      <c r="G35" s="282"/>
      <c r="H35" s="282"/>
      <c r="I35" s="282"/>
      <c r="J35" s="282"/>
      <c r="K35" s="282"/>
      <c r="L35" s="282"/>
      <c r="M35" s="283"/>
      <c r="N35" s="139"/>
      <c r="O35" s="139"/>
      <c r="P35" s="140"/>
    </row>
    <row r="36" spans="1:16" x14ac:dyDescent="0.25">
      <c r="A36" s="138"/>
      <c r="B36" s="281"/>
      <c r="C36" s="282"/>
      <c r="D36" s="282"/>
      <c r="E36" s="282"/>
      <c r="F36" s="282"/>
      <c r="G36" s="282"/>
      <c r="H36" s="282"/>
      <c r="I36" s="282"/>
      <c r="J36" s="282"/>
      <c r="K36" s="282"/>
      <c r="L36" s="282"/>
      <c r="M36" s="283"/>
      <c r="N36" s="139"/>
      <c r="O36" s="139"/>
      <c r="P36" s="140"/>
    </row>
    <row r="37" spans="1:16" x14ac:dyDescent="0.25">
      <c r="A37" s="138"/>
      <c r="B37" s="281"/>
      <c r="C37" s="282"/>
      <c r="D37" s="282"/>
      <c r="E37" s="282"/>
      <c r="F37" s="282"/>
      <c r="G37" s="282"/>
      <c r="H37" s="282"/>
      <c r="I37" s="282"/>
      <c r="J37" s="282"/>
      <c r="K37" s="282"/>
      <c r="L37" s="282"/>
      <c r="M37" s="283"/>
      <c r="N37" s="139"/>
      <c r="O37" s="139"/>
      <c r="P37" s="140"/>
    </row>
    <row r="38" spans="1:16" x14ac:dyDescent="0.25">
      <c r="A38" s="138"/>
      <c r="B38" s="281"/>
      <c r="C38" s="282"/>
      <c r="D38" s="282"/>
      <c r="E38" s="282"/>
      <c r="F38" s="282"/>
      <c r="G38" s="282"/>
      <c r="H38" s="282"/>
      <c r="I38" s="282"/>
      <c r="J38" s="282"/>
      <c r="K38" s="282"/>
      <c r="L38" s="282"/>
      <c r="M38" s="283"/>
      <c r="N38" s="139"/>
      <c r="O38" s="139"/>
      <c r="P38" s="140"/>
    </row>
    <row r="39" spans="1:16" x14ac:dyDescent="0.25">
      <c r="A39" s="138"/>
      <c r="B39" s="281"/>
      <c r="C39" s="282"/>
      <c r="D39" s="282"/>
      <c r="E39" s="282"/>
      <c r="F39" s="282"/>
      <c r="G39" s="282"/>
      <c r="H39" s="282"/>
      <c r="I39" s="282"/>
      <c r="J39" s="282"/>
      <c r="K39" s="282"/>
      <c r="L39" s="282"/>
      <c r="M39" s="283"/>
      <c r="N39" s="139"/>
      <c r="O39" s="139"/>
      <c r="P39" s="140"/>
    </row>
    <row r="40" spans="1:16" x14ac:dyDescent="0.25">
      <c r="A40" s="138"/>
      <c r="B40" s="281"/>
      <c r="C40" s="282"/>
      <c r="D40" s="282"/>
      <c r="E40" s="282"/>
      <c r="F40" s="282"/>
      <c r="G40" s="282"/>
      <c r="H40" s="282"/>
      <c r="I40" s="282"/>
      <c r="J40" s="282"/>
      <c r="K40" s="282"/>
      <c r="L40" s="282"/>
      <c r="M40" s="283"/>
      <c r="N40" s="139"/>
      <c r="O40" s="139"/>
      <c r="P40" s="140"/>
    </row>
    <row r="41" spans="1:16" x14ac:dyDescent="0.25">
      <c r="A41" s="138"/>
      <c r="B41" s="281"/>
      <c r="C41" s="282"/>
      <c r="D41" s="282"/>
      <c r="E41" s="282"/>
      <c r="F41" s="282"/>
      <c r="G41" s="282"/>
      <c r="H41" s="282"/>
      <c r="I41" s="282"/>
      <c r="J41" s="282"/>
      <c r="K41" s="282"/>
      <c r="L41" s="282"/>
      <c r="M41" s="283"/>
      <c r="N41" s="139"/>
      <c r="O41" s="139"/>
      <c r="P41" s="140"/>
    </row>
    <row r="42" spans="1:16" x14ac:dyDescent="0.25">
      <c r="A42" s="138"/>
      <c r="B42" s="281"/>
      <c r="C42" s="282"/>
      <c r="D42" s="282"/>
      <c r="E42" s="282"/>
      <c r="F42" s="282"/>
      <c r="G42" s="282"/>
      <c r="H42" s="282"/>
      <c r="I42" s="282"/>
      <c r="J42" s="282"/>
      <c r="K42" s="282"/>
      <c r="L42" s="282"/>
      <c r="M42" s="283"/>
      <c r="N42" s="139"/>
      <c r="O42" s="139"/>
      <c r="P42" s="140"/>
    </row>
    <row r="43" spans="1:16" x14ac:dyDescent="0.25">
      <c r="A43" s="138"/>
      <c r="B43" s="281"/>
      <c r="C43" s="282"/>
      <c r="D43" s="282"/>
      <c r="E43" s="282"/>
      <c r="F43" s="282"/>
      <c r="G43" s="282"/>
      <c r="H43" s="282"/>
      <c r="I43" s="282"/>
      <c r="J43" s="282"/>
      <c r="K43" s="282"/>
      <c r="L43" s="282"/>
      <c r="M43" s="283"/>
      <c r="N43" s="139"/>
      <c r="O43" s="139"/>
      <c r="P43" s="140"/>
    </row>
    <row r="44" spans="1:16" x14ac:dyDescent="0.25">
      <c r="A44" s="138"/>
      <c r="B44" s="281"/>
      <c r="C44" s="282"/>
      <c r="D44" s="282"/>
      <c r="E44" s="282"/>
      <c r="F44" s="282"/>
      <c r="G44" s="282"/>
      <c r="H44" s="282"/>
      <c r="I44" s="282"/>
      <c r="J44" s="282"/>
      <c r="K44" s="282"/>
      <c r="L44" s="282"/>
      <c r="M44" s="283"/>
      <c r="N44" s="139"/>
      <c r="O44" s="139"/>
      <c r="P44" s="140"/>
    </row>
    <row r="45" spans="1:16" x14ac:dyDescent="0.25">
      <c r="A45" s="138"/>
      <c r="B45" s="281"/>
      <c r="C45" s="282"/>
      <c r="D45" s="282"/>
      <c r="E45" s="282"/>
      <c r="F45" s="282"/>
      <c r="G45" s="282"/>
      <c r="H45" s="282"/>
      <c r="I45" s="282"/>
      <c r="J45" s="282"/>
      <c r="K45" s="282"/>
      <c r="L45" s="282"/>
      <c r="M45" s="283"/>
      <c r="N45" s="139"/>
      <c r="O45" s="139"/>
      <c r="P45" s="140"/>
    </row>
    <row r="46" spans="1:16" x14ac:dyDescent="0.25">
      <c r="A46" s="138"/>
      <c r="B46" s="281"/>
      <c r="C46" s="282"/>
      <c r="D46" s="282"/>
      <c r="E46" s="282"/>
      <c r="F46" s="282"/>
      <c r="G46" s="282"/>
      <c r="H46" s="282"/>
      <c r="I46" s="282"/>
      <c r="J46" s="282"/>
      <c r="K46" s="282"/>
      <c r="L46" s="282"/>
      <c r="M46" s="283"/>
      <c r="N46" s="139"/>
      <c r="O46" s="139"/>
      <c r="P46" s="140"/>
    </row>
    <row r="47" spans="1:16" x14ac:dyDescent="0.25">
      <c r="A47" s="138"/>
      <c r="B47" s="281"/>
      <c r="C47" s="282"/>
      <c r="D47" s="282"/>
      <c r="E47" s="282"/>
      <c r="F47" s="282"/>
      <c r="G47" s="282"/>
      <c r="H47" s="282"/>
      <c r="I47" s="282"/>
      <c r="J47" s="282"/>
      <c r="K47" s="282"/>
      <c r="L47" s="282"/>
      <c r="M47" s="283"/>
      <c r="N47" s="139"/>
      <c r="O47" s="139"/>
      <c r="P47" s="140"/>
    </row>
    <row r="48" spans="1:16" x14ac:dyDescent="0.25">
      <c r="A48" s="138"/>
      <c r="B48" s="281"/>
      <c r="C48" s="282"/>
      <c r="D48" s="282"/>
      <c r="E48" s="282"/>
      <c r="F48" s="282"/>
      <c r="G48" s="282"/>
      <c r="H48" s="282"/>
      <c r="I48" s="282"/>
      <c r="J48" s="282"/>
      <c r="K48" s="282"/>
      <c r="L48" s="282"/>
      <c r="M48" s="283"/>
      <c r="N48" s="139"/>
      <c r="O48" s="139"/>
      <c r="P48" s="140"/>
    </row>
    <row r="49" spans="1:16" x14ac:dyDescent="0.25">
      <c r="A49" s="138"/>
      <c r="B49" s="281"/>
      <c r="C49" s="282"/>
      <c r="D49" s="282"/>
      <c r="E49" s="282"/>
      <c r="F49" s="282"/>
      <c r="G49" s="282"/>
      <c r="H49" s="282"/>
      <c r="I49" s="282"/>
      <c r="J49" s="282"/>
      <c r="K49" s="282"/>
      <c r="L49" s="282"/>
      <c r="M49" s="283"/>
      <c r="N49" s="139"/>
      <c r="O49" s="139"/>
      <c r="P49" s="140"/>
    </row>
    <row r="50" spans="1:16" x14ac:dyDescent="0.25">
      <c r="A50" s="138"/>
      <c r="B50" s="281"/>
      <c r="C50" s="282"/>
      <c r="D50" s="282"/>
      <c r="E50" s="282"/>
      <c r="F50" s="282"/>
      <c r="G50" s="282"/>
      <c r="H50" s="282"/>
      <c r="I50" s="282"/>
      <c r="J50" s="282"/>
      <c r="K50" s="282"/>
      <c r="L50" s="282"/>
      <c r="M50" s="283"/>
      <c r="N50" s="139"/>
      <c r="O50" s="139"/>
      <c r="P50" s="140"/>
    </row>
    <row r="51" spans="1:16" x14ac:dyDescent="0.25">
      <c r="A51" s="138"/>
      <c r="B51" s="281"/>
      <c r="C51" s="282"/>
      <c r="D51" s="282"/>
      <c r="E51" s="282"/>
      <c r="F51" s="282"/>
      <c r="G51" s="282"/>
      <c r="H51" s="282"/>
      <c r="I51" s="282"/>
      <c r="J51" s="282"/>
      <c r="K51" s="282"/>
      <c r="L51" s="282"/>
      <c r="M51" s="283"/>
      <c r="N51" s="139"/>
      <c r="O51" s="139"/>
      <c r="P51" s="140"/>
    </row>
    <row r="52" spans="1:16" x14ac:dyDescent="0.25">
      <c r="A52" s="138"/>
      <c r="B52" s="281"/>
      <c r="C52" s="282"/>
      <c r="D52" s="282"/>
      <c r="E52" s="282"/>
      <c r="F52" s="282"/>
      <c r="G52" s="282"/>
      <c r="H52" s="282"/>
      <c r="I52" s="282"/>
      <c r="J52" s="282"/>
      <c r="K52" s="282"/>
      <c r="L52" s="282"/>
      <c r="M52" s="283"/>
      <c r="N52" s="139"/>
      <c r="O52" s="139"/>
      <c r="P52" s="140"/>
    </row>
    <row r="53" spans="1:16" x14ac:dyDescent="0.25">
      <c r="A53" s="138"/>
      <c r="B53" s="281"/>
      <c r="C53" s="282"/>
      <c r="D53" s="282"/>
      <c r="E53" s="282"/>
      <c r="F53" s="282"/>
      <c r="G53" s="282"/>
      <c r="H53" s="282"/>
      <c r="I53" s="282"/>
      <c r="J53" s="282"/>
      <c r="K53" s="282"/>
      <c r="L53" s="282"/>
      <c r="M53" s="283"/>
      <c r="N53" s="139"/>
      <c r="O53" s="139"/>
      <c r="P53" s="140"/>
    </row>
    <row r="54" spans="1:16" x14ac:dyDescent="0.25">
      <c r="A54" s="138"/>
      <c r="B54" s="281"/>
      <c r="C54" s="282"/>
      <c r="D54" s="282"/>
      <c r="E54" s="282"/>
      <c r="F54" s="282"/>
      <c r="G54" s="282"/>
      <c r="H54" s="282"/>
      <c r="I54" s="282"/>
      <c r="J54" s="282"/>
      <c r="K54" s="282"/>
      <c r="L54" s="282"/>
      <c r="M54" s="283"/>
      <c r="N54" s="139"/>
      <c r="O54" s="139"/>
      <c r="P54" s="140"/>
    </row>
    <row r="55" spans="1:16" x14ac:dyDescent="0.25">
      <c r="A55" s="138"/>
      <c r="B55" s="281"/>
      <c r="C55" s="282"/>
      <c r="D55" s="282"/>
      <c r="E55" s="282"/>
      <c r="F55" s="282"/>
      <c r="G55" s="282"/>
      <c r="H55" s="282"/>
      <c r="I55" s="282"/>
      <c r="J55" s="282"/>
      <c r="K55" s="282"/>
      <c r="L55" s="282"/>
      <c r="M55" s="283"/>
      <c r="N55" s="139"/>
      <c r="O55" s="139"/>
      <c r="P55" s="140"/>
    </row>
    <row r="56" spans="1:16" x14ac:dyDescent="0.25">
      <c r="A56" s="138"/>
      <c r="B56" s="281"/>
      <c r="C56" s="282"/>
      <c r="D56" s="282"/>
      <c r="E56" s="282"/>
      <c r="F56" s="282"/>
      <c r="G56" s="282"/>
      <c r="H56" s="282"/>
      <c r="I56" s="282"/>
      <c r="J56" s="282"/>
      <c r="K56" s="282"/>
      <c r="L56" s="282"/>
      <c r="M56" s="283"/>
      <c r="N56" s="139"/>
      <c r="O56" s="139"/>
      <c r="P56" s="140"/>
    </row>
    <row r="57" spans="1:16" x14ac:dyDescent="0.25">
      <c r="A57" s="138"/>
      <c r="B57" s="281"/>
      <c r="C57" s="282"/>
      <c r="D57" s="282"/>
      <c r="E57" s="282"/>
      <c r="F57" s="282"/>
      <c r="G57" s="282"/>
      <c r="H57" s="282"/>
      <c r="I57" s="282"/>
      <c r="J57" s="282"/>
      <c r="K57" s="282"/>
      <c r="L57" s="282"/>
      <c r="M57" s="283"/>
      <c r="N57" s="139"/>
      <c r="O57" s="139"/>
      <c r="P57" s="140"/>
    </row>
    <row r="58" spans="1:16" x14ac:dyDescent="0.25">
      <c r="A58" s="138"/>
      <c r="B58" s="281"/>
      <c r="C58" s="282"/>
      <c r="D58" s="282"/>
      <c r="E58" s="282"/>
      <c r="F58" s="282"/>
      <c r="G58" s="282"/>
      <c r="H58" s="282"/>
      <c r="I58" s="282"/>
      <c r="J58" s="282"/>
      <c r="K58" s="282"/>
      <c r="L58" s="282"/>
      <c r="M58" s="283"/>
      <c r="N58" s="139"/>
      <c r="O58" s="139"/>
      <c r="P58" s="140"/>
    </row>
    <row r="59" spans="1:16" x14ac:dyDescent="0.25">
      <c r="A59" s="138"/>
      <c r="B59" s="281"/>
      <c r="C59" s="282"/>
      <c r="D59" s="282"/>
      <c r="E59" s="282"/>
      <c r="F59" s="282"/>
      <c r="G59" s="282"/>
      <c r="H59" s="282"/>
      <c r="I59" s="282"/>
      <c r="J59" s="282"/>
      <c r="K59" s="282"/>
      <c r="L59" s="282"/>
      <c r="M59" s="283"/>
      <c r="N59" s="139"/>
      <c r="O59" s="139"/>
      <c r="P59" s="140"/>
    </row>
    <row r="60" spans="1:16" x14ac:dyDescent="0.25">
      <c r="A60" s="138"/>
      <c r="B60" s="281"/>
      <c r="C60" s="282"/>
      <c r="D60" s="282"/>
      <c r="E60" s="282"/>
      <c r="F60" s="282"/>
      <c r="G60" s="282"/>
      <c r="H60" s="282"/>
      <c r="I60" s="282"/>
      <c r="J60" s="282"/>
      <c r="K60" s="282"/>
      <c r="L60" s="282"/>
      <c r="M60" s="283"/>
      <c r="N60" s="139"/>
      <c r="O60" s="139"/>
      <c r="P60" s="140"/>
    </row>
    <row r="61" spans="1:16" x14ac:dyDescent="0.25">
      <c r="A61" s="138"/>
      <c r="B61" s="281"/>
      <c r="C61" s="282"/>
      <c r="D61" s="282"/>
      <c r="E61" s="282"/>
      <c r="F61" s="282"/>
      <c r="G61" s="282"/>
      <c r="H61" s="282"/>
      <c r="I61" s="282"/>
      <c r="J61" s="282"/>
      <c r="K61" s="282"/>
      <c r="L61" s="282"/>
      <c r="M61" s="283"/>
      <c r="N61" s="139"/>
      <c r="O61" s="139"/>
      <c r="P61" s="140"/>
    </row>
    <row r="62" spans="1:16" x14ac:dyDescent="0.25">
      <c r="A62" s="138"/>
      <c r="B62" s="281"/>
      <c r="C62" s="282"/>
      <c r="D62" s="282"/>
      <c r="E62" s="282"/>
      <c r="F62" s="282"/>
      <c r="G62" s="282"/>
      <c r="H62" s="282"/>
      <c r="I62" s="282"/>
      <c r="J62" s="282"/>
      <c r="K62" s="282"/>
      <c r="L62" s="282"/>
      <c r="M62" s="283"/>
      <c r="N62" s="139"/>
      <c r="O62" s="139"/>
      <c r="P62" s="140"/>
    </row>
    <row r="63" spans="1:16" x14ac:dyDescent="0.25">
      <c r="A63" s="138"/>
      <c r="B63" s="281"/>
      <c r="C63" s="282"/>
      <c r="D63" s="282"/>
      <c r="E63" s="282"/>
      <c r="F63" s="282"/>
      <c r="G63" s="282"/>
      <c r="H63" s="282"/>
      <c r="I63" s="282"/>
      <c r="J63" s="282"/>
      <c r="K63" s="282"/>
      <c r="L63" s="282"/>
      <c r="M63" s="283"/>
      <c r="N63" s="139"/>
      <c r="O63" s="139"/>
      <c r="P63" s="140"/>
    </row>
    <row r="64" spans="1:16" x14ac:dyDescent="0.25">
      <c r="A64" s="138"/>
      <c r="B64" s="281"/>
      <c r="C64" s="282"/>
      <c r="D64" s="282"/>
      <c r="E64" s="282"/>
      <c r="F64" s="282"/>
      <c r="G64" s="282"/>
      <c r="H64" s="282"/>
      <c r="I64" s="282"/>
      <c r="J64" s="282"/>
      <c r="K64" s="282"/>
      <c r="L64" s="282"/>
      <c r="M64" s="283"/>
      <c r="N64" s="139"/>
      <c r="O64" s="139"/>
      <c r="P64" s="140"/>
    </row>
    <row r="65" spans="1:16" x14ac:dyDescent="0.25">
      <c r="A65" s="138"/>
      <c r="B65" s="281"/>
      <c r="C65" s="282"/>
      <c r="D65" s="282"/>
      <c r="E65" s="282"/>
      <c r="F65" s="282"/>
      <c r="G65" s="282"/>
      <c r="H65" s="282"/>
      <c r="I65" s="282"/>
      <c r="J65" s="282"/>
      <c r="K65" s="282"/>
      <c r="L65" s="282"/>
      <c r="M65" s="283"/>
      <c r="N65" s="139"/>
      <c r="O65" s="139"/>
      <c r="P65" s="140"/>
    </row>
    <row r="66" spans="1:16" x14ac:dyDescent="0.25">
      <c r="A66" s="138"/>
      <c r="B66" s="281"/>
      <c r="C66" s="282"/>
      <c r="D66" s="282"/>
      <c r="E66" s="282"/>
      <c r="F66" s="282"/>
      <c r="G66" s="282"/>
      <c r="H66" s="282"/>
      <c r="I66" s="282"/>
      <c r="J66" s="282"/>
      <c r="K66" s="282"/>
      <c r="L66" s="282"/>
      <c r="M66" s="283"/>
      <c r="N66" s="139"/>
      <c r="O66" s="139"/>
      <c r="P66" s="140"/>
    </row>
    <row r="67" spans="1:16" x14ac:dyDescent="0.25">
      <c r="A67" s="138"/>
      <c r="B67" s="281"/>
      <c r="C67" s="282"/>
      <c r="D67" s="282"/>
      <c r="E67" s="282"/>
      <c r="F67" s="282"/>
      <c r="G67" s="282"/>
      <c r="H67" s="282"/>
      <c r="I67" s="282"/>
      <c r="J67" s="282"/>
      <c r="K67" s="282"/>
      <c r="L67" s="282"/>
      <c r="M67" s="283"/>
      <c r="N67" s="139"/>
      <c r="O67" s="139"/>
      <c r="P67" s="140"/>
    </row>
    <row r="68" spans="1:16" x14ac:dyDescent="0.25">
      <c r="A68" s="138"/>
      <c r="B68" s="281"/>
      <c r="C68" s="282"/>
      <c r="D68" s="282"/>
      <c r="E68" s="282"/>
      <c r="F68" s="282"/>
      <c r="G68" s="282"/>
      <c r="H68" s="282"/>
      <c r="I68" s="282"/>
      <c r="J68" s="282"/>
      <c r="K68" s="282"/>
      <c r="L68" s="282"/>
      <c r="M68" s="283"/>
      <c r="N68" s="139"/>
      <c r="O68" s="139"/>
      <c r="P68" s="140"/>
    </row>
    <row r="69" spans="1:16" x14ac:dyDescent="0.25">
      <c r="A69" s="138"/>
      <c r="B69" s="281"/>
      <c r="C69" s="282"/>
      <c r="D69" s="282"/>
      <c r="E69" s="282"/>
      <c r="F69" s="282"/>
      <c r="G69" s="282"/>
      <c r="H69" s="282"/>
      <c r="I69" s="282"/>
      <c r="J69" s="282"/>
      <c r="K69" s="282"/>
      <c r="L69" s="282"/>
      <c r="M69" s="283"/>
      <c r="N69" s="139"/>
      <c r="O69" s="139"/>
      <c r="P69" s="140"/>
    </row>
    <row r="70" spans="1:16" x14ac:dyDescent="0.25">
      <c r="A70" s="138"/>
      <c r="B70" s="281"/>
      <c r="C70" s="282"/>
      <c r="D70" s="282"/>
      <c r="E70" s="282"/>
      <c r="F70" s="282"/>
      <c r="G70" s="282"/>
      <c r="H70" s="282"/>
      <c r="I70" s="282"/>
      <c r="J70" s="282"/>
      <c r="K70" s="282"/>
      <c r="L70" s="282"/>
      <c r="M70" s="283"/>
      <c r="N70" s="139"/>
      <c r="O70" s="139"/>
      <c r="P70" s="140"/>
    </row>
    <row r="71" spans="1:16" x14ac:dyDescent="0.25">
      <c r="A71" s="138"/>
      <c r="B71" s="281"/>
      <c r="C71" s="282"/>
      <c r="D71" s="282"/>
      <c r="E71" s="282"/>
      <c r="F71" s="282"/>
      <c r="G71" s="282"/>
      <c r="H71" s="282"/>
      <c r="I71" s="282"/>
      <c r="J71" s="282"/>
      <c r="K71" s="282"/>
      <c r="L71" s="282"/>
      <c r="M71" s="283"/>
      <c r="N71" s="139"/>
      <c r="O71" s="139"/>
      <c r="P71" s="140"/>
    </row>
    <row r="72" spans="1:16" x14ac:dyDescent="0.25">
      <c r="A72" s="138"/>
      <c r="B72" s="281"/>
      <c r="C72" s="282"/>
      <c r="D72" s="282"/>
      <c r="E72" s="282"/>
      <c r="F72" s="282"/>
      <c r="G72" s="282"/>
      <c r="H72" s="282"/>
      <c r="I72" s="282"/>
      <c r="J72" s="282"/>
      <c r="K72" s="282"/>
      <c r="L72" s="282"/>
      <c r="M72" s="283"/>
      <c r="N72" s="139"/>
      <c r="O72" s="139"/>
      <c r="P72" s="140"/>
    </row>
    <row r="73" spans="1:16" x14ac:dyDescent="0.25">
      <c r="A73" s="138"/>
      <c r="B73" s="281"/>
      <c r="C73" s="282"/>
      <c r="D73" s="282"/>
      <c r="E73" s="282"/>
      <c r="F73" s="282"/>
      <c r="G73" s="282"/>
      <c r="H73" s="282"/>
      <c r="I73" s="282"/>
      <c r="J73" s="282"/>
      <c r="K73" s="282"/>
      <c r="L73" s="282"/>
      <c r="M73" s="283"/>
      <c r="N73" s="139"/>
      <c r="O73" s="139"/>
      <c r="P73" s="140"/>
    </row>
    <row r="74" spans="1:16" x14ac:dyDescent="0.25">
      <c r="A74" s="138"/>
      <c r="B74" s="281"/>
      <c r="C74" s="282"/>
      <c r="D74" s="282"/>
      <c r="E74" s="282"/>
      <c r="F74" s="282"/>
      <c r="G74" s="282"/>
      <c r="H74" s="282"/>
      <c r="I74" s="282"/>
      <c r="J74" s="282"/>
      <c r="K74" s="282"/>
      <c r="L74" s="282"/>
      <c r="M74" s="283"/>
      <c r="N74" s="139"/>
      <c r="O74" s="139"/>
      <c r="P74" s="140"/>
    </row>
    <row r="75" spans="1:16" x14ac:dyDescent="0.25">
      <c r="A75" s="138"/>
      <c r="B75" s="281"/>
      <c r="C75" s="282"/>
      <c r="D75" s="282"/>
      <c r="E75" s="282"/>
      <c r="F75" s="282"/>
      <c r="G75" s="282"/>
      <c r="H75" s="282"/>
      <c r="I75" s="282"/>
      <c r="J75" s="282"/>
      <c r="K75" s="282"/>
      <c r="L75" s="282"/>
      <c r="M75" s="283"/>
      <c r="N75" s="139"/>
      <c r="O75" s="139"/>
      <c r="P75" s="140"/>
    </row>
    <row r="76" spans="1:16" x14ac:dyDescent="0.25">
      <c r="A76" s="138"/>
      <c r="B76" s="281"/>
      <c r="C76" s="282"/>
      <c r="D76" s="282"/>
      <c r="E76" s="282"/>
      <c r="F76" s="282"/>
      <c r="G76" s="282"/>
      <c r="H76" s="282"/>
      <c r="I76" s="282"/>
      <c r="J76" s="282"/>
      <c r="K76" s="282"/>
      <c r="L76" s="282"/>
      <c r="M76" s="283"/>
      <c r="N76" s="139"/>
      <c r="O76" s="139"/>
      <c r="P76" s="140"/>
    </row>
    <row r="77" spans="1:16" x14ac:dyDescent="0.25">
      <c r="A77" s="138"/>
      <c r="B77" s="281"/>
      <c r="C77" s="282"/>
      <c r="D77" s="282"/>
      <c r="E77" s="282"/>
      <c r="F77" s="282"/>
      <c r="G77" s="282"/>
      <c r="H77" s="282"/>
      <c r="I77" s="282"/>
      <c r="J77" s="282"/>
      <c r="K77" s="282"/>
      <c r="L77" s="282"/>
      <c r="M77" s="283"/>
      <c r="N77" s="139"/>
      <c r="O77" s="139"/>
      <c r="P77" s="140"/>
    </row>
    <row r="78" spans="1:16" x14ac:dyDescent="0.25">
      <c r="A78" s="138"/>
      <c r="B78" s="281"/>
      <c r="C78" s="282"/>
      <c r="D78" s="282"/>
      <c r="E78" s="282"/>
      <c r="F78" s="282"/>
      <c r="G78" s="282"/>
      <c r="H78" s="282"/>
      <c r="I78" s="282"/>
      <c r="J78" s="282"/>
      <c r="K78" s="282"/>
      <c r="L78" s="282"/>
      <c r="M78" s="283"/>
      <c r="N78" s="139"/>
      <c r="O78" s="139"/>
      <c r="P78" s="140"/>
    </row>
    <row r="79" spans="1:16" x14ac:dyDescent="0.25">
      <c r="A79" s="138"/>
      <c r="B79" s="281"/>
      <c r="C79" s="282"/>
      <c r="D79" s="282"/>
      <c r="E79" s="282"/>
      <c r="F79" s="282"/>
      <c r="G79" s="282"/>
      <c r="H79" s="282"/>
      <c r="I79" s="282"/>
      <c r="J79" s="282"/>
      <c r="K79" s="282"/>
      <c r="L79" s="282"/>
      <c r="M79" s="283"/>
      <c r="N79" s="139"/>
      <c r="O79" s="139"/>
      <c r="P79" s="140"/>
    </row>
    <row r="80" spans="1:16" x14ac:dyDescent="0.25">
      <c r="A80" s="138"/>
      <c r="B80" s="281"/>
      <c r="C80" s="282"/>
      <c r="D80" s="282"/>
      <c r="E80" s="282"/>
      <c r="F80" s="282"/>
      <c r="G80" s="282"/>
      <c r="H80" s="282"/>
      <c r="I80" s="282"/>
      <c r="J80" s="282"/>
      <c r="K80" s="282"/>
      <c r="L80" s="282"/>
      <c r="M80" s="283"/>
      <c r="N80" s="139"/>
      <c r="O80" s="139"/>
      <c r="P80" s="140"/>
    </row>
    <row r="81" spans="1:16" x14ac:dyDescent="0.25">
      <c r="A81" s="138"/>
      <c r="B81" s="281"/>
      <c r="C81" s="282"/>
      <c r="D81" s="282"/>
      <c r="E81" s="282"/>
      <c r="F81" s="282"/>
      <c r="G81" s="282"/>
      <c r="H81" s="282"/>
      <c r="I81" s="282"/>
      <c r="J81" s="282"/>
      <c r="K81" s="282"/>
      <c r="L81" s="282"/>
      <c r="M81" s="283"/>
      <c r="N81" s="139"/>
      <c r="O81" s="139"/>
      <c r="P81" s="140"/>
    </row>
    <row r="82" spans="1:16" x14ac:dyDescent="0.25">
      <c r="A82" s="138"/>
      <c r="B82" s="281"/>
      <c r="C82" s="282"/>
      <c r="D82" s="282"/>
      <c r="E82" s="282"/>
      <c r="F82" s="282"/>
      <c r="G82" s="282"/>
      <c r="H82" s="282"/>
      <c r="I82" s="282"/>
      <c r="J82" s="282"/>
      <c r="K82" s="282"/>
      <c r="L82" s="282"/>
      <c r="M82" s="283"/>
      <c r="N82" s="139"/>
      <c r="O82" s="139"/>
      <c r="P82" s="140"/>
    </row>
    <row r="83" spans="1:16" x14ac:dyDescent="0.25">
      <c r="A83" s="138"/>
      <c r="B83" s="281"/>
      <c r="C83" s="282"/>
      <c r="D83" s="282"/>
      <c r="E83" s="282"/>
      <c r="F83" s="282"/>
      <c r="G83" s="282"/>
      <c r="H83" s="282"/>
      <c r="I83" s="282"/>
      <c r="J83" s="282"/>
      <c r="K83" s="282"/>
      <c r="L83" s="282"/>
      <c r="M83" s="283"/>
      <c r="N83" s="139"/>
      <c r="O83" s="139"/>
      <c r="P83" s="140"/>
    </row>
    <row r="84" spans="1:16" x14ac:dyDescent="0.25">
      <c r="A84" s="138"/>
      <c r="B84" s="281"/>
      <c r="C84" s="282"/>
      <c r="D84" s="282"/>
      <c r="E84" s="282"/>
      <c r="F84" s="282"/>
      <c r="G84" s="282"/>
      <c r="H84" s="282"/>
      <c r="I84" s="282"/>
      <c r="J84" s="282"/>
      <c r="K84" s="282"/>
      <c r="L84" s="282"/>
      <c r="M84" s="283"/>
      <c r="N84" s="139"/>
      <c r="O84" s="139"/>
      <c r="P84" s="140"/>
    </row>
    <row r="85" spans="1:16" x14ac:dyDescent="0.25">
      <c r="A85" s="138"/>
      <c r="B85" s="281"/>
      <c r="C85" s="282"/>
      <c r="D85" s="282"/>
      <c r="E85" s="282"/>
      <c r="F85" s="282"/>
      <c r="G85" s="282"/>
      <c r="H85" s="282"/>
      <c r="I85" s="282"/>
      <c r="J85" s="282"/>
      <c r="K85" s="282"/>
      <c r="L85" s="282"/>
      <c r="M85" s="283"/>
      <c r="N85" s="139"/>
      <c r="O85" s="139"/>
      <c r="P85" s="140"/>
    </row>
    <row r="86" spans="1:16" x14ac:dyDescent="0.25">
      <c r="A86" s="138"/>
      <c r="B86" s="281"/>
      <c r="C86" s="282"/>
      <c r="D86" s="282"/>
      <c r="E86" s="282"/>
      <c r="F86" s="282"/>
      <c r="G86" s="282"/>
      <c r="H86" s="282"/>
      <c r="I86" s="282"/>
      <c r="J86" s="282"/>
      <c r="K86" s="282"/>
      <c r="L86" s="282"/>
      <c r="M86" s="283"/>
      <c r="N86" s="139"/>
      <c r="O86" s="139"/>
      <c r="P86" s="140"/>
    </row>
    <row r="87" spans="1:16" x14ac:dyDescent="0.25">
      <c r="A87" s="138"/>
      <c r="B87" s="281"/>
      <c r="C87" s="282"/>
      <c r="D87" s="282"/>
      <c r="E87" s="282"/>
      <c r="F87" s="282"/>
      <c r="G87" s="282"/>
      <c r="H87" s="282"/>
      <c r="I87" s="282"/>
      <c r="J87" s="282"/>
      <c r="K87" s="282"/>
      <c r="L87" s="282"/>
      <c r="M87" s="283"/>
      <c r="N87" s="139"/>
      <c r="O87" s="139"/>
      <c r="P87" s="140"/>
    </row>
    <row r="88" spans="1:16" x14ac:dyDescent="0.25">
      <c r="A88" s="138"/>
      <c r="B88" s="281"/>
      <c r="C88" s="282"/>
      <c r="D88" s="282"/>
      <c r="E88" s="282"/>
      <c r="F88" s="282"/>
      <c r="G88" s="282"/>
      <c r="H88" s="282"/>
      <c r="I88" s="282"/>
      <c r="J88" s="282"/>
      <c r="K88" s="282"/>
      <c r="L88" s="282"/>
      <c r="M88" s="283"/>
      <c r="N88" s="139"/>
      <c r="O88" s="139"/>
      <c r="P88" s="140"/>
    </row>
    <row r="89" spans="1:16" x14ac:dyDescent="0.25">
      <c r="A89" s="138"/>
      <c r="B89" s="281"/>
      <c r="C89" s="282"/>
      <c r="D89" s="282"/>
      <c r="E89" s="282"/>
      <c r="F89" s="282"/>
      <c r="G89" s="282"/>
      <c r="H89" s="282"/>
      <c r="I89" s="282"/>
      <c r="J89" s="282"/>
      <c r="K89" s="282"/>
      <c r="L89" s="282"/>
      <c r="M89" s="283"/>
      <c r="N89" s="139"/>
      <c r="O89" s="139"/>
      <c r="P89" s="140"/>
    </row>
    <row r="90" spans="1:16" x14ac:dyDescent="0.25">
      <c r="A90" s="138"/>
      <c r="B90" s="281"/>
      <c r="C90" s="282"/>
      <c r="D90" s="282"/>
      <c r="E90" s="282"/>
      <c r="F90" s="282"/>
      <c r="G90" s="282"/>
      <c r="H90" s="282"/>
      <c r="I90" s="282"/>
      <c r="J90" s="282"/>
      <c r="K90" s="282"/>
      <c r="L90" s="282"/>
      <c r="M90" s="283"/>
      <c r="N90" s="139"/>
      <c r="O90" s="139"/>
      <c r="P90" s="140"/>
    </row>
    <row r="91" spans="1:16" x14ac:dyDescent="0.25">
      <c r="A91" s="138"/>
      <c r="B91" s="281"/>
      <c r="C91" s="282"/>
      <c r="D91" s="282"/>
      <c r="E91" s="282"/>
      <c r="F91" s="282"/>
      <c r="G91" s="282"/>
      <c r="H91" s="282"/>
      <c r="I91" s="282"/>
      <c r="J91" s="282"/>
      <c r="K91" s="282"/>
      <c r="L91" s="282"/>
      <c r="M91" s="283"/>
      <c r="N91" s="139"/>
      <c r="O91" s="139"/>
      <c r="P91" s="140"/>
    </row>
    <row r="92" spans="1:16" x14ac:dyDescent="0.25">
      <c r="A92" s="138"/>
      <c r="B92" s="281"/>
      <c r="C92" s="282"/>
      <c r="D92" s="282"/>
      <c r="E92" s="282"/>
      <c r="F92" s="282"/>
      <c r="G92" s="282"/>
      <c r="H92" s="282"/>
      <c r="I92" s="282"/>
      <c r="J92" s="282"/>
      <c r="K92" s="282"/>
      <c r="L92" s="282"/>
      <c r="M92" s="283"/>
      <c r="N92" s="139"/>
      <c r="O92" s="139"/>
      <c r="P92" s="140"/>
    </row>
    <row r="93" spans="1:16" ht="13" thickBot="1" x14ac:dyDescent="0.3">
      <c r="A93" s="138"/>
      <c r="B93" s="284"/>
      <c r="C93" s="285"/>
      <c r="D93" s="285"/>
      <c r="E93" s="285"/>
      <c r="F93" s="285"/>
      <c r="G93" s="285"/>
      <c r="H93" s="285"/>
      <c r="I93" s="285"/>
      <c r="J93" s="285"/>
      <c r="K93" s="285"/>
      <c r="L93" s="285"/>
      <c r="M93" s="286"/>
      <c r="N93" s="139"/>
      <c r="O93" s="139"/>
      <c r="P93" s="140"/>
    </row>
    <row r="94" spans="1:16" x14ac:dyDescent="0.25">
      <c r="A94" s="138"/>
      <c r="B94" s="139"/>
      <c r="C94" s="139"/>
      <c r="D94" s="139"/>
      <c r="E94" s="139"/>
      <c r="F94" s="139"/>
      <c r="G94" s="139"/>
      <c r="H94" s="139"/>
      <c r="I94" s="139"/>
      <c r="J94" s="139"/>
      <c r="K94" s="139"/>
      <c r="L94" s="139"/>
      <c r="M94" s="139"/>
      <c r="N94" s="139"/>
      <c r="O94" s="139"/>
      <c r="P94" s="140"/>
    </row>
    <row r="95" spans="1:16" ht="13" thickBot="1" x14ac:dyDescent="0.3">
      <c r="A95" s="150"/>
      <c r="B95" s="151"/>
      <c r="C95" s="151"/>
      <c r="D95" s="151"/>
      <c r="E95" s="151"/>
      <c r="F95" s="151"/>
      <c r="G95" s="151"/>
      <c r="H95" s="151"/>
      <c r="I95" s="151"/>
      <c r="J95" s="151"/>
      <c r="K95" s="151"/>
      <c r="L95" s="151"/>
      <c r="M95" s="151"/>
      <c r="N95" s="151"/>
      <c r="O95" s="151"/>
      <c r="P95" s="152"/>
    </row>
    <row r="96" spans="1:16" ht="13" thickTop="1" x14ac:dyDescent="0.25"/>
  </sheetData>
  <mergeCells count="2">
    <mergeCell ref="B14:I14"/>
    <mergeCell ref="B31:M93"/>
  </mergeCells>
  <hyperlinks>
    <hyperlink ref="B14:I14" r:id="rId1" display="LM5060 Datasheet (See &quot;Detailed Design Procedure&quot;)"/>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O192"/>
  <sheetViews>
    <sheetView tabSelected="1" topLeftCell="A82" zoomScale="115" zoomScaleNormal="115" zoomScaleSheetLayoutView="100" workbookViewId="0">
      <selection activeCell="F102" sqref="F102"/>
    </sheetView>
  </sheetViews>
  <sheetFormatPr defaultRowHeight="12.5" x14ac:dyDescent="0.25"/>
  <cols>
    <col min="1" max="1" width="0.453125" customWidth="1"/>
    <col min="2" max="2" width="30" customWidth="1"/>
    <col min="3" max="3" width="15.1796875" customWidth="1"/>
    <col min="4" max="4" width="16.54296875" customWidth="1"/>
    <col min="5" max="5" width="22.7265625" customWidth="1"/>
    <col min="6" max="6" width="17.54296875" customWidth="1"/>
    <col min="7" max="7" width="5.54296875" style="95" customWidth="1"/>
    <col min="8" max="8" width="7.453125" customWidth="1"/>
    <col min="9" max="9" width="17.453125" customWidth="1"/>
    <col min="10" max="10" width="9.81640625" customWidth="1"/>
    <col min="11" max="11" width="10.453125" customWidth="1"/>
    <col min="12" max="12" width="8.81640625" customWidth="1"/>
    <col min="13" max="13" width="9.81640625" customWidth="1"/>
    <col min="14" max="19" width="0" hidden="1" customWidth="1"/>
    <col min="20" max="20" width="2.54296875" hidden="1" customWidth="1"/>
    <col min="21" max="21" width="3" hidden="1" customWidth="1"/>
    <col min="22" max="22" width="1.1796875" hidden="1" customWidth="1"/>
    <col min="23" max="23" width="3.54296875" hidden="1" customWidth="1"/>
    <col min="24" max="38" width="0" hidden="1" customWidth="1"/>
    <col min="39" max="39" width="11.54296875" customWidth="1"/>
    <col min="40" max="40" width="7.453125" style="221" customWidth="1"/>
    <col min="41" max="41" width="9.453125" customWidth="1"/>
    <col min="42" max="42" width="12.453125" customWidth="1"/>
    <col min="43" max="43" width="12" customWidth="1"/>
    <col min="44" max="44" width="13.453125" customWidth="1"/>
    <col min="45" max="46" width="14.54296875" customWidth="1"/>
    <col min="47" max="47" width="11.453125" customWidth="1"/>
    <col min="48" max="48" width="13" customWidth="1"/>
    <col min="49" max="49" width="13.453125" customWidth="1"/>
    <col min="50" max="50" width="14.54296875" customWidth="1"/>
    <col min="51" max="51" width="14.1796875" customWidth="1"/>
    <col min="52" max="52" width="12.81640625" customWidth="1"/>
    <col min="53" max="53" width="12.54296875" customWidth="1"/>
    <col min="54" max="54" width="9.81640625" customWidth="1"/>
    <col min="55" max="55" width="12.54296875" customWidth="1"/>
    <col min="56" max="56" width="13.54296875" customWidth="1"/>
    <col min="57" max="57" width="13.81640625" customWidth="1"/>
    <col min="58" max="59" width="14.453125" customWidth="1"/>
    <col min="60" max="61" width="15.453125" customWidth="1"/>
    <col min="62" max="62" width="15.54296875" customWidth="1"/>
    <col min="63" max="63" width="12.54296875" customWidth="1"/>
    <col min="64" max="64" width="16.81640625" customWidth="1"/>
    <col min="65" max="65" width="15.453125" customWidth="1"/>
    <col min="66" max="66" width="14.54296875" customWidth="1"/>
    <col min="67" max="67" width="10" customWidth="1"/>
    <col min="68" max="68" width="6.1796875" customWidth="1"/>
    <col min="69" max="69" width="7.1796875" customWidth="1"/>
    <col min="70" max="70" width="8.453125" customWidth="1"/>
    <col min="71" max="71" width="4.54296875" customWidth="1"/>
  </cols>
  <sheetData>
    <row r="1" spans="1:40" s="83" customFormat="1" ht="60.75" customHeight="1" x14ac:dyDescent="0.3">
      <c r="A1" s="294" t="s">
        <v>68</v>
      </c>
      <c r="B1" s="295"/>
      <c r="C1" s="295"/>
      <c r="D1" s="295"/>
      <c r="E1" s="295"/>
      <c r="F1" s="295"/>
      <c r="G1" s="295"/>
      <c r="H1" s="295"/>
      <c r="I1" s="295"/>
      <c r="J1" s="295"/>
      <c r="K1" s="295"/>
      <c r="L1" s="295"/>
      <c r="M1" s="295"/>
      <c r="N1" s="42"/>
      <c r="O1" s="42"/>
      <c r="P1" s="42"/>
      <c r="Q1" s="42"/>
      <c r="R1" s="40"/>
      <c r="S1" s="41"/>
      <c r="T1" s="39"/>
      <c r="U1" s="39"/>
      <c r="V1" s="39"/>
      <c r="W1" s="39"/>
      <c r="X1" s="39"/>
      <c r="Y1" s="39"/>
      <c r="Z1" s="39"/>
      <c r="AA1" s="39"/>
      <c r="AB1" s="39"/>
      <c r="AC1" s="39"/>
      <c r="AD1" s="39"/>
      <c r="AE1" s="39"/>
      <c r="AF1" s="39"/>
      <c r="AG1" s="39"/>
      <c r="AH1" s="39"/>
      <c r="AI1" s="39"/>
      <c r="AJ1" s="39"/>
      <c r="AK1" s="39"/>
      <c r="AL1" s="39"/>
      <c r="AM1" s="39"/>
      <c r="AN1" s="223"/>
    </row>
    <row r="2" spans="1:40" ht="15.5" x14ac:dyDescent="0.25">
      <c r="A2" s="19"/>
      <c r="B2" s="38" t="s">
        <v>22</v>
      </c>
      <c r="C2" s="19"/>
      <c r="D2" s="19"/>
      <c r="E2" s="19"/>
      <c r="F2" s="20"/>
      <c r="G2" s="20"/>
      <c r="H2" s="19"/>
      <c r="I2" s="19"/>
      <c r="J2" s="19"/>
      <c r="K2" s="19"/>
      <c r="L2" s="289"/>
      <c r="M2" s="289"/>
      <c r="N2" s="19"/>
      <c r="O2" s="19"/>
      <c r="P2" s="19"/>
      <c r="Q2" s="19"/>
      <c r="R2" s="19"/>
      <c r="S2" s="19"/>
      <c r="T2" s="19"/>
      <c r="U2" s="19"/>
      <c r="V2" s="19"/>
      <c r="W2" s="19"/>
      <c r="X2" s="19"/>
      <c r="Y2" s="19"/>
      <c r="Z2" s="19"/>
      <c r="AA2" s="19"/>
      <c r="AB2" s="19"/>
      <c r="AC2" s="19"/>
      <c r="AD2" s="19"/>
      <c r="AE2" s="19"/>
      <c r="AF2" s="19"/>
      <c r="AG2" s="19"/>
      <c r="AH2" s="19"/>
      <c r="AI2" s="19"/>
      <c r="AJ2" s="19"/>
      <c r="AK2" s="19"/>
      <c r="AL2" s="19"/>
      <c r="AM2" s="19"/>
    </row>
    <row r="3" spans="1:40" x14ac:dyDescent="0.25">
      <c r="A3" s="19"/>
      <c r="B3" s="19"/>
      <c r="C3" s="19"/>
      <c r="D3" s="19"/>
      <c r="E3" s="19"/>
      <c r="F3" s="19"/>
      <c r="G3" s="20"/>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row>
    <row r="4" spans="1:40" x14ac:dyDescent="0.25">
      <c r="A4" s="19"/>
      <c r="B4" s="19"/>
      <c r="C4" s="19"/>
      <c r="D4" s="19"/>
      <c r="E4" s="19"/>
      <c r="F4" s="19"/>
      <c r="G4" s="20"/>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row>
    <row r="5" spans="1:40" x14ac:dyDescent="0.25">
      <c r="A5" s="19"/>
      <c r="B5" s="19"/>
      <c r="C5" s="19"/>
      <c r="D5" s="19"/>
      <c r="E5" s="19"/>
      <c r="F5" s="19"/>
      <c r="G5" s="20"/>
      <c r="H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row>
    <row r="6" spans="1:40" x14ac:dyDescent="0.25">
      <c r="A6" s="19"/>
      <c r="B6" s="19"/>
      <c r="C6" s="19"/>
      <c r="D6" s="19"/>
      <c r="E6" s="19"/>
      <c r="F6" s="19"/>
      <c r="G6" s="20"/>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row>
    <row r="7" spans="1:40" ht="16.5" customHeight="1" x14ac:dyDescent="0.25">
      <c r="A7" s="19"/>
      <c r="B7" s="19"/>
      <c r="C7" s="19"/>
      <c r="D7" s="19"/>
      <c r="E7" s="19"/>
      <c r="F7" s="19"/>
      <c r="G7" s="20"/>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row>
    <row r="8" spans="1:40" x14ac:dyDescent="0.25">
      <c r="A8" s="19"/>
      <c r="B8" s="19"/>
      <c r="C8" s="19"/>
      <c r="D8" s="19"/>
      <c r="E8" s="19"/>
      <c r="F8" s="19"/>
      <c r="G8" s="2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row>
    <row r="9" spans="1:40" ht="15" customHeight="1" x14ac:dyDescent="0.25">
      <c r="A9" s="19"/>
      <c r="B9" s="24"/>
      <c r="C9" s="115"/>
      <c r="D9" s="113" t="s">
        <v>48</v>
      </c>
      <c r="E9" s="80"/>
      <c r="F9" s="19"/>
      <c r="G9" s="20"/>
      <c r="H9" s="19"/>
      <c r="I9" s="19"/>
      <c r="J9" s="19"/>
      <c r="K9" s="19"/>
      <c r="L9" s="239"/>
      <c r="M9" s="239"/>
      <c r="N9" s="239"/>
      <c r="O9" s="239"/>
      <c r="P9" s="239"/>
      <c r="Q9" s="239"/>
      <c r="R9" s="239"/>
      <c r="S9" s="239"/>
      <c r="T9" s="239"/>
      <c r="U9" s="239"/>
      <c r="V9" s="239"/>
      <c r="W9" s="239"/>
      <c r="X9" s="239"/>
      <c r="Y9" s="239"/>
      <c r="Z9" s="239"/>
      <c r="AA9" s="239"/>
      <c r="AB9" s="239"/>
      <c r="AC9" s="239"/>
      <c r="AD9" s="239"/>
      <c r="AE9" s="239"/>
      <c r="AF9" s="239"/>
      <c r="AG9" s="239"/>
      <c r="AH9" s="239"/>
      <c r="AI9" s="239"/>
      <c r="AJ9" s="239"/>
      <c r="AK9" s="239"/>
      <c r="AL9" s="239"/>
      <c r="AM9" s="239"/>
    </row>
    <row r="10" spans="1:40" ht="15" customHeight="1" x14ac:dyDescent="0.25">
      <c r="A10" s="19"/>
      <c r="B10" s="25"/>
      <c r="C10" s="21"/>
      <c r="D10" s="19" t="s">
        <v>21</v>
      </c>
      <c r="E10" s="81"/>
      <c r="F10" s="19"/>
      <c r="G10" s="20"/>
      <c r="H10" s="19"/>
      <c r="I10" s="19"/>
      <c r="J10" s="19"/>
      <c r="K10" s="19"/>
      <c r="L10" s="239"/>
      <c r="M10" s="239"/>
      <c r="N10" s="239"/>
      <c r="O10" s="239"/>
      <c r="P10" s="239"/>
      <c r="Q10" s="239"/>
      <c r="R10" s="239"/>
      <c r="S10" s="239"/>
      <c r="T10" s="239"/>
      <c r="U10" s="239"/>
      <c r="V10" s="239"/>
      <c r="W10" s="239"/>
      <c r="X10" s="239"/>
      <c r="Y10" s="239"/>
      <c r="Z10" s="239"/>
      <c r="AA10" s="239"/>
      <c r="AB10" s="239"/>
      <c r="AC10" s="239"/>
      <c r="AD10" s="239"/>
      <c r="AE10" s="239"/>
      <c r="AF10" s="239"/>
      <c r="AG10" s="239"/>
      <c r="AH10" s="239"/>
      <c r="AI10" s="239"/>
      <c r="AJ10" s="239"/>
      <c r="AK10" s="239"/>
      <c r="AL10" s="239"/>
      <c r="AM10" s="239"/>
    </row>
    <row r="11" spans="1:40" ht="23.15" customHeight="1" x14ac:dyDescent="0.25">
      <c r="A11" s="19"/>
      <c r="B11" s="25"/>
      <c r="C11" s="119"/>
      <c r="D11" s="296" t="s">
        <v>59</v>
      </c>
      <c r="E11" s="297"/>
      <c r="F11" s="19"/>
      <c r="G11" s="20"/>
      <c r="H11" s="19"/>
      <c r="I11" s="19"/>
      <c r="J11" s="19"/>
      <c r="K11" s="19"/>
      <c r="L11" s="239"/>
      <c r="M11" s="239"/>
      <c r="N11" s="239"/>
      <c r="O11" s="239"/>
      <c r="P11" s="239"/>
      <c r="Q11" s="239"/>
      <c r="R11" s="239"/>
      <c r="S11" s="239"/>
      <c r="T11" s="239"/>
      <c r="U11" s="239"/>
      <c r="V11" s="239"/>
      <c r="W11" s="239"/>
      <c r="X11" s="239"/>
      <c r="Y11" s="239"/>
      <c r="Z11" s="239"/>
      <c r="AA11" s="239"/>
      <c r="AB11" s="239"/>
      <c r="AC11" s="239"/>
      <c r="AD11" s="239"/>
      <c r="AE11" s="239"/>
      <c r="AF11" s="239"/>
      <c r="AG11" s="239"/>
      <c r="AH11" s="239"/>
      <c r="AI11" s="239"/>
      <c r="AJ11" s="239"/>
      <c r="AK11" s="239"/>
      <c r="AL11" s="239"/>
      <c r="AM11" s="239"/>
    </row>
    <row r="12" spans="1:40" ht="18" customHeight="1" x14ac:dyDescent="0.25">
      <c r="A12" s="19"/>
      <c r="B12" s="25"/>
      <c r="C12" s="118"/>
      <c r="D12" s="296"/>
      <c r="E12" s="297"/>
      <c r="F12" s="19"/>
      <c r="G12" s="20"/>
      <c r="H12" s="19"/>
      <c r="I12" s="19"/>
      <c r="J12" s="19"/>
      <c r="K12" s="19"/>
      <c r="L12" s="239"/>
      <c r="M12" s="239"/>
      <c r="N12" s="239"/>
      <c r="O12" s="239"/>
      <c r="P12" s="239"/>
      <c r="Q12" s="239"/>
      <c r="R12" s="239"/>
      <c r="S12" s="239"/>
      <c r="T12" s="239"/>
      <c r="U12" s="239"/>
      <c r="V12" s="239"/>
      <c r="W12" s="239"/>
      <c r="X12" s="239"/>
      <c r="Y12" s="239"/>
      <c r="Z12" s="239"/>
      <c r="AA12" s="239"/>
      <c r="AB12" s="239"/>
      <c r="AC12" s="239"/>
      <c r="AD12" s="239"/>
      <c r="AE12" s="239"/>
      <c r="AF12" s="239"/>
      <c r="AG12" s="239"/>
      <c r="AH12" s="239"/>
      <c r="AI12" s="239"/>
      <c r="AJ12" s="239"/>
      <c r="AK12" s="239"/>
      <c r="AL12" s="239"/>
      <c r="AM12" s="239"/>
    </row>
    <row r="13" spans="1:40" ht="15" customHeight="1" thickBot="1" x14ac:dyDescent="0.3">
      <c r="A13" s="19"/>
      <c r="B13" s="19"/>
      <c r="C13" s="19"/>
      <c r="D13" s="19"/>
      <c r="E13" s="19"/>
      <c r="F13" s="31"/>
      <c r="G13" s="20"/>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row>
    <row r="14" spans="1:40" ht="15" customHeight="1" x14ac:dyDescent="0.35">
      <c r="A14" s="19"/>
      <c r="B14" s="235" t="s">
        <v>217</v>
      </c>
      <c r="C14" s="263"/>
      <c r="D14" s="301" t="s">
        <v>216</v>
      </c>
      <c r="E14" s="301"/>
      <c r="F14" s="301"/>
      <c r="G14" s="301"/>
      <c r="H14" s="260"/>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34"/>
    </row>
    <row r="15" spans="1:40" s="238" customFormat="1" ht="15" customHeight="1" x14ac:dyDescent="0.35">
      <c r="A15" s="239"/>
      <c r="B15" s="189"/>
      <c r="C15" s="262"/>
      <c r="D15" s="302"/>
      <c r="E15" s="302"/>
      <c r="F15" s="302"/>
      <c r="G15" s="302"/>
      <c r="H15" s="261"/>
      <c r="I15" s="240"/>
      <c r="J15" s="240"/>
      <c r="K15" s="240"/>
      <c r="L15" s="240"/>
      <c r="M15" s="240"/>
      <c r="N15" s="240"/>
      <c r="O15" s="240"/>
      <c r="P15" s="240"/>
      <c r="Q15" s="240"/>
      <c r="R15" s="240"/>
      <c r="S15" s="240"/>
      <c r="T15" s="240"/>
      <c r="U15" s="240"/>
      <c r="V15" s="240"/>
      <c r="W15" s="240"/>
      <c r="X15" s="240"/>
      <c r="Y15" s="240"/>
      <c r="Z15" s="240"/>
      <c r="AA15" s="240"/>
      <c r="AB15" s="240"/>
      <c r="AC15" s="240"/>
      <c r="AD15" s="240"/>
      <c r="AE15" s="240"/>
      <c r="AF15" s="240"/>
      <c r="AG15" s="240"/>
      <c r="AH15" s="240"/>
      <c r="AI15" s="240"/>
      <c r="AJ15" s="240"/>
      <c r="AK15" s="240"/>
      <c r="AL15" s="240"/>
      <c r="AM15" s="241"/>
      <c r="AN15" s="243"/>
    </row>
    <row r="16" spans="1:40" s="238" customFormat="1" ht="15" customHeight="1" x14ac:dyDescent="0.35">
      <c r="A16" s="239"/>
      <c r="B16" s="299"/>
      <c r="C16" s="244"/>
      <c r="D16" s="290" t="s">
        <v>218</v>
      </c>
      <c r="E16" s="290"/>
      <c r="F16" s="290"/>
      <c r="G16" s="290"/>
      <c r="H16" s="290"/>
      <c r="I16" s="290"/>
      <c r="J16" s="247"/>
      <c r="K16" s="242"/>
      <c r="L16" s="240"/>
      <c r="M16" s="240"/>
      <c r="N16" s="240"/>
      <c r="O16" s="240"/>
      <c r="P16" s="240"/>
      <c r="Q16" s="240"/>
      <c r="R16" s="240"/>
      <c r="S16" s="240"/>
      <c r="T16" s="240"/>
      <c r="U16" s="240"/>
      <c r="V16" s="240"/>
      <c r="W16" s="240"/>
      <c r="X16" s="240"/>
      <c r="Y16" s="240"/>
      <c r="Z16" s="240"/>
      <c r="AA16" s="240"/>
      <c r="AB16" s="240"/>
      <c r="AC16" s="240"/>
      <c r="AD16" s="240"/>
      <c r="AE16" s="240"/>
      <c r="AF16" s="240"/>
      <c r="AG16" s="240"/>
      <c r="AH16" s="240"/>
      <c r="AI16" s="240"/>
      <c r="AJ16" s="240"/>
      <c r="AK16" s="240"/>
      <c r="AL16" s="240"/>
      <c r="AM16" s="241"/>
      <c r="AN16" s="243"/>
    </row>
    <row r="17" spans="1:40" s="238" customFormat="1" ht="15" customHeight="1" x14ac:dyDescent="0.35">
      <c r="A17" s="239"/>
      <c r="B17" s="299"/>
      <c r="C17" s="244"/>
      <c r="D17" s="290" t="s">
        <v>219</v>
      </c>
      <c r="E17" s="290"/>
      <c r="F17" s="290"/>
      <c r="G17" s="290"/>
      <c r="H17" s="290"/>
      <c r="I17" s="290"/>
      <c r="J17" s="240"/>
      <c r="K17" s="240"/>
      <c r="L17" s="240"/>
      <c r="M17" s="240"/>
      <c r="N17" s="240"/>
      <c r="O17" s="240"/>
      <c r="P17" s="240"/>
      <c r="Q17" s="240"/>
      <c r="R17" s="240"/>
      <c r="S17" s="240"/>
      <c r="T17" s="240"/>
      <c r="U17" s="240"/>
      <c r="V17" s="240"/>
      <c r="W17" s="240"/>
      <c r="X17" s="240"/>
      <c r="Y17" s="240"/>
      <c r="Z17" s="240"/>
      <c r="AA17" s="240"/>
      <c r="AB17" s="240"/>
      <c r="AC17" s="240"/>
      <c r="AD17" s="240"/>
      <c r="AE17" s="240"/>
      <c r="AF17" s="240"/>
      <c r="AG17" s="240"/>
      <c r="AH17" s="240"/>
      <c r="AI17" s="240"/>
      <c r="AJ17" s="240"/>
      <c r="AK17" s="240"/>
      <c r="AL17" s="240"/>
      <c r="AM17" s="241"/>
      <c r="AN17" s="243"/>
    </row>
    <row r="18" spans="1:40" ht="15" customHeight="1" x14ac:dyDescent="0.35">
      <c r="A18" s="19"/>
      <c r="B18" s="299"/>
      <c r="C18" s="236"/>
      <c r="D18" s="290" t="s">
        <v>220</v>
      </c>
      <c r="E18" s="290"/>
      <c r="F18" s="290"/>
      <c r="G18" s="290"/>
      <c r="H18" s="290"/>
      <c r="I18" s="290"/>
      <c r="J18" s="240"/>
      <c r="K18" s="226"/>
      <c r="L18" s="226"/>
      <c r="M18" s="226"/>
      <c r="N18" s="226"/>
      <c r="O18" s="226"/>
      <c r="P18" s="226"/>
      <c r="Q18" s="226"/>
      <c r="R18" s="226"/>
      <c r="S18" s="226"/>
      <c r="T18" s="226"/>
      <c r="U18" s="226"/>
      <c r="V18" s="226"/>
      <c r="W18" s="226"/>
      <c r="X18" s="226"/>
      <c r="Y18" s="226"/>
      <c r="Z18" s="226"/>
      <c r="AA18" s="226"/>
      <c r="AB18" s="226"/>
      <c r="AC18" s="226"/>
      <c r="AD18" s="226"/>
      <c r="AE18" s="226"/>
      <c r="AF18" s="226"/>
      <c r="AG18" s="226"/>
      <c r="AH18" s="226"/>
      <c r="AI18" s="226"/>
      <c r="AJ18" s="226"/>
      <c r="AK18" s="226"/>
      <c r="AL18" s="226"/>
      <c r="AM18" s="232"/>
    </row>
    <row r="19" spans="1:40" ht="15" customHeight="1" x14ac:dyDescent="0.35">
      <c r="A19" s="19"/>
      <c r="B19" s="299"/>
      <c r="C19" s="236"/>
      <c r="D19" s="290" t="s">
        <v>221</v>
      </c>
      <c r="E19" s="290"/>
      <c r="F19" s="290"/>
      <c r="G19" s="290"/>
      <c r="H19" s="290"/>
      <c r="I19" s="290"/>
      <c r="J19" s="240"/>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32"/>
    </row>
    <row r="20" spans="1:40" ht="15" customHeight="1" x14ac:dyDescent="0.35">
      <c r="A20" s="19"/>
      <c r="B20" s="251"/>
      <c r="C20" s="236"/>
      <c r="D20" s="275" t="s">
        <v>225</v>
      </c>
      <c r="E20" s="237"/>
      <c r="F20" s="240"/>
      <c r="G20" s="226"/>
      <c r="H20" s="226"/>
      <c r="I20" s="240"/>
      <c r="J20" s="240"/>
      <c r="K20" s="226"/>
      <c r="L20" s="226"/>
      <c r="M20" s="226"/>
      <c r="N20" s="226"/>
      <c r="O20" s="226"/>
      <c r="P20" s="226"/>
      <c r="Q20" s="226"/>
      <c r="R20" s="226"/>
      <c r="S20" s="226"/>
      <c r="T20" s="226"/>
      <c r="U20" s="226"/>
      <c r="V20" s="226"/>
      <c r="W20" s="226"/>
      <c r="X20" s="226"/>
      <c r="Y20" s="226"/>
      <c r="Z20" s="226"/>
      <c r="AA20" s="226"/>
      <c r="AB20" s="226"/>
      <c r="AC20" s="226"/>
      <c r="AD20" s="226"/>
      <c r="AE20" s="226"/>
      <c r="AF20" s="226"/>
      <c r="AG20" s="226"/>
      <c r="AH20" s="226"/>
      <c r="AI20" s="226"/>
      <c r="AJ20" s="226"/>
      <c r="AK20" s="226"/>
      <c r="AL20" s="226"/>
      <c r="AM20" s="232"/>
    </row>
    <row r="21" spans="1:40" ht="15" customHeight="1" thickBot="1" x14ac:dyDescent="0.3">
      <c r="A21" s="19"/>
      <c r="B21" s="229"/>
      <c r="C21" s="226"/>
      <c r="D21" s="226"/>
      <c r="E21" s="227"/>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32"/>
    </row>
    <row r="22" spans="1:40" ht="29.15" customHeight="1" thickBot="1" x14ac:dyDescent="0.3">
      <c r="A22" s="19"/>
      <c r="B22" s="229"/>
      <c r="C22" s="226"/>
      <c r="D22" s="303" t="s">
        <v>223</v>
      </c>
      <c r="E22" s="304"/>
      <c r="F22" s="305"/>
      <c r="G22" s="273" t="s">
        <v>214</v>
      </c>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32"/>
      <c r="AN22" s="221" t="s">
        <v>215</v>
      </c>
    </row>
    <row r="23" spans="1:40" s="238" customFormat="1" ht="29.15" customHeight="1" thickBot="1" x14ac:dyDescent="0.35">
      <c r="A23" s="239"/>
      <c r="B23" s="229"/>
      <c r="C23" s="240"/>
      <c r="D23" s="291" t="s">
        <v>224</v>
      </c>
      <c r="E23" s="292"/>
      <c r="F23" s="293"/>
      <c r="G23" s="274" t="s">
        <v>214</v>
      </c>
      <c r="H23" s="240"/>
      <c r="I23" s="240"/>
      <c r="J23" s="240"/>
      <c r="K23" s="240"/>
      <c r="L23" s="240"/>
      <c r="M23" s="240"/>
      <c r="N23" s="240"/>
      <c r="O23" s="240"/>
      <c r="P23" s="240"/>
      <c r="Q23" s="240"/>
      <c r="R23" s="240"/>
      <c r="S23" s="240"/>
      <c r="T23" s="240"/>
      <c r="U23" s="240"/>
      <c r="V23" s="240"/>
      <c r="W23" s="240"/>
      <c r="X23" s="240"/>
      <c r="Y23" s="240"/>
      <c r="Z23" s="240"/>
      <c r="AA23" s="240"/>
      <c r="AB23" s="240"/>
      <c r="AC23" s="240"/>
      <c r="AD23" s="240"/>
      <c r="AE23" s="240"/>
      <c r="AF23" s="240"/>
      <c r="AG23" s="240"/>
      <c r="AH23" s="240"/>
      <c r="AI23" s="240"/>
      <c r="AJ23" s="240"/>
      <c r="AK23" s="240"/>
      <c r="AL23" s="240"/>
      <c r="AM23" s="241"/>
      <c r="AN23" s="243"/>
    </row>
    <row r="24" spans="1:40" ht="12.65" customHeight="1" x14ac:dyDescent="0.25">
      <c r="A24" s="19"/>
      <c r="B24" s="229"/>
      <c r="C24" s="226"/>
      <c r="D24" s="306" t="s">
        <v>222</v>
      </c>
      <c r="E24" s="306"/>
      <c r="F24" s="306"/>
      <c r="G24" s="240"/>
      <c r="H24" s="240"/>
      <c r="I24" s="240"/>
      <c r="J24" s="240"/>
      <c r="K24" s="240"/>
      <c r="L24" s="240"/>
      <c r="M24" s="240"/>
      <c r="N24" s="240"/>
      <c r="O24" s="240"/>
      <c r="P24" s="240"/>
      <c r="Q24" s="240"/>
      <c r="R24" s="240"/>
      <c r="S24" s="240"/>
      <c r="T24" s="240"/>
      <c r="U24" s="240"/>
      <c r="V24" s="240"/>
      <c r="W24" s="240"/>
      <c r="X24" s="240"/>
      <c r="Y24" s="240"/>
      <c r="Z24" s="240"/>
      <c r="AA24" s="240"/>
      <c r="AB24" s="240"/>
      <c r="AC24" s="240"/>
      <c r="AD24" s="240"/>
      <c r="AE24" s="240"/>
      <c r="AF24" s="240"/>
      <c r="AG24" s="240"/>
      <c r="AH24" s="240"/>
      <c r="AI24" s="240"/>
      <c r="AJ24" s="240"/>
      <c r="AK24" s="240"/>
      <c r="AL24" s="240"/>
      <c r="AM24" s="241"/>
      <c r="AN24" s="221" t="s">
        <v>214</v>
      </c>
    </row>
    <row r="25" spans="1:40" ht="15" customHeight="1" x14ac:dyDescent="0.25">
      <c r="A25" s="19"/>
      <c r="B25" s="229"/>
      <c r="C25" s="240"/>
      <c r="D25" s="306"/>
      <c r="E25" s="306"/>
      <c r="F25" s="306"/>
      <c r="G25" s="253"/>
      <c r="H25" s="240"/>
      <c r="I25" s="240"/>
      <c r="J25" s="242"/>
      <c r="K25" s="240"/>
      <c r="L25" s="240"/>
      <c r="M25" s="240"/>
      <c r="N25" s="240"/>
      <c r="O25" s="240"/>
      <c r="P25" s="240"/>
      <c r="Q25" s="240"/>
      <c r="R25" s="240"/>
      <c r="S25" s="240"/>
      <c r="T25" s="240"/>
      <c r="U25" s="240"/>
      <c r="V25" s="240"/>
      <c r="W25" s="240"/>
      <c r="X25" s="240"/>
      <c r="Y25" s="240"/>
      <c r="Z25" s="240"/>
      <c r="AA25" s="240"/>
      <c r="AB25" s="240"/>
      <c r="AC25" s="240"/>
      <c r="AD25" s="240"/>
      <c r="AE25" s="240"/>
      <c r="AF25" s="240"/>
      <c r="AG25" s="240"/>
      <c r="AH25" s="240"/>
      <c r="AI25" s="240"/>
      <c r="AJ25" s="240"/>
      <c r="AK25" s="240"/>
      <c r="AL25" s="240"/>
      <c r="AM25" s="241"/>
    </row>
    <row r="26" spans="1:40" s="238" customFormat="1" ht="15" customHeight="1" thickBot="1" x14ac:dyDescent="0.3">
      <c r="A26" s="239"/>
      <c r="B26" s="230"/>
      <c r="C26" s="231"/>
      <c r="D26" s="272"/>
      <c r="E26" s="272"/>
      <c r="F26" s="272"/>
      <c r="G26" s="245"/>
      <c r="H26" s="231"/>
      <c r="I26" s="231"/>
      <c r="J26" s="246"/>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3"/>
      <c r="AN26" s="243"/>
    </row>
    <row r="27" spans="1:40" ht="15" customHeight="1" x14ac:dyDescent="0.3">
      <c r="A27" s="19"/>
      <c r="B27" s="91" t="s">
        <v>31</v>
      </c>
      <c r="C27" s="64"/>
      <c r="D27" s="64"/>
      <c r="E27" s="65" t="s">
        <v>24</v>
      </c>
      <c r="F27" s="111">
        <v>9</v>
      </c>
      <c r="G27" s="100" t="s">
        <v>17</v>
      </c>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84"/>
    </row>
    <row r="28" spans="1:40" ht="15" customHeight="1" x14ac:dyDescent="0.3">
      <c r="A28" s="264"/>
      <c r="B28" s="265"/>
      <c r="C28" s="23"/>
      <c r="D28" s="23"/>
      <c r="E28" s="60" t="s">
        <v>27</v>
      </c>
      <c r="F28" s="112">
        <v>24</v>
      </c>
      <c r="G28" s="101" t="s">
        <v>17</v>
      </c>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71"/>
    </row>
    <row r="29" spans="1:40" ht="15" customHeight="1" x14ac:dyDescent="0.25">
      <c r="A29" s="264"/>
      <c r="B29" s="266"/>
      <c r="C29" s="23"/>
      <c r="D29" s="23"/>
      <c r="E29" s="60" t="s">
        <v>25</v>
      </c>
      <c r="F29" s="112">
        <v>28</v>
      </c>
      <c r="G29" s="101" t="s">
        <v>17</v>
      </c>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71"/>
    </row>
    <row r="30" spans="1:40" ht="15" customHeight="1" x14ac:dyDescent="0.25">
      <c r="A30" s="264"/>
      <c r="B30" s="266"/>
      <c r="C30" s="23"/>
      <c r="D30" s="23"/>
      <c r="E30" s="60" t="s">
        <v>87</v>
      </c>
      <c r="F30" s="112"/>
      <c r="G30" s="101" t="s">
        <v>17</v>
      </c>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71"/>
    </row>
    <row r="31" spans="1:40" ht="15" customHeight="1" x14ac:dyDescent="0.25">
      <c r="A31" s="264"/>
      <c r="B31" s="266"/>
      <c r="C31" s="23"/>
      <c r="D31" s="23"/>
      <c r="E31" s="60" t="s">
        <v>29</v>
      </c>
      <c r="F31" s="169">
        <v>8</v>
      </c>
      <c r="G31" s="101" t="s">
        <v>7</v>
      </c>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71"/>
    </row>
    <row r="32" spans="1:40" ht="15" customHeight="1" x14ac:dyDescent="0.25">
      <c r="A32" s="264"/>
      <c r="B32" s="266"/>
      <c r="C32" s="23"/>
      <c r="D32" s="23"/>
      <c r="E32" s="60" t="s">
        <v>209</v>
      </c>
      <c r="F32" s="112">
        <v>2000</v>
      </c>
      <c r="G32" s="102" t="s">
        <v>15</v>
      </c>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71"/>
    </row>
    <row r="33" spans="1:40" ht="15" customHeight="1" x14ac:dyDescent="0.25">
      <c r="A33" s="264"/>
      <c r="B33" s="300" t="s">
        <v>210</v>
      </c>
      <c r="C33" s="240"/>
      <c r="D33" s="240"/>
      <c r="E33" s="78" t="s">
        <v>28</v>
      </c>
      <c r="F33" s="168">
        <v>100</v>
      </c>
      <c r="G33" s="101" t="s">
        <v>30</v>
      </c>
      <c r="H33" s="240"/>
      <c r="I33" s="240"/>
      <c r="J33" s="240"/>
      <c r="K33" s="240"/>
      <c r="L33" s="240"/>
      <c r="M33" s="240"/>
      <c r="N33" s="240"/>
      <c r="O33" s="240"/>
      <c r="P33" s="240"/>
      <c r="Q33" s="240"/>
      <c r="R33" s="240"/>
      <c r="S33" s="240"/>
      <c r="T33" s="240"/>
      <c r="U33" s="240"/>
      <c r="V33" s="240"/>
      <c r="W33" s="240"/>
      <c r="X33" s="240"/>
      <c r="Y33" s="240"/>
      <c r="Z33" s="240"/>
      <c r="AA33" s="240"/>
      <c r="AB33" s="240"/>
      <c r="AC33" s="240"/>
      <c r="AD33" s="240"/>
      <c r="AE33" s="240"/>
      <c r="AF33" s="240"/>
      <c r="AG33" s="240"/>
      <c r="AH33" s="240"/>
      <c r="AI33" s="240"/>
      <c r="AJ33" s="240"/>
      <c r="AK33" s="240"/>
      <c r="AL33" s="240"/>
      <c r="AM33" s="241"/>
    </row>
    <row r="34" spans="1:40" s="238" customFormat="1" ht="15" customHeight="1" x14ac:dyDescent="0.25">
      <c r="A34" s="264"/>
      <c r="B34" s="300"/>
      <c r="C34" s="240"/>
      <c r="D34" s="240"/>
      <c r="E34" s="78"/>
      <c r="F34" s="252"/>
      <c r="G34" s="101"/>
      <c r="H34" s="240"/>
      <c r="I34" s="240"/>
      <c r="J34" s="240"/>
      <c r="K34" s="240"/>
      <c r="L34" s="240"/>
      <c r="M34" s="240"/>
      <c r="N34" s="240"/>
      <c r="O34" s="240"/>
      <c r="P34" s="240"/>
      <c r="Q34" s="240"/>
      <c r="R34" s="240"/>
      <c r="S34" s="240"/>
      <c r="T34" s="240"/>
      <c r="U34" s="240"/>
      <c r="V34" s="240"/>
      <c r="W34" s="240"/>
      <c r="X34" s="240"/>
      <c r="Y34" s="240"/>
      <c r="Z34" s="240"/>
      <c r="AA34" s="240"/>
      <c r="AB34" s="240"/>
      <c r="AC34" s="240"/>
      <c r="AD34" s="240"/>
      <c r="AE34" s="240"/>
      <c r="AF34" s="240"/>
      <c r="AG34" s="240"/>
      <c r="AH34" s="240"/>
      <c r="AI34" s="240"/>
      <c r="AJ34" s="240"/>
      <c r="AK34" s="240"/>
      <c r="AL34" s="240"/>
      <c r="AM34" s="241"/>
      <c r="AN34" s="243"/>
    </row>
    <row r="35" spans="1:40" s="238" customFormat="1" ht="15" customHeight="1" x14ac:dyDescent="0.25">
      <c r="A35" s="239"/>
      <c r="B35" s="254"/>
      <c r="C35" s="240"/>
      <c r="D35" s="240"/>
      <c r="E35" s="78"/>
      <c r="F35" s="252"/>
      <c r="G35" s="101"/>
      <c r="H35" s="240"/>
      <c r="I35" s="240"/>
      <c r="J35" s="240"/>
      <c r="K35" s="240"/>
      <c r="L35" s="240"/>
      <c r="M35" s="240"/>
      <c r="N35" s="240"/>
      <c r="O35" s="240"/>
      <c r="P35" s="240"/>
      <c r="Q35" s="240"/>
      <c r="R35" s="240"/>
      <c r="S35" s="240"/>
      <c r="T35" s="240"/>
      <c r="U35" s="240"/>
      <c r="V35" s="240"/>
      <c r="W35" s="240"/>
      <c r="X35" s="240"/>
      <c r="Y35" s="240"/>
      <c r="Z35" s="240"/>
      <c r="AA35" s="240"/>
      <c r="AB35" s="240"/>
      <c r="AC35" s="240"/>
      <c r="AD35" s="240"/>
      <c r="AE35" s="240"/>
      <c r="AF35" s="240"/>
      <c r="AG35" s="240"/>
      <c r="AH35" s="240"/>
      <c r="AI35" s="240"/>
      <c r="AJ35" s="240"/>
      <c r="AK35" s="240"/>
      <c r="AL35" s="240"/>
      <c r="AM35" s="241"/>
      <c r="AN35" s="243"/>
    </row>
    <row r="36" spans="1:40" s="238" customFormat="1" ht="15" customHeight="1" thickBot="1" x14ac:dyDescent="0.3">
      <c r="A36" s="239"/>
      <c r="B36" s="255"/>
      <c r="C36" s="240"/>
      <c r="D36" s="240"/>
      <c r="E36" s="78"/>
      <c r="F36" s="249"/>
      <c r="G36" s="101"/>
      <c r="H36" s="240"/>
      <c r="I36" s="240"/>
      <c r="J36" s="240"/>
      <c r="K36" s="240"/>
      <c r="L36" s="240"/>
      <c r="M36" s="240"/>
      <c r="N36" s="240"/>
      <c r="O36" s="240"/>
      <c r="P36" s="240"/>
      <c r="Q36" s="240"/>
      <c r="R36" s="240"/>
      <c r="S36" s="240"/>
      <c r="T36" s="240"/>
      <c r="U36" s="240"/>
      <c r="V36" s="240"/>
      <c r="W36" s="240"/>
      <c r="X36" s="240"/>
      <c r="Y36" s="240"/>
      <c r="Z36" s="240"/>
      <c r="AA36" s="240"/>
      <c r="AB36" s="240"/>
      <c r="AC36" s="240"/>
      <c r="AD36" s="240"/>
      <c r="AE36" s="240"/>
      <c r="AF36" s="240"/>
      <c r="AG36" s="240"/>
      <c r="AH36" s="240"/>
      <c r="AI36" s="240"/>
      <c r="AJ36" s="240"/>
      <c r="AK36" s="240"/>
      <c r="AL36" s="240"/>
      <c r="AM36" s="241"/>
      <c r="AN36" s="243"/>
    </row>
    <row r="37" spans="1:40" ht="14" x14ac:dyDescent="0.3">
      <c r="A37" s="19"/>
      <c r="B37" s="203" t="s">
        <v>70</v>
      </c>
      <c r="C37" s="204"/>
      <c r="D37" s="64"/>
      <c r="E37" s="248" t="s">
        <v>82</v>
      </c>
      <c r="F37" s="174" t="s">
        <v>84</v>
      </c>
      <c r="G37" s="250"/>
      <c r="H37" s="170"/>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84"/>
      <c r="AN37" s="221" t="s">
        <v>84</v>
      </c>
    </row>
    <row r="38" spans="1:40" x14ac:dyDescent="0.25">
      <c r="A38" s="19"/>
      <c r="B38" s="267"/>
      <c r="C38" s="79"/>
      <c r="D38" s="23"/>
      <c r="E38" s="60" t="s">
        <v>145</v>
      </c>
      <c r="F38" s="175" t="s">
        <v>227</v>
      </c>
      <c r="G38" s="214"/>
      <c r="H38" s="85"/>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71"/>
      <c r="AN38" s="221" t="s">
        <v>83</v>
      </c>
    </row>
    <row r="39" spans="1:40" x14ac:dyDescent="0.25">
      <c r="A39" s="19"/>
      <c r="B39" s="267"/>
      <c r="C39" s="79"/>
      <c r="D39" s="23"/>
      <c r="E39" s="60" t="s">
        <v>178</v>
      </c>
      <c r="F39" s="179" t="s">
        <v>84</v>
      </c>
      <c r="G39" s="214"/>
      <c r="H39" s="85"/>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71"/>
    </row>
    <row r="40" spans="1:40" x14ac:dyDescent="0.25">
      <c r="A40" s="19"/>
      <c r="B40" s="267"/>
      <c r="C40" s="79"/>
      <c r="D40" s="23"/>
      <c r="E40" s="60" t="s">
        <v>193</v>
      </c>
      <c r="F40" s="179">
        <v>1</v>
      </c>
      <c r="G40" s="214"/>
      <c r="H40" s="85"/>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71"/>
    </row>
    <row r="41" spans="1:40" ht="13" x14ac:dyDescent="0.25">
      <c r="A41" s="19"/>
      <c r="B41" s="267"/>
      <c r="C41" s="79"/>
      <c r="D41" s="23"/>
      <c r="E41" s="60" t="s">
        <v>85</v>
      </c>
      <c r="F41" s="198">
        <f>VREVPOL/25</f>
        <v>0</v>
      </c>
      <c r="G41" s="171" t="s">
        <v>180</v>
      </c>
      <c r="H41" s="85"/>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71"/>
    </row>
    <row r="42" spans="1:40" ht="15.5" x14ac:dyDescent="0.25">
      <c r="A42" s="19"/>
      <c r="B42" s="268"/>
      <c r="C42" s="79"/>
      <c r="D42" s="23"/>
      <c r="E42" s="60" t="s">
        <v>86</v>
      </c>
      <c r="F42" s="175">
        <v>10</v>
      </c>
      <c r="G42" s="171" t="s">
        <v>180</v>
      </c>
      <c r="H42" s="85"/>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71"/>
    </row>
    <row r="43" spans="1:40" ht="13" x14ac:dyDescent="0.25">
      <c r="A43" s="19"/>
      <c r="B43" s="266"/>
      <c r="C43" s="79"/>
      <c r="D43" s="23"/>
      <c r="E43" s="37" t="s">
        <v>72</v>
      </c>
      <c r="F43" s="173">
        <v>1.1000000000000001</v>
      </c>
      <c r="G43" s="171" t="s">
        <v>179</v>
      </c>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71"/>
    </row>
    <row r="44" spans="1:40" ht="13" x14ac:dyDescent="0.3">
      <c r="A44" s="19"/>
      <c r="B44" s="298" t="s">
        <v>210</v>
      </c>
      <c r="C44" s="79"/>
      <c r="D44" s="23"/>
      <c r="E44" s="37" t="s">
        <v>73</v>
      </c>
      <c r="F44" s="112">
        <v>1.4</v>
      </c>
      <c r="G44" s="171" t="s">
        <v>179</v>
      </c>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71"/>
      <c r="AN44" s="224"/>
    </row>
    <row r="45" spans="1:40" ht="15.75" customHeight="1" x14ac:dyDescent="0.25">
      <c r="A45" s="19"/>
      <c r="B45" s="298"/>
      <c r="C45" s="79"/>
      <c r="D45" s="23"/>
      <c r="E45" s="37" t="s">
        <v>74</v>
      </c>
      <c r="F45" s="5">
        <f>(RDSTYP/RDSMAX)*RDSTYP</f>
        <v>0.86428571428571443</v>
      </c>
      <c r="G45" s="171" t="s">
        <v>179</v>
      </c>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71"/>
    </row>
    <row r="46" spans="1:40" ht="13" x14ac:dyDescent="0.25">
      <c r="A46" s="19"/>
      <c r="B46" s="298"/>
      <c r="C46" s="79"/>
      <c r="D46" s="23"/>
      <c r="E46" s="37" t="s">
        <v>75</v>
      </c>
      <c r="F46" s="211">
        <v>0.9</v>
      </c>
      <c r="G46" s="171"/>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71"/>
    </row>
    <row r="47" spans="1:40" ht="15" customHeight="1" x14ac:dyDescent="0.25">
      <c r="A47" s="19"/>
      <c r="B47" s="269"/>
      <c r="C47" s="79"/>
      <c r="D47" s="23"/>
      <c r="E47" s="37" t="s">
        <v>71</v>
      </c>
      <c r="F47" s="211">
        <v>1.2</v>
      </c>
      <c r="G47" s="171"/>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71"/>
    </row>
    <row r="48" spans="1:40" ht="15.75" customHeight="1" x14ac:dyDescent="0.25">
      <c r="A48" s="19"/>
      <c r="B48" s="269"/>
      <c r="C48" s="79"/>
      <c r="D48" s="23"/>
      <c r="E48" s="37" t="s">
        <v>76</v>
      </c>
      <c r="F48" s="220">
        <f>IF(REVPOL="no",IF(BBFET="no",((RDSMAX/1000)*TRDSMAX/NUMFETS*IOUTMAX+VOFFSETMAX)/ISNSMIN/1000,(((RDSMAX/1000)*TRDSMAX/NUMFETS+(RDSMAX/1000)*TRDSMAX)*IOUTMAX+VOFFSETMAX)/ISNSMIN/1000),IF(BBFET="no",((RDSMAX/1000)*TRDSMAX*IOUTMAX/NUMFETS+VOFFSETMAX)/ISNSMIN/1000+((RO*1000)/IRATIOMIN)/1000,(((RDSMAX/1000)*TRDSMAX/NUMFETS+(RDSMAX/1000)*TRDSMAX)*IOUTMAX+VOFFSETMAX)/ISNSMIN/1000+((RO*1000)/IRATIOMIN)/1000))</f>
        <v>1.5029411764705882</v>
      </c>
      <c r="G48" s="171" t="s">
        <v>180</v>
      </c>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71"/>
    </row>
    <row r="49" spans="1:40" ht="13" x14ac:dyDescent="0.25">
      <c r="A49" s="19"/>
      <c r="B49" s="269"/>
      <c r="C49" s="79"/>
      <c r="D49" s="23"/>
      <c r="E49" s="37" t="s">
        <v>77</v>
      </c>
      <c r="F49" s="211">
        <v>1.2</v>
      </c>
      <c r="G49" s="171" t="s">
        <v>180</v>
      </c>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71"/>
    </row>
    <row r="50" spans="1:40" ht="15.75" customHeight="1" x14ac:dyDescent="0.25">
      <c r="A50" s="19"/>
      <c r="B50" s="269"/>
      <c r="C50" s="79"/>
      <c r="D50" s="23"/>
      <c r="E50" s="37" t="s">
        <v>171</v>
      </c>
      <c r="F50" s="28">
        <f>IF(REVPOL="no", ((RS*1000)*ISNSMIN-VOFFSETMAX)/((RDSMAX/1000)*TRDSMAX*(1/NUMFETS+IF(BBFET="YES",1,0))),(((RS*1000)-(RO*1000)/IRATIOMIN)*ISNSMIN-VOFFSETMAX)/((RDSMAX/1000)*TRDSMAX*(1/NUMFETS+IF(BBFET="YES",1,0))))</f>
        <v>5.5476190476190492</v>
      </c>
      <c r="G50" s="171" t="s">
        <v>7</v>
      </c>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71"/>
    </row>
    <row r="51" spans="1:40" ht="15" customHeight="1" x14ac:dyDescent="0.25">
      <c r="A51" s="19"/>
      <c r="B51" s="269"/>
      <c r="C51" s="79"/>
      <c r="D51" s="23"/>
      <c r="E51" s="37" t="s">
        <v>78</v>
      </c>
      <c r="F51" s="28">
        <f>IF(REVPOL="no",((RS*1000)*ISNSTYP-VOFFSETTYP)/((RDSTYP/1000)*(1/NUMFETS+IF(BBFET="YES",1,0))),(((RS*1000)-(RO*1000)/IRATIOTYP)*ISNSTYP)/((RDSTYP/1000)*(1/NUMFETS+IF(BBFET="YES",1,0))*1))</f>
        <v>17.454545454545453</v>
      </c>
      <c r="G51" s="171" t="s">
        <v>7</v>
      </c>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71"/>
    </row>
    <row r="52" spans="1:40" ht="15" customHeight="1" x14ac:dyDescent="0.25">
      <c r="A52" s="19"/>
      <c r="B52" s="276" t="s">
        <v>211</v>
      </c>
      <c r="C52" s="79"/>
      <c r="D52" s="23"/>
      <c r="E52" s="37" t="s">
        <v>172</v>
      </c>
      <c r="F52" s="28">
        <f>IF(REVPOL="no",((RS*1000)*ISNSMAX-VOFFSETMIN)/((RDSMIN/1000)*TRDSMIN*(1/NUMFETS+IF(BBFET="YES",1,0))),(((RS*1000)-(RO*1000)/IRATIOMAX)*ISNSMAX-VOFFSETMIN)/((RDSMIN/1000)*TRDSMIN*(1/NUMFETS+IF(BBFET="YES",1,0))))</f>
        <v>36.767676767676761</v>
      </c>
      <c r="G52" s="171" t="s">
        <v>7</v>
      </c>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71"/>
    </row>
    <row r="53" spans="1:40" ht="15" customHeight="1" x14ac:dyDescent="0.25">
      <c r="A53" s="19"/>
      <c r="B53" s="229"/>
      <c r="C53" s="240"/>
      <c r="D53" s="240"/>
      <c r="E53" s="227"/>
      <c r="F53" s="257"/>
      <c r="G53" s="101"/>
      <c r="H53" s="240"/>
      <c r="I53" s="240"/>
      <c r="J53" s="240"/>
      <c r="K53" s="240"/>
      <c r="L53" s="240"/>
      <c r="M53" s="240"/>
      <c r="N53" s="240"/>
      <c r="O53" s="240"/>
      <c r="P53" s="240"/>
      <c r="Q53" s="240"/>
      <c r="R53" s="240"/>
      <c r="S53" s="240"/>
      <c r="T53" s="240"/>
      <c r="U53" s="240"/>
      <c r="V53" s="240"/>
      <c r="W53" s="240"/>
      <c r="X53" s="240"/>
      <c r="Y53" s="240"/>
      <c r="Z53" s="240"/>
      <c r="AA53" s="240"/>
      <c r="AB53" s="240"/>
      <c r="AC53" s="240"/>
      <c r="AD53" s="240"/>
      <c r="AE53" s="240"/>
      <c r="AF53" s="240"/>
      <c r="AG53" s="240"/>
      <c r="AH53" s="240"/>
      <c r="AI53" s="240"/>
      <c r="AJ53" s="240"/>
      <c r="AK53" s="240"/>
      <c r="AL53" s="240"/>
      <c r="AM53" s="241"/>
    </row>
    <row r="54" spans="1:40" s="238" customFormat="1" ht="15" customHeight="1" thickBot="1" x14ac:dyDescent="0.3">
      <c r="A54" s="239"/>
      <c r="B54" s="229"/>
      <c r="C54" s="240"/>
      <c r="D54" s="240"/>
      <c r="E54" s="227"/>
      <c r="F54" s="256"/>
      <c r="G54" s="101"/>
      <c r="H54" s="240"/>
      <c r="I54" s="240"/>
      <c r="J54" s="240"/>
      <c r="K54" s="240"/>
      <c r="L54" s="240"/>
      <c r="M54" s="240"/>
      <c r="N54" s="240"/>
      <c r="O54" s="240"/>
      <c r="P54" s="240"/>
      <c r="Q54" s="240"/>
      <c r="R54" s="240"/>
      <c r="S54" s="240"/>
      <c r="T54" s="240"/>
      <c r="U54" s="240"/>
      <c r="V54" s="240"/>
      <c r="W54" s="240"/>
      <c r="X54" s="240"/>
      <c r="Y54" s="240"/>
      <c r="Z54" s="240"/>
      <c r="AA54" s="240"/>
      <c r="AB54" s="240"/>
      <c r="AC54" s="240"/>
      <c r="AD54" s="240"/>
      <c r="AE54" s="240"/>
      <c r="AF54" s="240"/>
      <c r="AG54" s="240"/>
      <c r="AH54" s="240"/>
      <c r="AI54" s="240"/>
      <c r="AJ54" s="240"/>
      <c r="AK54" s="240"/>
      <c r="AL54" s="240"/>
      <c r="AM54" s="241"/>
      <c r="AN54" s="243"/>
    </row>
    <row r="55" spans="1:40" ht="14" x14ac:dyDescent="0.3">
      <c r="A55" s="19"/>
      <c r="B55" s="203" t="s">
        <v>81</v>
      </c>
      <c r="C55" s="204"/>
      <c r="D55" s="228"/>
      <c r="E55" s="258" t="str">
        <f>"Gate Charge at Mosfet Vgs= " &amp;'Device Parameters'!F22 &amp;" Volts"</f>
        <v>Gate Charge at Mosfet Vgs= 6.5 Volts</v>
      </c>
      <c r="F55" s="259">
        <v>10</v>
      </c>
      <c r="G55" s="100" t="s">
        <v>173</v>
      </c>
      <c r="H55" s="228"/>
      <c r="I55" s="228"/>
      <c r="J55" s="228"/>
      <c r="K55" s="228"/>
      <c r="L55" s="228"/>
      <c r="M55" s="228"/>
      <c r="N55" s="228"/>
      <c r="O55" s="228"/>
      <c r="P55" s="228"/>
      <c r="Q55" s="228"/>
      <c r="R55" s="228"/>
      <c r="S55" s="228"/>
      <c r="T55" s="228"/>
      <c r="U55" s="228"/>
      <c r="V55" s="228"/>
      <c r="W55" s="228"/>
      <c r="X55" s="228"/>
      <c r="Y55" s="228"/>
      <c r="Z55" s="228"/>
      <c r="AA55" s="228"/>
      <c r="AB55" s="228"/>
      <c r="AC55" s="228"/>
      <c r="AD55" s="228"/>
      <c r="AE55" s="228"/>
      <c r="AF55" s="228"/>
      <c r="AG55" s="228"/>
      <c r="AH55" s="228"/>
      <c r="AI55" s="228"/>
      <c r="AJ55" s="228"/>
      <c r="AK55" s="228"/>
      <c r="AL55" s="228"/>
      <c r="AM55" s="234"/>
      <c r="AN55" s="221" t="s">
        <v>84</v>
      </c>
    </row>
    <row r="56" spans="1:40" x14ac:dyDescent="0.25">
      <c r="A56" s="19"/>
      <c r="B56" s="267"/>
      <c r="C56" s="270"/>
      <c r="D56" s="23"/>
      <c r="E56" s="176" t="s">
        <v>182</v>
      </c>
      <c r="F56" s="169">
        <v>1.5</v>
      </c>
      <c r="G56" s="101"/>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71"/>
      <c r="AN56" s="221" t="s">
        <v>83</v>
      </c>
    </row>
    <row r="57" spans="1:40" x14ac:dyDescent="0.25">
      <c r="A57" s="19"/>
      <c r="B57" s="267"/>
      <c r="C57" s="270"/>
      <c r="D57" s="23"/>
      <c r="E57" s="176" t="s">
        <v>181</v>
      </c>
      <c r="F57" s="212">
        <f>F55*F56</f>
        <v>15</v>
      </c>
      <c r="G57" s="101" t="s">
        <v>173</v>
      </c>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71"/>
    </row>
    <row r="58" spans="1:40" x14ac:dyDescent="0.25">
      <c r="A58" s="19"/>
      <c r="B58" s="267"/>
      <c r="C58" s="79"/>
      <c r="D58" s="23"/>
      <c r="E58" s="176" t="s">
        <v>204</v>
      </c>
      <c r="F58" s="175" t="s">
        <v>83</v>
      </c>
      <c r="G58" s="102"/>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71"/>
    </row>
    <row r="59" spans="1:40" x14ac:dyDescent="0.25">
      <c r="A59" s="19"/>
      <c r="B59" s="267"/>
      <c r="C59" s="79"/>
      <c r="D59" s="23"/>
      <c r="E59" s="176" t="s">
        <v>197</v>
      </c>
      <c r="F59" s="173">
        <v>10000</v>
      </c>
      <c r="G59" s="101" t="s">
        <v>192</v>
      </c>
      <c r="H59" s="23"/>
      <c r="I59" s="19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71"/>
    </row>
    <row r="60" spans="1:40" ht="15.5" x14ac:dyDescent="0.4">
      <c r="A60" s="19"/>
      <c r="B60" s="267"/>
      <c r="C60" s="79"/>
      <c r="D60" s="23"/>
      <c r="E60" s="176" t="s">
        <v>200</v>
      </c>
      <c r="F60" s="208">
        <f>IGATEMAX/(DINRUSH/1000)*(COUTMAX/1000000)*1000000000</f>
        <v>6.2</v>
      </c>
      <c r="G60" s="101" t="s">
        <v>26</v>
      </c>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71"/>
    </row>
    <row r="61" spans="1:40" ht="15.5" x14ac:dyDescent="0.4">
      <c r="A61" s="19"/>
      <c r="B61" s="267"/>
      <c r="C61" s="79"/>
      <c r="D61" s="23"/>
      <c r="E61" s="176" t="s">
        <v>196</v>
      </c>
      <c r="F61" s="209">
        <v>4.7</v>
      </c>
      <c r="G61" s="101" t="s">
        <v>26</v>
      </c>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71"/>
    </row>
    <row r="62" spans="1:40" x14ac:dyDescent="0.25">
      <c r="A62" s="19"/>
      <c r="B62" s="271"/>
      <c r="C62" s="79"/>
      <c r="D62" s="23"/>
      <c r="E62" s="176" t="s">
        <v>199</v>
      </c>
      <c r="F62" s="210">
        <f>IGATEMAX/(CONE/1000000000)*(COUTMAX/1000000)*1000</f>
        <v>13191.489361702128</v>
      </c>
      <c r="G62" s="101" t="s">
        <v>192</v>
      </c>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71"/>
    </row>
    <row r="63" spans="1:40" x14ac:dyDescent="0.25">
      <c r="A63" s="19"/>
      <c r="B63" s="276" t="s">
        <v>212</v>
      </c>
      <c r="C63" s="79"/>
      <c r="D63" s="23"/>
      <c r="E63" s="176" t="s">
        <v>198</v>
      </c>
      <c r="F63" s="5">
        <f>IGATEMAX/(CONE/1000000)</f>
        <v>6.5957446808510642</v>
      </c>
      <c r="G63" s="101" t="s">
        <v>162</v>
      </c>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71"/>
    </row>
    <row r="64" spans="1:40" x14ac:dyDescent="0.25">
      <c r="A64" s="19"/>
      <c r="B64" s="194"/>
      <c r="C64" s="23"/>
      <c r="D64" s="23"/>
      <c r="E64" s="213" t="s">
        <v>189</v>
      </c>
      <c r="F64" s="28">
        <f>IF(INRUSH="YES",(GVTHHI*(NUMFETS+IF(BBFET="YES",1,0))/1000000000)/IGATEMIN*1000+(CONE/1000000000)*(VINMAX+VGATEMAX)/IGATEMAX*1000,(GVTHHI*(NUMFETS+IF(BBFET="YES",1,0))/1000000000)/IGATEMIN*1000)</f>
        <v>6.1129981024667934</v>
      </c>
      <c r="G64" s="101" t="s">
        <v>0</v>
      </c>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71"/>
    </row>
    <row r="65" spans="1:40" x14ac:dyDescent="0.25">
      <c r="A65" s="19"/>
      <c r="B65" s="194"/>
      <c r="C65" s="23"/>
      <c r="D65" s="23"/>
      <c r="E65" s="213" t="s">
        <v>190</v>
      </c>
      <c r="F65" s="28">
        <f>IF(INRUSH="YES",(GVTHHI*(NUMFETS+IF(BBFET="YES",1,0))/1000000000)/IGATETYP*1000+(CONE/1000000000)*(VINNOM+VGATETYP)/IGATETYP*1000,(GVTHHI*(NUMFETS+IF(BBFET="YES",1,0))/1000000000)/IGATETYP*1000)</f>
        <v>6.3041666666666663</v>
      </c>
      <c r="G65" s="101" t="s">
        <v>0</v>
      </c>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71"/>
    </row>
    <row r="66" spans="1:40" x14ac:dyDescent="0.25">
      <c r="A66" s="19"/>
      <c r="B66" s="194"/>
      <c r="C66" s="23"/>
      <c r="D66" s="23"/>
      <c r="E66" s="213" t="s">
        <v>191</v>
      </c>
      <c r="F66" s="28">
        <f>IF(INRUSH="YES",(GVTHHI*(NUMFETS+IF(BBFET="YES",1,0))/1000000000)/IGATEMAX*1000+(CONE/1000000000)*(VINMIN+VGATEMIN)/IGATEMIN*1000,(GVTHHI*(NUMFETS+IF(BBFET="YES",1,0))/1000000000)/IGATEMAX*1000)</f>
        <v>3.9397533206831121</v>
      </c>
      <c r="G66" s="101" t="s">
        <v>0</v>
      </c>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71"/>
    </row>
    <row r="67" spans="1:40" ht="15.5" x14ac:dyDescent="0.25">
      <c r="A67" s="19"/>
      <c r="B67" s="66"/>
      <c r="C67" s="23"/>
      <c r="D67" s="23"/>
      <c r="E67" s="60" t="s">
        <v>98</v>
      </c>
      <c r="F67" s="215">
        <f>VDSFLTTMEMIN/1000*(ITMRLMAX)/VTMRHMIN*1000000000</f>
        <v>21.395493358633775</v>
      </c>
      <c r="G67" s="101" t="s">
        <v>26</v>
      </c>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71"/>
    </row>
    <row r="68" spans="1:40" x14ac:dyDescent="0.25">
      <c r="A68" s="19"/>
      <c r="B68" s="66"/>
      <c r="C68" s="23"/>
      <c r="D68" s="23"/>
      <c r="E68" s="37" t="s">
        <v>99</v>
      </c>
      <c r="F68" s="211">
        <v>47</v>
      </c>
      <c r="G68" s="101" t="s">
        <v>26</v>
      </c>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71"/>
    </row>
    <row r="69" spans="1:40" ht="13.4" customHeight="1" x14ac:dyDescent="0.25">
      <c r="A69" s="19"/>
      <c r="B69" s="69"/>
      <c r="C69" s="23"/>
      <c r="D69" s="79"/>
      <c r="E69" s="99" t="s">
        <v>187</v>
      </c>
      <c r="F69" s="216">
        <f>VTMRHMIN*CTMR/1000000/ITMRLMAX</f>
        <v>13.428571428571429</v>
      </c>
      <c r="G69" s="101" t="s">
        <v>0</v>
      </c>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71"/>
    </row>
    <row r="70" spans="1:40" ht="12.65" customHeight="1" x14ac:dyDescent="0.25">
      <c r="A70" s="19"/>
      <c r="B70" s="66"/>
      <c r="C70" s="23"/>
      <c r="D70" s="79"/>
      <c r="E70" s="99" t="s">
        <v>188</v>
      </c>
      <c r="F70" s="216">
        <f>VTMRHTYP*CTMR/1000000/ITMRLTYP</f>
        <v>15.666666666666666</v>
      </c>
      <c r="G70" s="101" t="s">
        <v>0</v>
      </c>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71"/>
    </row>
    <row r="71" spans="1:40" ht="15" customHeight="1" x14ac:dyDescent="0.25">
      <c r="A71" s="19"/>
      <c r="B71" s="66"/>
      <c r="C71" s="23"/>
      <c r="D71" s="79"/>
      <c r="E71" s="99" t="s">
        <v>184</v>
      </c>
      <c r="F71" s="216">
        <f>VTMRHMAX*CTMR/1000000/ITMRLMIN</f>
        <v>23.5</v>
      </c>
      <c r="G71" s="101" t="s">
        <v>0</v>
      </c>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71"/>
    </row>
    <row r="72" spans="1:40" ht="15" customHeight="1" x14ac:dyDescent="0.25">
      <c r="A72" s="19"/>
      <c r="B72" s="66"/>
      <c r="C72" s="23"/>
      <c r="D72" s="79"/>
      <c r="E72" s="99" t="s">
        <v>185</v>
      </c>
      <c r="F72" s="216">
        <f>VTMRHMIN*CTMR/1000000/ITMRHMAX</f>
        <v>7.2307692307692308</v>
      </c>
      <c r="G72" s="101" t="s">
        <v>0</v>
      </c>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71"/>
    </row>
    <row r="73" spans="1:40" ht="15" customHeight="1" x14ac:dyDescent="0.25">
      <c r="A73" s="19"/>
      <c r="B73" s="66"/>
      <c r="C73" s="23"/>
      <c r="D73" s="79"/>
      <c r="E73" s="99" t="s">
        <v>186</v>
      </c>
      <c r="F73" s="216">
        <f>VTMRHTYP*CTMR/1000000/ITMRHTYP</f>
        <v>8.545454545454545</v>
      </c>
      <c r="G73" s="101" t="s">
        <v>0</v>
      </c>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71"/>
    </row>
    <row r="74" spans="1:40" ht="15" customHeight="1" x14ac:dyDescent="0.25">
      <c r="A74" s="19"/>
      <c r="B74" s="66"/>
      <c r="C74" s="23"/>
      <c r="D74" s="79"/>
      <c r="E74" s="99" t="s">
        <v>183</v>
      </c>
      <c r="F74" s="216">
        <f>VTMRHMAX*CTMR/1000000/ITMRHMIN</f>
        <v>11.058823529411764</v>
      </c>
      <c r="G74" s="101" t="s">
        <v>0</v>
      </c>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71"/>
    </row>
    <row r="75" spans="1:40" ht="15" customHeight="1" thickBot="1" x14ac:dyDescent="0.3">
      <c r="A75" s="19"/>
      <c r="B75" s="66"/>
      <c r="C75" s="23"/>
      <c r="D75" s="79"/>
      <c r="E75" s="98"/>
      <c r="F75" s="207"/>
      <c r="G75" s="101"/>
      <c r="H75" s="85"/>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71"/>
    </row>
    <row r="76" spans="1:40" ht="15" customHeight="1" x14ac:dyDescent="0.3">
      <c r="A76" s="19"/>
      <c r="B76" s="91" t="s">
        <v>167</v>
      </c>
      <c r="C76" s="88"/>
      <c r="D76" s="64"/>
      <c r="E76" s="70"/>
      <c r="F76" s="191" t="s">
        <v>5</v>
      </c>
      <c r="G76" s="103"/>
      <c r="H76" s="64"/>
      <c r="I76" s="64"/>
      <c r="J76" s="64"/>
      <c r="K76" s="205" t="s">
        <v>104</v>
      </c>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84"/>
      <c r="AN76" s="221" t="s">
        <v>5</v>
      </c>
    </row>
    <row r="77" spans="1:40" ht="15" customHeight="1" x14ac:dyDescent="0.25">
      <c r="A77" s="19"/>
      <c r="B77" s="194"/>
      <c r="C77" s="192"/>
      <c r="D77" s="23"/>
      <c r="E77" s="59"/>
      <c r="F77" s="191" t="s">
        <v>159</v>
      </c>
      <c r="G77" s="188"/>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71"/>
      <c r="AN77" s="221" t="s">
        <v>6</v>
      </c>
    </row>
    <row r="78" spans="1:40" ht="15" customHeight="1" x14ac:dyDescent="0.3">
      <c r="A78" s="19"/>
      <c r="B78" s="189"/>
      <c r="C78" s="79"/>
      <c r="D78" s="23"/>
      <c r="E78" s="60" t="s">
        <v>194</v>
      </c>
      <c r="F78" s="172">
        <v>28</v>
      </c>
      <c r="G78" s="104" t="s">
        <v>17</v>
      </c>
      <c r="H78" s="23"/>
      <c r="I78" s="23"/>
      <c r="J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71"/>
      <c r="AN78" s="221" t="s">
        <v>159</v>
      </c>
    </row>
    <row r="79" spans="1:40" ht="15" customHeight="1" x14ac:dyDescent="0.3">
      <c r="A79" s="19"/>
      <c r="B79" s="189"/>
      <c r="C79" s="79"/>
      <c r="D79" s="23"/>
      <c r="E79" s="60" t="s">
        <v>195</v>
      </c>
      <c r="F79" s="172">
        <v>9</v>
      </c>
      <c r="G79" s="104" t="s">
        <v>17</v>
      </c>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71"/>
      <c r="AN79" s="221" t="s">
        <v>160</v>
      </c>
    </row>
    <row r="80" spans="1:40" ht="15" customHeight="1" x14ac:dyDescent="0.25">
      <c r="A80" s="19"/>
      <c r="B80" s="66"/>
      <c r="C80" s="23"/>
      <c r="D80" s="23"/>
      <c r="E80" s="60" t="str">
        <f>IF(OPTION="Option A", "R1","R11")</f>
        <v>R1</v>
      </c>
      <c r="F80" s="181">
        <v>20</v>
      </c>
      <c r="G80" s="105" t="s">
        <v>16</v>
      </c>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71"/>
    </row>
    <row r="81" spans="1:39" ht="15" customHeight="1" x14ac:dyDescent="0.25">
      <c r="A81" s="19"/>
      <c r="B81" s="66"/>
      <c r="C81" s="23"/>
      <c r="D81" s="23"/>
      <c r="E81" s="78" t="str">
        <f>IF(OPTION="Option A", "Recommended Resistance for:  R2",  "Recommended Resistance for:  R10")</f>
        <v>Recommended Resistance for:  R2</v>
      </c>
      <c r="F81" s="54">
        <f>IF(F76="Option A",IF(F77="No Hysteresis",RRTWO, RRTWOHYS),IF(F77="No Hysteresis",RRTEN, RRTENHYS))</f>
        <v>2.2540971073218263</v>
      </c>
      <c r="G81" s="105" t="s">
        <v>16</v>
      </c>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71"/>
    </row>
    <row r="82" spans="1:39" ht="15" customHeight="1" x14ac:dyDescent="0.25">
      <c r="A82" s="19"/>
      <c r="B82" s="66"/>
      <c r="C82" s="23"/>
      <c r="E82" s="60" t="str">
        <f>IF(OPTION="Option A", "Enter the Resistance for R2","Enter the Resistance for R10")</f>
        <v>Enter the Resistance for R2</v>
      </c>
      <c r="F82" s="114">
        <v>2.7</v>
      </c>
      <c r="G82" s="105" t="s">
        <v>16</v>
      </c>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71"/>
    </row>
    <row r="83" spans="1:39" ht="15" customHeight="1" x14ac:dyDescent="0.3">
      <c r="A83" s="19"/>
      <c r="B83" s="276" t="s">
        <v>213</v>
      </c>
      <c r="C83" s="23"/>
      <c r="D83" s="23"/>
      <c r="E83" s="78" t="str">
        <f>IF(OPTION="Option A", " ", "R9")</f>
        <v xml:space="preserve"> </v>
      </c>
      <c r="F83" s="218">
        <v>15</v>
      </c>
      <c r="G83" s="104" t="s">
        <v>16</v>
      </c>
      <c r="H83" s="23"/>
      <c r="I83" s="23"/>
      <c r="J83" s="74"/>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71"/>
    </row>
    <row r="84" spans="1:39" ht="15" customHeight="1" x14ac:dyDescent="0.3">
      <c r="A84" s="19"/>
      <c r="B84" s="66"/>
      <c r="C84" s="23"/>
      <c r="D84" s="23"/>
      <c r="E84" s="77" t="str">
        <f>IF(OPTION="Option A", "Recommended Resistance for R3","Recommended Resistance for R8")</f>
        <v>Recommended Resistance for R3</v>
      </c>
      <c r="F84" s="54">
        <f>IF(F76="Option A",IF(F77="No Hysteresis",RRTHREE,RRTHREEHYS),IF(F77="No Hysteresis",RREIGHT, RREIGHTHYS))</f>
        <v>1.4926591120956076</v>
      </c>
      <c r="G84" s="105" t="s">
        <v>16</v>
      </c>
      <c r="H84" s="23"/>
      <c r="I84" s="23"/>
      <c r="J84" s="74"/>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71"/>
    </row>
    <row r="85" spans="1:39" ht="15" customHeight="1" x14ac:dyDescent="0.25">
      <c r="A85" s="19"/>
      <c r="B85" s="66"/>
      <c r="C85" s="23"/>
      <c r="D85" s="23"/>
      <c r="E85" s="60" t="str">
        <f>IF(OPTION="Option A", "Enter the Resistance for R3","Enter the Resistance for R8")</f>
        <v>Enter the Resistance for R3</v>
      </c>
      <c r="F85" s="114">
        <v>2</v>
      </c>
      <c r="G85" s="105" t="s">
        <v>16</v>
      </c>
      <c r="H85" s="23"/>
      <c r="I85" s="23"/>
      <c r="J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71"/>
    </row>
    <row r="86" spans="1:39" ht="13" x14ac:dyDescent="0.3">
      <c r="B86" s="194"/>
      <c r="C86" s="192"/>
      <c r="D86" s="192"/>
      <c r="E86" s="192"/>
      <c r="F86" s="192"/>
      <c r="G86" s="199"/>
      <c r="H86" s="192"/>
      <c r="I86" s="192"/>
      <c r="J86" s="192"/>
      <c r="K86" s="178" t="s">
        <v>105</v>
      </c>
      <c r="L86" s="192"/>
      <c r="M86" s="192"/>
      <c r="N86" s="192"/>
      <c r="O86" s="192"/>
      <c r="P86" s="192"/>
      <c r="Q86" s="192"/>
      <c r="R86" s="192"/>
      <c r="S86" s="192"/>
      <c r="T86" s="192"/>
      <c r="U86" s="192"/>
      <c r="V86" s="192"/>
      <c r="W86" s="192"/>
      <c r="X86" s="192"/>
      <c r="Y86" s="192"/>
      <c r="Z86" s="192"/>
      <c r="AA86" s="192"/>
      <c r="AB86" s="192"/>
      <c r="AC86" s="192"/>
      <c r="AD86" s="192"/>
      <c r="AE86" s="192"/>
      <c r="AF86" s="192"/>
      <c r="AG86" s="192"/>
      <c r="AH86" s="192"/>
      <c r="AI86" s="192"/>
      <c r="AJ86" s="192"/>
      <c r="AK86" s="192"/>
      <c r="AL86" s="192"/>
      <c r="AM86" s="200"/>
    </row>
    <row r="87" spans="1:39" ht="15" customHeight="1" thickBot="1" x14ac:dyDescent="0.35">
      <c r="A87" s="19"/>
      <c r="B87" s="66"/>
      <c r="C87" s="72" t="s">
        <v>11</v>
      </c>
      <c r="D87" s="73" t="s">
        <v>8</v>
      </c>
      <c r="E87" s="73" t="s">
        <v>9</v>
      </c>
      <c r="F87" s="73" t="s">
        <v>10</v>
      </c>
      <c r="G87" s="106"/>
      <c r="H87" s="79"/>
      <c r="I87" s="79"/>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71"/>
    </row>
    <row r="88" spans="1:39" ht="15" customHeight="1" x14ac:dyDescent="0.25">
      <c r="A88" s="19"/>
      <c r="B88" s="66"/>
      <c r="C88" s="37" t="s">
        <v>165</v>
      </c>
      <c r="D88" s="50">
        <f>IF($F$76="Option A",Equations!F23,Equations!J23)</f>
        <v>23.293999999999997</v>
      </c>
      <c r="E88" s="51">
        <f>IF($F$76="Option A",Equations!F24,Equations!J24)</f>
        <v>24.81</v>
      </c>
      <c r="F88" s="52">
        <f>IF($F$76="Option A",Equations!F25,Equations!J25)</f>
        <v>26.326000000000004</v>
      </c>
      <c r="G88" s="104" t="s">
        <v>17</v>
      </c>
      <c r="H88" s="79"/>
      <c r="I88" s="79"/>
      <c r="J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71"/>
    </row>
    <row r="89" spans="1:39" ht="15" customHeight="1" thickBot="1" x14ac:dyDescent="0.3">
      <c r="A89" s="19"/>
      <c r="B89" s="66"/>
      <c r="C89" s="37" t="s">
        <v>166</v>
      </c>
      <c r="D89" s="53">
        <f>IF($F$76="Option A",Equations!F20,Equations!J20)</f>
        <v>20.329999999999998</v>
      </c>
      <c r="E89" s="54">
        <f>IF($F$76="Option A",Equations!F21,Equations!J21)</f>
        <v>21.846000000000004</v>
      </c>
      <c r="F89" s="55">
        <f>IF($F$76="Option A",Equations!F22,Equations!J22)</f>
        <v>23.362000000000002</v>
      </c>
      <c r="G89" s="104" t="s">
        <v>17</v>
      </c>
      <c r="H89" s="79"/>
      <c r="I89" s="79"/>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71"/>
    </row>
    <row r="90" spans="1:39" ht="15" hidden="1" customHeight="1" x14ac:dyDescent="0.25">
      <c r="A90" s="19"/>
      <c r="B90" s="66"/>
      <c r="C90" s="37" t="s">
        <v>19</v>
      </c>
      <c r="D90" s="53">
        <f>IF($F$76="Option A",Equations!F132,Equations!H132)</f>
        <v>0</v>
      </c>
      <c r="E90" s="54">
        <f>IF($F$76="Option A",Equations!F133,Equations!H133)</f>
        <v>0</v>
      </c>
      <c r="F90" s="55">
        <f>IF($F$76="Option A",Equations!F134,Equations!H134)</f>
        <v>0</v>
      </c>
      <c r="G90" s="104" t="s">
        <v>17</v>
      </c>
      <c r="H90" s="79"/>
      <c r="I90" s="79"/>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71"/>
    </row>
    <row r="91" spans="1:39" ht="15" hidden="1" customHeight="1" thickBot="1" x14ac:dyDescent="0.3">
      <c r="A91" s="19"/>
      <c r="B91" s="66"/>
      <c r="C91" s="37" t="s">
        <v>20</v>
      </c>
      <c r="D91" s="56">
        <f>IF($F$76="Option A",Equations!F135,Equations!H135)</f>
        <v>0</v>
      </c>
      <c r="E91" s="57">
        <f>IF($F$76="Option A",Equations!F136,Equations!H136)</f>
        <v>0</v>
      </c>
      <c r="F91" s="58">
        <f>IF($F$76="Option A",Equations!F137,Equations!H137)</f>
        <v>0</v>
      </c>
      <c r="G91" s="104" t="s">
        <v>17</v>
      </c>
      <c r="H91" s="79"/>
      <c r="I91" s="79"/>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71"/>
    </row>
    <row r="92" spans="1:39" ht="15" customHeight="1" x14ac:dyDescent="0.25">
      <c r="A92" s="19"/>
      <c r="B92" s="66"/>
      <c r="C92" s="37" t="s">
        <v>163</v>
      </c>
      <c r="D92" s="50">
        <f>IF($F$76="Option A",Equations!F29,Equations!J29)</f>
        <v>7.6962127659574477</v>
      </c>
      <c r="E92" s="51">
        <f>IF($F$76="Option A",Equations!F30,Equations!J30)</f>
        <v>8.5185106382978724</v>
      </c>
      <c r="F92" s="52">
        <f>IF($F$76="Option A",Equations!F31,Equations!J31)</f>
        <v>9.340808510638297</v>
      </c>
      <c r="G92" s="104" t="s">
        <v>17</v>
      </c>
      <c r="H92" s="79"/>
      <c r="I92" s="79"/>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71"/>
    </row>
    <row r="93" spans="1:39" ht="15" customHeight="1" thickBot="1" x14ac:dyDescent="0.3">
      <c r="A93" s="19"/>
      <c r="B93" s="66"/>
      <c r="C93" s="37" t="s">
        <v>164</v>
      </c>
      <c r="D93" s="195">
        <f>IF($F$76="Option A",Equations!F26,Equations!J26)</f>
        <v>6.7174893617021283</v>
      </c>
      <c r="E93" s="196">
        <f>IF($F$76="Option A",Equations!F27,Equations!J27)</f>
        <v>7.752553191489362</v>
      </c>
      <c r="F93" s="197">
        <f>IF($F$76="Option A",Equations!F28,Equations!J28)</f>
        <v>8.8301702127659567</v>
      </c>
      <c r="G93" s="104" t="s">
        <v>17</v>
      </c>
      <c r="H93" s="79"/>
      <c r="I93" s="79"/>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71"/>
    </row>
    <row r="94" spans="1:39" ht="26.15" customHeight="1" x14ac:dyDescent="0.25">
      <c r="A94" s="19"/>
      <c r="B94" s="66"/>
      <c r="C94" s="287" t="s">
        <v>49</v>
      </c>
      <c r="D94" s="287"/>
      <c r="E94" s="287"/>
      <c r="F94" s="287"/>
      <c r="G94" s="288"/>
      <c r="H94" s="79"/>
      <c r="I94" s="79"/>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71"/>
    </row>
    <row r="95" spans="1:39" ht="15" customHeight="1" x14ac:dyDescent="0.25">
      <c r="A95" s="19"/>
      <c r="B95" s="66"/>
      <c r="C95" s="287"/>
      <c r="D95" s="287"/>
      <c r="E95" s="287"/>
      <c r="F95" s="287"/>
      <c r="G95" s="288"/>
      <c r="H95" s="79"/>
      <c r="I95" s="79"/>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71"/>
    </row>
    <row r="96" spans="1:39" ht="15" customHeight="1" x14ac:dyDescent="0.25">
      <c r="A96" s="19"/>
      <c r="B96" s="66"/>
      <c r="C96" s="287"/>
      <c r="D96" s="287"/>
      <c r="E96" s="287"/>
      <c r="F96" s="287"/>
      <c r="G96" s="288"/>
      <c r="H96" s="79"/>
      <c r="I96" s="79"/>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71"/>
    </row>
    <row r="97" spans="1:39" ht="15" customHeight="1" thickBot="1" x14ac:dyDescent="0.3">
      <c r="A97" s="19"/>
      <c r="B97" s="66"/>
      <c r="C97" s="68"/>
      <c r="D97" s="68"/>
      <c r="E97" s="186"/>
      <c r="F97" s="187"/>
      <c r="G97" s="180"/>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75"/>
    </row>
    <row r="98" spans="1:39" ht="18.75" customHeight="1" thickBot="1" x14ac:dyDescent="0.35">
      <c r="A98" s="19"/>
      <c r="B98" s="91" t="s">
        <v>39</v>
      </c>
      <c r="C98" s="64"/>
      <c r="D98" s="64"/>
      <c r="E98" s="59" t="s">
        <v>1</v>
      </c>
      <c r="F98" s="185">
        <f>F80</f>
        <v>20</v>
      </c>
      <c r="G98" s="201" t="s">
        <v>16</v>
      </c>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84"/>
    </row>
    <row r="99" spans="1:39" ht="15" customHeight="1" x14ac:dyDescent="0.3">
      <c r="A99" s="19"/>
      <c r="B99" s="66"/>
      <c r="C99" s="23"/>
      <c r="D99" s="23"/>
      <c r="E99" s="59" t="s">
        <v>2</v>
      </c>
      <c r="F99" s="54">
        <f>F82</f>
        <v>2.7</v>
      </c>
      <c r="G99" s="202" t="s">
        <v>16</v>
      </c>
      <c r="H99" s="23"/>
      <c r="I99" s="158"/>
      <c r="J99" s="159"/>
      <c r="K99" s="160" t="s">
        <v>50</v>
      </c>
      <c r="L99" s="161" t="s">
        <v>34</v>
      </c>
      <c r="M99" s="192"/>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76"/>
    </row>
    <row r="100" spans="1:39" ht="15" customHeight="1" x14ac:dyDescent="0.25">
      <c r="A100" s="19"/>
      <c r="B100" s="66"/>
      <c r="C100" s="23"/>
      <c r="D100" s="23"/>
      <c r="E100" s="59" t="s">
        <v>3</v>
      </c>
      <c r="F100" s="45">
        <f>F85</f>
        <v>2</v>
      </c>
      <c r="G100" s="202" t="s">
        <v>16</v>
      </c>
      <c r="H100" s="219"/>
      <c r="I100" s="162"/>
      <c r="J100" s="156" t="s">
        <v>170</v>
      </c>
      <c r="K100" s="89">
        <f>OCTYP</f>
        <v>17.454545454545453</v>
      </c>
      <c r="L100" s="163" t="str">
        <f>G51</f>
        <v>A</v>
      </c>
      <c r="M100" s="192"/>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76"/>
    </row>
    <row r="101" spans="1:39" ht="15" customHeight="1" x14ac:dyDescent="0.25">
      <c r="A101" s="19"/>
      <c r="B101" s="66"/>
      <c r="C101" s="23"/>
      <c r="D101" s="23"/>
      <c r="E101" s="60" t="s">
        <v>203</v>
      </c>
      <c r="F101" s="48">
        <f>RS</f>
        <v>1.2</v>
      </c>
      <c r="G101" s="202" t="s">
        <v>16</v>
      </c>
      <c r="H101" s="23"/>
      <c r="I101" s="162"/>
      <c r="J101" s="156" t="s">
        <v>169</v>
      </c>
      <c r="K101" s="89">
        <f>F70</f>
        <v>15.666666666666666</v>
      </c>
      <c r="L101" s="163" t="str">
        <f>G70</f>
        <v>ms</v>
      </c>
      <c r="M101" s="192"/>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76"/>
    </row>
    <row r="102" spans="1:39" ht="15" customHeight="1" x14ac:dyDescent="0.25">
      <c r="A102" s="19"/>
      <c r="B102" s="66"/>
      <c r="C102" s="23"/>
      <c r="D102" s="23"/>
      <c r="E102" s="60" t="s">
        <v>144</v>
      </c>
      <c r="F102" s="46">
        <f>IF(REVPOL="no",0, RO)</f>
        <v>0</v>
      </c>
      <c r="G102" s="202" t="s">
        <v>16</v>
      </c>
      <c r="H102" s="23"/>
      <c r="I102" s="162"/>
      <c r="J102" s="156" t="s">
        <v>168</v>
      </c>
      <c r="K102" s="89">
        <f>F73</f>
        <v>8.545454545454545</v>
      </c>
      <c r="L102" s="163" t="str">
        <f>G73</f>
        <v>ms</v>
      </c>
      <c r="M102" s="192"/>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76"/>
    </row>
    <row r="103" spans="1:39" ht="15" customHeight="1" x14ac:dyDescent="0.25">
      <c r="A103" s="19"/>
      <c r="B103" s="66"/>
      <c r="C103" s="23"/>
      <c r="D103" s="23"/>
      <c r="E103" s="60" t="s">
        <v>140</v>
      </c>
      <c r="F103" s="46">
        <f>F85</f>
        <v>2</v>
      </c>
      <c r="G103" s="202" t="s">
        <v>16</v>
      </c>
      <c r="H103" s="23"/>
      <c r="I103" s="162"/>
      <c r="J103" s="157" t="s">
        <v>43</v>
      </c>
      <c r="K103" s="89">
        <f>E88</f>
        <v>24.81</v>
      </c>
      <c r="L103" s="163" t="s">
        <v>17</v>
      </c>
      <c r="M103" s="192"/>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76"/>
    </row>
    <row r="104" spans="1:39" ht="15" customHeight="1" x14ac:dyDescent="0.25">
      <c r="A104" s="19"/>
      <c r="B104" s="66"/>
      <c r="C104" s="23"/>
      <c r="D104" s="23"/>
      <c r="E104" s="60" t="s">
        <v>141</v>
      </c>
      <c r="F104" s="47">
        <f>F82</f>
        <v>2.7</v>
      </c>
      <c r="G104" s="202" t="s">
        <v>16</v>
      </c>
      <c r="H104" s="23"/>
      <c r="I104" s="162"/>
      <c r="J104" s="157" t="s">
        <v>41</v>
      </c>
      <c r="K104" s="89">
        <f>E89</f>
        <v>21.846000000000004</v>
      </c>
      <c r="L104" s="163" t="s">
        <v>17</v>
      </c>
      <c r="M104" s="192"/>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76"/>
    </row>
    <row r="105" spans="1:39" ht="15" customHeight="1" x14ac:dyDescent="0.25">
      <c r="A105" s="19"/>
      <c r="B105" s="66"/>
      <c r="C105" s="23"/>
      <c r="D105" s="23"/>
      <c r="E105" s="60" t="s">
        <v>142</v>
      </c>
      <c r="F105" s="47">
        <f>F82</f>
        <v>2.7</v>
      </c>
      <c r="G105" s="202" t="s">
        <v>16</v>
      </c>
      <c r="H105" s="23"/>
      <c r="I105" s="162"/>
      <c r="J105" s="157" t="s">
        <v>40</v>
      </c>
      <c r="K105" s="89">
        <f>E92</f>
        <v>8.5185106382978724</v>
      </c>
      <c r="L105" s="163" t="s">
        <v>17</v>
      </c>
      <c r="M105" s="192"/>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76"/>
    </row>
    <row r="106" spans="1:39" ht="15" customHeight="1" thickBot="1" x14ac:dyDescent="0.3">
      <c r="A106" s="19"/>
      <c r="B106" s="66"/>
      <c r="C106" s="23"/>
      <c r="D106" s="23"/>
      <c r="E106" s="60" t="s">
        <v>143</v>
      </c>
      <c r="F106" s="49">
        <f>F85</f>
        <v>2</v>
      </c>
      <c r="G106" s="202" t="s">
        <v>16</v>
      </c>
      <c r="H106" s="23"/>
      <c r="I106" s="164"/>
      <c r="J106" s="165" t="s">
        <v>42</v>
      </c>
      <c r="K106" s="217">
        <f>E93</f>
        <v>7.752553191489362</v>
      </c>
      <c r="L106" s="166" t="s">
        <v>17</v>
      </c>
      <c r="M106" s="192"/>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76"/>
    </row>
    <row r="107" spans="1:39" ht="15" customHeight="1" x14ac:dyDescent="0.3">
      <c r="A107" s="19"/>
      <c r="B107" s="66"/>
      <c r="C107" s="23"/>
      <c r="D107" s="23"/>
      <c r="E107" s="60" t="s">
        <v>201</v>
      </c>
      <c r="F107" s="48">
        <f>CTMR</f>
        <v>47</v>
      </c>
      <c r="G107" s="101" t="s">
        <v>26</v>
      </c>
      <c r="H107" s="23"/>
      <c r="I107" s="222" t="s">
        <v>105</v>
      </c>
      <c r="J107" s="192"/>
      <c r="K107" s="192"/>
      <c r="L107" s="192"/>
      <c r="M107" s="192"/>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76"/>
    </row>
    <row r="108" spans="1:39" ht="15" customHeight="1" x14ac:dyDescent="0.25">
      <c r="A108" s="19"/>
      <c r="B108" s="66"/>
      <c r="C108" s="23"/>
      <c r="D108" s="23"/>
      <c r="E108" s="60" t="s">
        <v>206</v>
      </c>
      <c r="F108" s="206" t="s">
        <v>174</v>
      </c>
      <c r="G108" s="101" t="s">
        <v>26</v>
      </c>
      <c r="H108" s="23"/>
      <c r="I108" s="192"/>
      <c r="J108" s="192"/>
      <c r="K108" s="192"/>
      <c r="L108" s="192"/>
      <c r="M108" s="192"/>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76"/>
    </row>
    <row r="109" spans="1:39" ht="15" customHeight="1" x14ac:dyDescent="0.25">
      <c r="A109" s="19"/>
      <c r="B109" s="66"/>
      <c r="C109" s="23"/>
      <c r="D109" s="23"/>
      <c r="E109" s="60" t="s">
        <v>202</v>
      </c>
      <c r="F109" s="49">
        <f>CONE</f>
        <v>4.7</v>
      </c>
      <c r="G109" s="101" t="s">
        <v>26</v>
      </c>
      <c r="H109" s="23"/>
      <c r="I109" s="23"/>
      <c r="J109" s="23"/>
      <c r="L109" s="23"/>
      <c r="M109" s="192"/>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76"/>
    </row>
    <row r="110" spans="1:39" ht="15" customHeight="1" x14ac:dyDescent="0.25">
      <c r="A110" s="19"/>
      <c r="B110" s="66"/>
      <c r="C110" s="23"/>
      <c r="D110" s="23"/>
      <c r="E110" s="60" t="s">
        <v>208</v>
      </c>
      <c r="F110" s="49">
        <f>COUTMAX</f>
        <v>2000</v>
      </c>
      <c r="G110" s="202" t="s">
        <v>15</v>
      </c>
      <c r="H110" s="23"/>
      <c r="I110" s="23"/>
      <c r="J110" s="23"/>
      <c r="K110" s="23"/>
      <c r="L110" s="23"/>
      <c r="M110" s="192"/>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76"/>
    </row>
    <row r="111" spans="1:39" ht="15" customHeight="1" x14ac:dyDescent="0.25">
      <c r="A111" s="19"/>
      <c r="B111" s="66"/>
      <c r="C111" s="23"/>
      <c r="D111" s="23"/>
      <c r="E111" s="60" t="s">
        <v>64</v>
      </c>
      <c r="F111" s="82" t="s">
        <v>205</v>
      </c>
      <c r="G111" s="202"/>
      <c r="H111" s="23"/>
      <c r="I111" s="23"/>
      <c r="J111" s="23"/>
      <c r="K111" s="23"/>
      <c r="L111" s="23"/>
      <c r="M111" s="192"/>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76"/>
    </row>
    <row r="112" spans="1:39" ht="15" customHeight="1" x14ac:dyDescent="0.25">
      <c r="A112" s="19"/>
      <c r="B112" s="66"/>
      <c r="C112" s="23"/>
      <c r="D112" s="23"/>
      <c r="E112" s="60" t="s">
        <v>65</v>
      </c>
      <c r="F112" s="82" t="str">
        <f>MOSFET</f>
        <v>IRFH7004TRPBF</v>
      </c>
      <c r="G112" s="202"/>
      <c r="H112" s="23"/>
      <c r="I112" s="23"/>
      <c r="J112" s="23"/>
      <c r="K112" s="23"/>
      <c r="L112" s="23"/>
      <c r="M112" s="9"/>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76"/>
    </row>
    <row r="113" spans="1:41" ht="15" customHeight="1" x14ac:dyDescent="0.25">
      <c r="A113" s="19"/>
      <c r="B113" s="66"/>
      <c r="C113" s="23"/>
      <c r="D113" s="23"/>
      <c r="E113" s="192"/>
      <c r="F113" s="192"/>
      <c r="G113" s="192"/>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76"/>
    </row>
    <row r="114" spans="1:41" ht="15" customHeight="1" x14ac:dyDescent="0.25">
      <c r="A114" s="19"/>
      <c r="B114" s="66"/>
      <c r="C114" s="23"/>
      <c r="D114" s="23"/>
      <c r="E114" s="192"/>
      <c r="F114" s="192"/>
      <c r="G114" s="192"/>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76"/>
    </row>
    <row r="115" spans="1:41" ht="15" hidden="1" customHeight="1" x14ac:dyDescent="0.25">
      <c r="A115" s="19"/>
      <c r="B115" s="66"/>
      <c r="C115" s="23"/>
      <c r="D115" s="23"/>
      <c r="E115" s="192" t="s">
        <v>63</v>
      </c>
      <c r="F115" s="192" t="s">
        <v>66</v>
      </c>
      <c r="G115" s="192"/>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76"/>
    </row>
    <row r="116" spans="1:41" ht="15" customHeight="1" x14ac:dyDescent="0.25">
      <c r="A116" s="19"/>
      <c r="B116" s="66"/>
      <c r="C116" s="23"/>
      <c r="D116" s="23"/>
      <c r="E116" s="192"/>
      <c r="F116" s="192"/>
      <c r="G116" s="192"/>
      <c r="H116" s="23"/>
      <c r="I116" s="192"/>
      <c r="J116" s="192"/>
      <c r="K116" s="192"/>
      <c r="L116" s="192"/>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76"/>
    </row>
    <row r="117" spans="1:41" ht="15.5" x14ac:dyDescent="0.4">
      <c r="A117" s="19"/>
      <c r="B117" s="154" t="s">
        <v>4</v>
      </c>
      <c r="C117" s="35" t="s">
        <v>207</v>
      </c>
      <c r="D117" s="22"/>
      <c r="E117" s="35"/>
      <c r="F117" s="86"/>
      <c r="G117" s="107"/>
      <c r="H117" s="23"/>
      <c r="I117" s="192"/>
      <c r="J117" s="192"/>
      <c r="K117" s="192"/>
      <c r="L117" s="192"/>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71"/>
    </row>
    <row r="118" spans="1:41" x14ac:dyDescent="0.25">
      <c r="A118" s="19"/>
      <c r="B118" s="66"/>
      <c r="C118" s="35" t="s">
        <v>23</v>
      </c>
      <c r="D118" s="23"/>
      <c r="E118" s="35"/>
      <c r="F118" s="23"/>
      <c r="G118" s="107"/>
      <c r="H118" s="23"/>
      <c r="I118" s="192"/>
      <c r="J118" s="192"/>
      <c r="K118" s="192"/>
      <c r="L118" s="192"/>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71"/>
    </row>
    <row r="119" spans="1:41" x14ac:dyDescent="0.25">
      <c r="A119" s="19"/>
      <c r="B119" s="66"/>
      <c r="C119" s="35" t="s">
        <v>46</v>
      </c>
      <c r="D119" s="23"/>
      <c r="E119" s="35"/>
      <c r="F119" s="23"/>
      <c r="G119" s="107"/>
      <c r="H119" s="23"/>
      <c r="I119" s="192"/>
      <c r="J119" s="192"/>
      <c r="K119" s="192"/>
      <c r="L119" s="192"/>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71"/>
    </row>
    <row r="120" spans="1:41" ht="13" thickBot="1" x14ac:dyDescent="0.3">
      <c r="A120" s="19"/>
      <c r="B120" s="67"/>
      <c r="C120" s="68"/>
      <c r="D120" s="68"/>
      <c r="E120" s="87"/>
      <c r="F120" s="68"/>
      <c r="G120" s="10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c r="AI120" s="68"/>
      <c r="AJ120" s="68"/>
      <c r="AK120" s="68"/>
      <c r="AL120" s="68"/>
      <c r="AM120" s="75"/>
    </row>
    <row r="121" spans="1:41" x14ac:dyDescent="0.25">
      <c r="A121" s="19"/>
      <c r="B121" s="19"/>
      <c r="C121" s="19"/>
      <c r="D121" s="19"/>
      <c r="E121" s="19"/>
      <c r="F121" s="32"/>
      <c r="G121" s="20"/>
      <c r="H121" s="19"/>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25"/>
    </row>
    <row r="122" spans="1:41" ht="14" x14ac:dyDescent="0.3">
      <c r="A122" s="19"/>
      <c r="B122" s="43"/>
      <c r="C122" s="19"/>
      <c r="D122" s="19"/>
      <c r="E122" s="19"/>
      <c r="F122" s="36"/>
      <c r="G122" s="109"/>
      <c r="H122" s="19"/>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25"/>
      <c r="AO122" s="9"/>
    </row>
    <row r="123" spans="1:41" x14ac:dyDescent="0.25">
      <c r="A123" s="19"/>
      <c r="B123" s="19"/>
      <c r="C123" s="19"/>
      <c r="D123" s="19"/>
      <c r="E123" s="19"/>
      <c r="F123" s="36"/>
      <c r="G123" s="109"/>
      <c r="H123" s="19"/>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25"/>
      <c r="AO123" s="9"/>
    </row>
    <row r="124" spans="1:41" x14ac:dyDescent="0.25">
      <c r="A124" s="19"/>
      <c r="B124" s="19"/>
      <c r="C124" s="19"/>
      <c r="D124" s="19"/>
      <c r="E124" s="19"/>
      <c r="F124" s="36"/>
      <c r="G124" s="109"/>
      <c r="H124" s="19"/>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25"/>
      <c r="AO124" s="9"/>
    </row>
    <row r="125" spans="1:41" x14ac:dyDescent="0.25">
      <c r="A125" s="19"/>
      <c r="B125" s="19"/>
      <c r="C125" s="19"/>
      <c r="D125" s="19"/>
      <c r="E125" s="19"/>
      <c r="F125" s="36"/>
      <c r="G125" s="109"/>
      <c r="H125" s="19"/>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25"/>
      <c r="AO125" s="9"/>
    </row>
    <row r="126" spans="1:41" x14ac:dyDescent="0.25">
      <c r="A126" s="19"/>
      <c r="B126" s="19"/>
      <c r="C126" s="19"/>
      <c r="D126" s="19"/>
      <c r="E126" s="19"/>
      <c r="F126" s="36"/>
      <c r="G126" s="109"/>
      <c r="H126" s="19"/>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25"/>
      <c r="AO126" s="9"/>
    </row>
    <row r="127" spans="1:41" x14ac:dyDescent="0.25">
      <c r="A127" s="19"/>
      <c r="B127" s="19"/>
      <c r="C127" s="19"/>
      <c r="D127" s="19"/>
      <c r="E127" s="19"/>
      <c r="F127" s="36"/>
      <c r="G127" s="109"/>
      <c r="H127" s="36"/>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25"/>
      <c r="AO127" s="9"/>
    </row>
    <row r="128" spans="1:41" x14ac:dyDescent="0.25">
      <c r="A128" s="19"/>
      <c r="B128" s="19"/>
      <c r="C128" s="19"/>
      <c r="D128" s="19"/>
      <c r="E128" s="19"/>
      <c r="F128" s="36"/>
      <c r="G128" s="109"/>
      <c r="H128" s="36"/>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25"/>
      <c r="AO128" s="9"/>
    </row>
    <row r="129" spans="1:41" x14ac:dyDescent="0.25">
      <c r="A129" s="19"/>
      <c r="B129" s="19"/>
      <c r="C129" s="19"/>
      <c r="D129" s="19"/>
      <c r="E129" s="19"/>
      <c r="F129" s="36"/>
      <c r="G129" s="109"/>
      <c r="H129" s="19"/>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25"/>
      <c r="AO129" s="9"/>
    </row>
    <row r="130" spans="1:41" x14ac:dyDescent="0.25">
      <c r="A130" s="19"/>
      <c r="B130" s="19"/>
      <c r="C130" s="19"/>
      <c r="D130" s="19"/>
      <c r="E130" s="19"/>
      <c r="F130" s="19"/>
      <c r="G130" s="20"/>
      <c r="H130" s="19"/>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25"/>
      <c r="AO130" s="9"/>
    </row>
    <row r="131" spans="1:41" x14ac:dyDescent="0.25">
      <c r="A131" s="19"/>
      <c r="B131" s="19"/>
      <c r="C131" s="19"/>
      <c r="D131" s="19"/>
      <c r="E131" s="19"/>
      <c r="F131" s="36"/>
      <c r="G131" s="109"/>
      <c r="H131" s="36"/>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25"/>
    </row>
    <row r="132" spans="1:41" x14ac:dyDescent="0.25">
      <c r="A132" s="19"/>
      <c r="B132" s="19"/>
      <c r="C132" s="19"/>
      <c r="D132" s="19"/>
      <c r="E132" s="19"/>
      <c r="F132" s="36"/>
      <c r="G132" s="109"/>
      <c r="H132" s="36"/>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25"/>
    </row>
    <row r="133" spans="1:41" x14ac:dyDescent="0.25">
      <c r="A133" s="19"/>
      <c r="B133" s="19"/>
      <c r="C133" s="19"/>
      <c r="D133" s="19"/>
      <c r="E133" s="19"/>
      <c r="F133" s="36"/>
      <c r="G133" s="109"/>
      <c r="H133" s="36"/>
      <c r="I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row>
    <row r="134" spans="1:41" x14ac:dyDescent="0.25">
      <c r="A134" s="19"/>
      <c r="B134" s="19"/>
      <c r="C134" s="19"/>
      <c r="D134" s="19"/>
      <c r="E134" s="19"/>
      <c r="F134" s="36"/>
      <c r="G134" s="109"/>
      <c r="H134" s="36"/>
      <c r="I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row>
    <row r="135" spans="1:41" x14ac:dyDescent="0.25">
      <c r="A135" s="19"/>
      <c r="B135" s="19"/>
      <c r="C135" s="19"/>
      <c r="D135" s="19"/>
      <c r="E135" s="19"/>
      <c r="F135" s="36"/>
      <c r="G135" s="109"/>
      <c r="H135" s="36"/>
      <c r="I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row>
    <row r="136" spans="1:41" x14ac:dyDescent="0.25">
      <c r="A136" s="19"/>
      <c r="B136" s="19"/>
      <c r="C136" s="19"/>
      <c r="D136" s="19"/>
      <c r="E136" s="19"/>
      <c r="F136" s="36"/>
      <c r="G136" s="109"/>
      <c r="H136" s="36"/>
      <c r="I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row>
    <row r="137" spans="1:41" x14ac:dyDescent="0.25">
      <c r="A137" s="19"/>
      <c r="B137" s="19"/>
      <c r="C137" s="19"/>
      <c r="D137" s="19"/>
      <c r="E137" s="19"/>
      <c r="F137" s="19"/>
      <c r="G137" s="20"/>
      <c r="H137" s="19"/>
      <c r="I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row>
    <row r="138" spans="1:41" x14ac:dyDescent="0.25">
      <c r="A138" s="19"/>
      <c r="B138" s="19"/>
      <c r="C138" s="19"/>
      <c r="D138" s="19"/>
      <c r="E138" s="19"/>
      <c r="F138" s="19"/>
      <c r="G138" s="20"/>
      <c r="H138" s="19"/>
      <c r="I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row>
    <row r="139" spans="1:41" x14ac:dyDescent="0.25">
      <c r="A139" s="19"/>
      <c r="B139" s="19"/>
      <c r="C139" s="19"/>
      <c r="D139" s="19"/>
      <c r="E139" s="19"/>
      <c r="F139" s="19"/>
      <c r="G139" s="20"/>
      <c r="H139" s="19"/>
      <c r="I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row>
    <row r="140" spans="1:41" x14ac:dyDescent="0.25">
      <c r="A140" s="19"/>
      <c r="B140" s="19"/>
      <c r="C140" s="19"/>
      <c r="D140" s="19"/>
      <c r="E140" s="19"/>
      <c r="F140" s="19"/>
      <c r="G140" s="20"/>
      <c r="H140" s="19"/>
      <c r="I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row>
    <row r="141" spans="1:41" x14ac:dyDescent="0.25">
      <c r="A141" s="19"/>
      <c r="B141" s="19"/>
      <c r="C141" s="19"/>
      <c r="D141" s="19"/>
      <c r="E141" s="19"/>
      <c r="F141" s="19"/>
      <c r="G141" s="20"/>
      <c r="H141" s="19"/>
      <c r="I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row>
    <row r="142" spans="1:41" x14ac:dyDescent="0.25">
      <c r="A142" s="19"/>
      <c r="B142" s="19"/>
      <c r="C142" s="19"/>
      <c r="D142" s="19"/>
      <c r="E142" s="19"/>
      <c r="F142" s="19"/>
      <c r="G142" s="20"/>
      <c r="H142" s="19"/>
      <c r="I142" s="19"/>
      <c r="J142" s="19"/>
      <c r="K142" s="19"/>
      <c r="L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row>
    <row r="143" spans="1:41" x14ac:dyDescent="0.25">
      <c r="A143" s="19"/>
      <c r="B143" s="19"/>
      <c r="C143" s="19"/>
      <c r="D143" s="19"/>
      <c r="E143" s="19"/>
      <c r="F143" s="19"/>
      <c r="G143" s="20"/>
      <c r="H143" s="19"/>
      <c r="I143" s="19"/>
      <c r="J143" s="19"/>
      <c r="K143" s="19"/>
      <c r="L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row>
    <row r="144" spans="1:41" x14ac:dyDescent="0.25">
      <c r="A144" s="19"/>
      <c r="B144" s="19"/>
      <c r="C144" s="19"/>
      <c r="D144" s="19"/>
      <c r="E144" s="19"/>
      <c r="F144" s="19"/>
      <c r="G144" s="20"/>
      <c r="H144" s="19"/>
      <c r="I144" s="19"/>
      <c r="J144" s="19"/>
      <c r="K144" s="19"/>
      <c r="L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row>
    <row r="145" spans="1:39" x14ac:dyDescent="0.25">
      <c r="A145" s="19"/>
      <c r="B145" s="19"/>
      <c r="C145" s="19"/>
      <c r="D145" s="19"/>
      <c r="E145" s="19"/>
      <c r="F145" s="19"/>
      <c r="G145" s="20"/>
      <c r="H145" s="19"/>
      <c r="I145" s="19"/>
      <c r="J145" s="19"/>
      <c r="K145" s="19"/>
      <c r="L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row>
    <row r="146" spans="1:39" x14ac:dyDescent="0.25">
      <c r="A146" s="19"/>
      <c r="B146" s="19"/>
      <c r="C146" s="19"/>
      <c r="D146" s="19"/>
      <c r="E146" s="19"/>
      <c r="F146" s="19"/>
      <c r="G146" s="20"/>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row>
    <row r="147" spans="1:39" x14ac:dyDescent="0.25">
      <c r="A147" s="19"/>
      <c r="B147" s="19"/>
      <c r="C147" s="19"/>
      <c r="D147" s="19"/>
      <c r="E147" s="19"/>
      <c r="F147" s="19"/>
      <c r="G147" s="20"/>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row>
    <row r="148" spans="1:39" ht="14" x14ac:dyDescent="0.3">
      <c r="A148" s="19"/>
      <c r="B148" s="44"/>
      <c r="C148" s="19"/>
      <c r="D148" s="19"/>
      <c r="E148" s="19"/>
      <c r="F148" s="19"/>
      <c r="G148" s="20"/>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row>
    <row r="149" spans="1:39" x14ac:dyDescent="0.25">
      <c r="A149" s="19"/>
      <c r="B149" s="19"/>
      <c r="C149" s="19"/>
      <c r="D149" s="19"/>
      <c r="E149" s="19"/>
      <c r="F149" s="19"/>
      <c r="G149" s="20"/>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row>
    <row r="150" spans="1:39" x14ac:dyDescent="0.25">
      <c r="A150" s="19"/>
      <c r="B150" s="19"/>
      <c r="C150" s="19"/>
      <c r="D150" s="19"/>
      <c r="E150" s="19"/>
      <c r="F150" s="19"/>
      <c r="G150" s="20"/>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row>
    <row r="151" spans="1:39" x14ac:dyDescent="0.25">
      <c r="A151" s="19"/>
      <c r="B151" s="19"/>
      <c r="C151" s="19"/>
      <c r="D151" s="19"/>
      <c r="E151" s="19"/>
      <c r="F151" s="19"/>
      <c r="G151" s="20"/>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row>
    <row r="152" spans="1:39" x14ac:dyDescent="0.25">
      <c r="A152" s="19"/>
      <c r="B152" s="19"/>
      <c r="C152" s="19"/>
      <c r="D152" s="19"/>
      <c r="E152" s="19"/>
      <c r="F152" s="19"/>
      <c r="G152" s="20"/>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row>
    <row r="153" spans="1:39" x14ac:dyDescent="0.25">
      <c r="A153" s="19"/>
      <c r="B153" s="19"/>
      <c r="D153" s="19"/>
      <c r="E153" s="19"/>
      <c r="F153" s="19"/>
      <c r="G153" s="20"/>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row>
    <row r="154" spans="1:39" x14ac:dyDescent="0.25">
      <c r="A154" s="19"/>
      <c r="B154" s="19"/>
      <c r="C154" s="19"/>
      <c r="D154" s="19"/>
      <c r="E154" s="19"/>
      <c r="F154" s="19"/>
      <c r="G154" s="20"/>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row>
    <row r="155" spans="1:39" x14ac:dyDescent="0.25">
      <c r="A155" s="19"/>
      <c r="B155" s="19"/>
      <c r="C155" s="19"/>
      <c r="D155" s="19"/>
      <c r="E155" s="19"/>
      <c r="F155" s="19"/>
      <c r="G155" s="20"/>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row>
    <row r="156" spans="1:39" x14ac:dyDescent="0.25">
      <c r="A156" s="19"/>
      <c r="B156" s="19"/>
      <c r="C156" s="19"/>
      <c r="D156" s="19"/>
      <c r="E156" s="19"/>
      <c r="F156" s="19"/>
      <c r="G156" s="20"/>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row>
    <row r="157" spans="1:39" x14ac:dyDescent="0.25">
      <c r="A157" s="19"/>
      <c r="B157" s="19"/>
      <c r="C157" s="19"/>
      <c r="D157" s="19"/>
      <c r="E157" s="19"/>
      <c r="F157" s="19"/>
      <c r="G157" s="20"/>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row>
    <row r="158" spans="1:39" x14ac:dyDescent="0.25">
      <c r="A158" s="19"/>
      <c r="B158" s="19"/>
      <c r="C158" s="19"/>
      <c r="D158" s="19"/>
      <c r="E158" s="19"/>
      <c r="F158" s="19"/>
      <c r="G158" s="20"/>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row>
    <row r="159" spans="1:39" x14ac:dyDescent="0.25">
      <c r="A159" s="19"/>
      <c r="B159" s="19"/>
      <c r="C159" s="19"/>
      <c r="D159" s="19"/>
      <c r="E159" s="19"/>
      <c r="F159" s="19"/>
      <c r="G159" s="20"/>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row>
    <row r="160" spans="1:39" x14ac:dyDescent="0.25">
      <c r="A160" s="19"/>
      <c r="B160" s="19"/>
      <c r="C160" s="19"/>
      <c r="D160" s="19"/>
      <c r="E160" s="19"/>
      <c r="F160" s="19"/>
      <c r="G160" s="20"/>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row>
    <row r="161" spans="1:39" x14ac:dyDescent="0.25">
      <c r="A161" s="19"/>
      <c r="B161" s="19"/>
      <c r="C161" s="19"/>
      <c r="D161" s="19"/>
      <c r="E161" s="19"/>
      <c r="F161" s="19"/>
      <c r="G161" s="20"/>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row>
    <row r="162" spans="1:39" x14ac:dyDescent="0.25">
      <c r="A162" s="19"/>
      <c r="B162" s="19"/>
      <c r="C162" s="19"/>
      <c r="D162" s="19"/>
      <c r="E162" s="19"/>
      <c r="F162" s="19"/>
      <c r="G162" s="20"/>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row>
    <row r="163" spans="1:39" x14ac:dyDescent="0.25">
      <c r="A163" s="19"/>
      <c r="B163" s="19"/>
      <c r="C163" s="19"/>
      <c r="D163" s="19"/>
      <c r="E163" s="19"/>
      <c r="F163" s="19"/>
      <c r="G163" s="20"/>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row>
    <row r="164" spans="1:39" x14ac:dyDescent="0.25">
      <c r="A164" s="19"/>
      <c r="B164" s="19"/>
      <c r="C164" s="19"/>
      <c r="D164" s="19"/>
      <c r="E164" s="19"/>
      <c r="F164" s="19"/>
      <c r="G164" s="20"/>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row>
    <row r="165" spans="1:39" x14ac:dyDescent="0.25">
      <c r="A165" s="19"/>
      <c r="B165" s="19"/>
      <c r="C165" s="19"/>
      <c r="D165" s="19"/>
      <c r="E165" s="19"/>
      <c r="F165" s="19"/>
      <c r="G165" s="20"/>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row>
    <row r="166" spans="1:39" x14ac:dyDescent="0.25">
      <c r="A166" s="19"/>
      <c r="B166" s="19"/>
      <c r="C166" s="19"/>
      <c r="D166" s="19"/>
      <c r="E166" s="19"/>
      <c r="F166" s="19"/>
      <c r="G166" s="20"/>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row>
    <row r="167" spans="1:39" x14ac:dyDescent="0.25">
      <c r="A167" s="19"/>
      <c r="B167" s="19"/>
      <c r="C167" s="19"/>
      <c r="D167" s="19"/>
      <c r="E167" s="19"/>
      <c r="F167" s="19"/>
      <c r="G167" s="20"/>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row>
    <row r="168" spans="1:39" x14ac:dyDescent="0.25">
      <c r="A168" s="19"/>
      <c r="B168" s="19"/>
      <c r="C168" s="19"/>
      <c r="D168" s="19"/>
      <c r="E168" s="19"/>
      <c r="F168" s="19"/>
      <c r="G168" s="20"/>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row>
    <row r="169" spans="1:39" x14ac:dyDescent="0.25">
      <c r="A169" s="19"/>
      <c r="B169" s="19"/>
      <c r="C169" s="19"/>
      <c r="D169" s="19"/>
      <c r="E169" s="19"/>
      <c r="F169" s="19"/>
      <c r="G169" s="20"/>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row>
    <row r="170" spans="1:39" x14ac:dyDescent="0.25">
      <c r="A170" s="19"/>
      <c r="B170" s="19"/>
      <c r="C170" s="19"/>
      <c r="D170" s="19"/>
      <c r="E170" s="19"/>
      <c r="F170" s="19"/>
      <c r="G170" s="20"/>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row>
    <row r="171" spans="1:39" x14ac:dyDescent="0.25">
      <c r="A171" s="19"/>
      <c r="B171" s="19"/>
      <c r="C171" s="19"/>
      <c r="D171" s="19"/>
      <c r="E171" s="19"/>
      <c r="F171" s="19"/>
      <c r="G171" s="20"/>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row>
    <row r="172" spans="1:39" x14ac:dyDescent="0.25">
      <c r="A172" s="19"/>
      <c r="B172" s="19"/>
      <c r="C172" s="19"/>
      <c r="D172" s="19"/>
      <c r="E172" s="19"/>
      <c r="F172" s="19"/>
      <c r="G172" s="20"/>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row>
    <row r="173" spans="1:39" x14ac:dyDescent="0.25">
      <c r="A173" s="19"/>
      <c r="B173" s="19"/>
      <c r="C173" s="19"/>
      <c r="D173" s="19"/>
      <c r="E173" s="19"/>
      <c r="F173" s="19"/>
      <c r="G173" s="20"/>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row>
    <row r="174" spans="1:39" x14ac:dyDescent="0.25">
      <c r="A174" s="19"/>
      <c r="B174" s="19"/>
      <c r="C174" s="19"/>
      <c r="D174" s="19"/>
      <c r="E174" s="19"/>
      <c r="F174" s="19"/>
      <c r="G174" s="20"/>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row>
    <row r="175" spans="1:39" x14ac:dyDescent="0.25">
      <c r="A175" s="19"/>
      <c r="B175" s="19"/>
      <c r="C175" s="19"/>
      <c r="D175" s="19"/>
      <c r="E175" s="19"/>
      <c r="F175" s="19"/>
      <c r="G175" s="20"/>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row>
    <row r="176" spans="1:39" x14ac:dyDescent="0.25">
      <c r="A176" s="19"/>
      <c r="B176" s="19"/>
      <c r="C176" s="19"/>
      <c r="D176" s="19"/>
      <c r="E176" s="19"/>
      <c r="F176" s="19"/>
      <c r="G176" s="20"/>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row>
    <row r="177" spans="1:39" x14ac:dyDescent="0.25">
      <c r="A177" s="19"/>
      <c r="B177" s="19"/>
      <c r="C177" s="19"/>
      <c r="D177" s="19"/>
      <c r="E177" s="19"/>
      <c r="F177" s="19"/>
      <c r="G177" s="20"/>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row>
    <row r="178" spans="1:39" x14ac:dyDescent="0.25">
      <c r="A178" s="19"/>
      <c r="B178" s="19"/>
      <c r="C178" s="19"/>
      <c r="D178" s="19"/>
      <c r="E178" s="19"/>
      <c r="F178" s="19"/>
      <c r="G178" s="20"/>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row>
    <row r="179" spans="1:39" x14ac:dyDescent="0.25">
      <c r="A179" s="19"/>
      <c r="B179" s="19"/>
      <c r="C179" s="19"/>
      <c r="D179" s="19"/>
      <c r="E179" s="19"/>
      <c r="F179" s="19"/>
      <c r="G179" s="20"/>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row>
    <row r="180" spans="1:39" x14ac:dyDescent="0.25">
      <c r="A180" s="19"/>
      <c r="B180" s="19"/>
      <c r="C180" s="19"/>
      <c r="D180" s="19"/>
      <c r="E180" s="19"/>
      <c r="F180" s="19"/>
      <c r="G180" s="20"/>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row>
    <row r="181" spans="1:39" x14ac:dyDescent="0.25">
      <c r="A181" s="19"/>
      <c r="B181" s="19"/>
      <c r="C181" s="19"/>
      <c r="D181" s="19"/>
      <c r="E181" s="19"/>
      <c r="F181" s="19"/>
      <c r="G181" s="20"/>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row>
    <row r="182" spans="1:39" x14ac:dyDescent="0.25">
      <c r="A182" s="19"/>
      <c r="B182" s="19"/>
      <c r="C182" s="19"/>
      <c r="D182" s="19"/>
      <c r="E182" s="19"/>
      <c r="F182" s="19"/>
      <c r="G182" s="20"/>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row>
    <row r="183" spans="1:39" x14ac:dyDescent="0.25">
      <c r="A183" s="19"/>
      <c r="B183" s="19"/>
      <c r="C183" s="19"/>
      <c r="D183" s="19"/>
      <c r="E183" s="19"/>
      <c r="F183" s="19"/>
      <c r="G183" s="20"/>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row>
    <row r="184" spans="1:39" x14ac:dyDescent="0.25">
      <c r="A184" s="19"/>
      <c r="B184" s="19"/>
      <c r="C184" s="19"/>
      <c r="D184" s="19"/>
      <c r="E184" s="19"/>
      <c r="F184" s="19"/>
      <c r="G184" s="20"/>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row>
    <row r="185" spans="1:39" x14ac:dyDescent="0.25">
      <c r="A185" s="19"/>
      <c r="B185" s="19"/>
      <c r="C185" s="19"/>
      <c r="D185" s="19"/>
      <c r="E185" s="19"/>
      <c r="F185" s="19"/>
      <c r="G185" s="20"/>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row>
    <row r="186" spans="1:39" x14ac:dyDescent="0.25">
      <c r="A186" s="19"/>
      <c r="B186" s="19"/>
      <c r="C186" s="19"/>
      <c r="D186" s="19"/>
      <c r="E186" s="19"/>
      <c r="F186" s="19"/>
      <c r="G186" s="20"/>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row>
    <row r="187" spans="1:39" x14ac:dyDescent="0.25">
      <c r="A187" s="19"/>
      <c r="B187" s="19"/>
      <c r="C187" s="19"/>
      <c r="D187" s="19"/>
      <c r="E187" s="19"/>
      <c r="F187" s="19"/>
      <c r="G187" s="20"/>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row>
    <row r="188" spans="1:39" x14ac:dyDescent="0.25">
      <c r="A188" s="19"/>
      <c r="B188" s="19"/>
      <c r="C188" s="19"/>
      <c r="D188" s="19"/>
      <c r="E188" s="19"/>
      <c r="F188" s="19"/>
      <c r="G188" s="20"/>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row>
    <row r="189" spans="1:39" x14ac:dyDescent="0.25">
      <c r="A189" s="19"/>
      <c r="B189" s="19"/>
      <c r="C189" s="19"/>
      <c r="D189" s="19"/>
      <c r="E189" s="19"/>
      <c r="F189" s="19"/>
      <c r="G189" s="20"/>
      <c r="H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row>
    <row r="190" spans="1:39" x14ac:dyDescent="0.25">
      <c r="A190" s="19"/>
      <c r="B190" s="19"/>
      <c r="C190" s="19"/>
      <c r="D190" s="19"/>
      <c r="E190" s="19"/>
      <c r="F190" s="19"/>
      <c r="G190" s="20"/>
      <c r="H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row>
    <row r="191" spans="1:39" x14ac:dyDescent="0.25">
      <c r="A191" s="19"/>
      <c r="B191" s="19"/>
      <c r="C191" s="19"/>
      <c r="D191" s="19"/>
      <c r="E191" s="19"/>
      <c r="F191" s="19"/>
      <c r="G191" s="20"/>
      <c r="H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row>
    <row r="192" spans="1:39" x14ac:dyDescent="0.25">
      <c r="A192" s="19"/>
      <c r="B192" s="19"/>
      <c r="C192" s="19"/>
      <c r="D192" s="19"/>
      <c r="E192" s="19"/>
      <c r="F192" s="19"/>
      <c r="G192" s="20"/>
      <c r="H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row>
  </sheetData>
  <sheetProtection selectLockedCells="1"/>
  <mergeCells count="15">
    <mergeCell ref="A1:M1"/>
    <mergeCell ref="D11:E12"/>
    <mergeCell ref="B44:B46"/>
    <mergeCell ref="B16:B19"/>
    <mergeCell ref="B33:B34"/>
    <mergeCell ref="D14:G15"/>
    <mergeCell ref="D22:F22"/>
    <mergeCell ref="D24:F25"/>
    <mergeCell ref="C94:G96"/>
    <mergeCell ref="L2:M2"/>
    <mergeCell ref="D16:I16"/>
    <mergeCell ref="D17:I17"/>
    <mergeCell ref="D18:I18"/>
    <mergeCell ref="D19:I19"/>
    <mergeCell ref="D23:F23"/>
  </mergeCells>
  <phoneticPr fontId="4" type="noConversion"/>
  <conditionalFormatting sqref="G83">
    <cfRule type="expression" dxfId="22" priority="79">
      <formula>F76="Option A"</formula>
    </cfRule>
  </conditionalFormatting>
  <conditionalFormatting sqref="E67">
    <cfRule type="expression" dxfId="21" priority="93">
      <formula>#REF!="Yes"</formula>
    </cfRule>
  </conditionalFormatting>
  <conditionalFormatting sqref="G67:G73 E68:E71">
    <cfRule type="expression" dxfId="20" priority="94" stopIfTrue="1">
      <formula>$F$67="Yes"</formula>
    </cfRule>
  </conditionalFormatting>
  <conditionalFormatting sqref="G74">
    <cfRule type="expression" dxfId="19" priority="96" stopIfTrue="1">
      <formula>$F$67="NO"</formula>
    </cfRule>
  </conditionalFormatting>
  <conditionalFormatting sqref="E72:E74">
    <cfRule type="expression" dxfId="18" priority="23" stopIfTrue="1">
      <formula>$F$67="Yes"</formula>
    </cfRule>
  </conditionalFormatting>
  <conditionalFormatting sqref="F83">
    <cfRule type="expression" dxfId="17" priority="22">
      <formula>OPTION="OPTION A"</formula>
    </cfRule>
  </conditionalFormatting>
  <conditionalFormatting sqref="E59:G61 E62 E63:F63 G62:G63">
    <cfRule type="expression" dxfId="16" priority="18">
      <formula>$F$58="No"</formula>
    </cfRule>
  </conditionalFormatting>
  <conditionalFormatting sqref="D41:F42">
    <cfRule type="expression" dxfId="15" priority="17">
      <formula>$F$37="NO"</formula>
    </cfRule>
  </conditionalFormatting>
  <conditionalFormatting sqref="E98:G100">
    <cfRule type="expression" dxfId="14" priority="16">
      <formula>OPTION="OPTION B"</formula>
    </cfRule>
  </conditionalFormatting>
  <conditionalFormatting sqref="E103:G106">
    <cfRule type="expression" dxfId="13" priority="15">
      <formula>OPTION="OPTION A"</formula>
    </cfRule>
  </conditionalFormatting>
  <conditionalFormatting sqref="E109:G109">
    <cfRule type="expression" dxfId="12" priority="13">
      <formula>ONDELAY="NO"</formula>
    </cfRule>
  </conditionalFormatting>
  <conditionalFormatting sqref="F70:F71">
    <cfRule type="cellIs" dxfId="11" priority="12" operator="lessThan">
      <formula>$F$65</formula>
    </cfRule>
  </conditionalFormatting>
  <conditionalFormatting sqref="F69">
    <cfRule type="cellIs" dxfId="10" priority="10" operator="lessThan">
      <formula>$F$64</formula>
    </cfRule>
  </conditionalFormatting>
  <conditionalFormatting sqref="F70">
    <cfRule type="cellIs" dxfId="9" priority="9" operator="between">
      <formula>$F$65</formula>
      <formula>$F$64</formula>
    </cfRule>
  </conditionalFormatting>
  <conditionalFormatting sqref="F50">
    <cfRule type="cellIs" dxfId="8" priority="8" operator="lessThan">
      <formula>$F$31</formula>
    </cfRule>
  </conditionalFormatting>
  <conditionalFormatting sqref="F51:F52">
    <cfRule type="cellIs" dxfId="7" priority="7" operator="lessThan">
      <formula>$F$31</formula>
    </cfRule>
  </conditionalFormatting>
  <conditionalFormatting sqref="F62">
    <cfRule type="expression" dxfId="6" priority="5">
      <formula>$F$58="No"</formula>
    </cfRule>
  </conditionalFormatting>
  <conditionalFormatting sqref="B27:AM32 B37:AM43 C33:AM36 B47:AM51 B64:AM82 C62:AM63 C44:AM46 B84:AM120 C83:AM83 B53:AM61 C52:AM52">
    <cfRule type="expression" dxfId="5" priority="4">
      <formula>$G$22="No"</formula>
    </cfRule>
  </conditionalFormatting>
  <conditionalFormatting sqref="D22">
    <cfRule type="expression" dxfId="4" priority="3">
      <formula xml:space="preserve"> $G$22 = "Yes"</formula>
    </cfRule>
  </conditionalFormatting>
  <conditionalFormatting sqref="B27:AM120">
    <cfRule type="expression" dxfId="3" priority="2">
      <formula>$G$23="No"</formula>
    </cfRule>
  </conditionalFormatting>
  <conditionalFormatting sqref="D23:F23">
    <cfRule type="expression" dxfId="2" priority="1">
      <formula>$G$23="Yes"</formula>
    </cfRule>
  </conditionalFormatting>
  <dataValidations xWindow="820" yWindow="376" count="9">
    <dataValidation type="decimal" allowBlank="1" showInputMessage="1" showErrorMessage="1" errorTitle="Minimum System Voltage Violation" error="Input voltage should be between 10V and 80V." sqref="F28">
      <formula1>F27</formula1>
      <formula2>F29</formula2>
    </dataValidation>
    <dataValidation type="decimal" operator="greaterThanOrEqual" allowBlank="1" showInputMessage="1" showErrorMessage="1" errorTitle="Load Capacitance Violation" error="A minimum load capacitance of 10 uF is required to help prevent disruptions at turn off." sqref="F32">
      <formula1>10</formula1>
    </dataValidation>
    <dataValidation type="decimal" operator="greaterThan" allowBlank="1" showInputMessage="1" showErrorMessage="1" errorTitle="Maximum Load Current Violation" error="Maximum Load Current must be greater than 0." sqref="F31">
      <formula1>0</formula1>
    </dataValidation>
    <dataValidation type="list" allowBlank="1" showInputMessage="1" showErrorMessage="1" sqref="F76">
      <formula1>$AN$76:$AN$77</formula1>
    </dataValidation>
    <dataValidation type="list" allowBlank="1" showInputMessage="1" showErrorMessage="1" sqref="F77">
      <formula1>$AN$78:$AN$79</formula1>
    </dataValidation>
    <dataValidation type="list" allowBlank="1" showInputMessage="1" showErrorMessage="1" sqref="F37 F39">
      <formula1>$AN$37:$AN$38</formula1>
    </dataValidation>
    <dataValidation type="list" allowBlank="1" showInputMessage="1" showErrorMessage="1" sqref="F58">
      <formula1>$AN$55:$AN$56</formula1>
    </dataValidation>
    <dataValidation type="decimal" operator="greaterThanOrEqual" allowBlank="1" showInputMessage="1" showErrorMessage="1" errorTitle="Invalid Entry" error="Safety Factor must be greater than 1" sqref="F56">
      <formula1>1</formula1>
    </dataValidation>
    <dataValidation type="list" allowBlank="1" showInputMessage="1" showErrorMessage="1" sqref="G22:G23">
      <formula1>$AN$22:$AN$24</formula1>
    </dataValidation>
  </dataValidations>
  <hyperlinks>
    <hyperlink ref="B2" r:id="rId1"/>
    <hyperlink ref="B44:B46" r:id="rId2" display="Steps 1 &amp; 2: Operating Conditions, Current Limit, &amp; Circuit Breaker"/>
    <hyperlink ref="D24:F25" r:id="rId3" display="*For additional questions not addressed in the videos, please post on E2E.ti.com"/>
    <hyperlink ref="D20" r:id="rId4" display="Datasheet link"/>
    <hyperlink ref="D19" r:id="rId5" display="Step 5: UVLO, OVLO &amp; PGD Thresholds"/>
    <hyperlink ref="D18" r:id="rId6" display="Step 4: Startup"/>
    <hyperlink ref="D17" r:id="rId7" display="Step 3: MOSFET Selection"/>
    <hyperlink ref="D16:F16" r:id="rId8" display="Steps 1 &amp; 2: Operating Conditions, Current Limit, &amp; Circuit Breaker"/>
    <hyperlink ref="D16:I16" r:id="rId9" display="Steps 1 &amp; 2: Operating Conditions, Current Limit, &amp; Circuit Breaker (7:41)"/>
    <hyperlink ref="D17:I17" r:id="rId10" display="Step 3: MOSFET Selection (9:58)"/>
    <hyperlink ref="D18:I18" r:id="rId11" display="Step 4: Startup (10:32)"/>
    <hyperlink ref="D19:I19" r:id="rId12" display="Step 5: UVLO, OVLO &amp; PGD Thresholds (4:20)"/>
    <hyperlink ref="B33:B34" r:id="rId13" display="Steps 1 &amp; 2: Operating Conditions, Current Limit, &amp; Circuit Breaker"/>
    <hyperlink ref="B52" r:id="rId14"/>
    <hyperlink ref="B63" r:id="rId15"/>
    <hyperlink ref="B83" r:id="rId16"/>
  </hyperlinks>
  <pageMargins left="0.17" right="0.17" top="0.55000000000000004" bottom="0.92" header="0.48" footer="0.2"/>
  <pageSetup scale="62" fitToHeight="2" orientation="portrait" r:id="rId17"/>
  <headerFooter alignWithMargins="0"/>
  <drawing r:id="rId18"/>
  <legacyDrawing r:id="rId19"/>
  <extLst>
    <ext xmlns:x14="http://schemas.microsoft.com/office/spreadsheetml/2009/9/main" uri="{78C0D931-6437-407d-A8EE-F0AAD7539E65}">
      <x14:conditionalFormattings>
        <x14:conditionalFormatting xmlns:xm="http://schemas.microsoft.com/office/excel/2006/main">
          <x14:cfRule type="cellIs" priority="14" operator="notBetween" id="{F34EEA6E-52B5-4CE2-B19D-58CC12237589}">
            <xm:f>'Device Parameters'!$F$5</xm:f>
            <xm:f>'Device Parameters'!$D$5</xm:f>
            <x14:dxf>
              <font>
                <color auto="1"/>
              </font>
              <fill>
                <patternFill>
                  <bgColor rgb="FFFFFF00"/>
                </patternFill>
              </fill>
            </x14:dxf>
          </x14:cfRule>
          <xm:sqref>D88:F93 F78:F79 K103:K106</xm:sqref>
        </x14:conditionalFormatting>
        <x14:conditionalFormatting xmlns:xm="http://schemas.microsoft.com/office/excel/2006/main">
          <x14:cfRule type="cellIs" priority="6" operator="notBetween" id="{D5135BC5-E1CB-4A88-8352-CF9CF6D7B642}">
            <xm:f>'Device Parameters'!$F$5</xm:f>
            <xm:f>'Device Parameters'!$D$5</xm:f>
            <x14:dxf>
              <fill>
                <patternFill>
                  <bgColor rgb="FFFF0000"/>
                </patternFill>
              </fill>
            </x14:dxf>
          </x14:cfRule>
          <xm:sqref>F27:F29</xm:sqref>
        </x14:conditionalFormatting>
      </x14:conditionalFormattings>
    </ext>
    <ext xmlns:x14="http://schemas.microsoft.com/office/spreadsheetml/2009/9/main" uri="{CCE6A557-97BC-4b89-ADB6-D9C93CAAB3DF}">
      <x14:dataValidations xmlns:xm="http://schemas.microsoft.com/office/excel/2006/main" xWindow="820" yWindow="376" count="4">
        <x14:dataValidation type="decimal" allowBlank="1" showInputMessage="1" showErrorMessage="1" errorTitle="Ambient Temperature Violation" error="The Ambient Temperature must be between -40C and 125C">
          <x14:formula1>
            <xm:f>'Device Parameters'!D5</xm:f>
          </x14:formula1>
          <x14:formula2>
            <xm:f>'Device Parameters'!F5</xm:f>
          </x14:formula2>
          <xm:sqref>F36</xm:sqref>
        </x14:dataValidation>
        <x14:dataValidation type="decimal" allowBlank="1" showInputMessage="1" showErrorMessage="1" errorTitle="Ambient Temperature Violation" error="The Ambient Temperature must be between -40C and 125C">
          <x14:formula1>
            <xm:f>'Device Parameters'!D4</xm:f>
          </x14:formula1>
          <x14:formula2>
            <xm:f>'Device Parameters'!F4</xm:f>
          </x14:formula2>
          <xm:sqref>F33:F35</xm:sqref>
        </x14:dataValidation>
        <x14:dataValidation type="decimal" operator="lessThanOrEqual" allowBlank="1" showInputMessage="1" showErrorMessage="1" errorTitle="Maximum System Voltage Violation" error="The maximum system voltage must be no greater than 80V.">
          <x14:formula1>
            <xm:f>'Device Parameters'!F5</xm:f>
          </x14:formula1>
          <xm:sqref>F29</xm:sqref>
        </x14:dataValidation>
        <x14:dataValidation type="decimal" operator="greaterThanOrEqual" allowBlank="1" showInputMessage="1" showErrorMessage="1" errorTitle="Minimum System Voltage Violation" error="The minimum system voltage must be at least 5.5V.">
          <x14:formula1>
            <xm:f>'Device Parameters'!D5</xm:f>
          </x14:formula1>
          <xm:sqref>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K40"/>
  <sheetViews>
    <sheetView workbookViewId="0">
      <selection activeCell="D32" activeCellId="1" sqref="F36 D32"/>
    </sheetView>
  </sheetViews>
  <sheetFormatPr defaultRowHeight="12.5" x14ac:dyDescent="0.25"/>
  <cols>
    <col min="1" max="2" width="9.453125" customWidth="1"/>
    <col min="3" max="3" width="34.1796875" customWidth="1"/>
    <col min="4" max="4" width="9.1796875" customWidth="1"/>
    <col min="5" max="6" width="10" bestFit="1" customWidth="1"/>
    <col min="13" max="13" width="13.54296875" customWidth="1"/>
  </cols>
  <sheetData>
    <row r="2" spans="1:11" x14ac:dyDescent="0.25">
      <c r="A2" s="33"/>
      <c r="B2" s="155"/>
      <c r="D2" s="33" t="s">
        <v>12</v>
      </c>
      <c r="E2" s="33" t="s">
        <v>13</v>
      </c>
      <c r="F2" s="33" t="s">
        <v>14</v>
      </c>
      <c r="G2" s="33" t="s">
        <v>34</v>
      </c>
    </row>
    <row r="3" spans="1:11" ht="13" x14ac:dyDescent="0.3">
      <c r="A3" s="27" t="s">
        <v>32</v>
      </c>
      <c r="B3" s="27"/>
      <c r="D3" s="33"/>
      <c r="E3" s="33"/>
      <c r="F3" s="33"/>
    </row>
    <row r="4" spans="1:11" ht="13" x14ac:dyDescent="0.3">
      <c r="A4" s="27"/>
      <c r="B4" s="27"/>
      <c r="C4" s="33" t="s">
        <v>36</v>
      </c>
      <c r="D4" s="63">
        <v>-40</v>
      </c>
      <c r="E4" s="63"/>
      <c r="F4" s="63">
        <v>125</v>
      </c>
    </row>
    <row r="5" spans="1:11" x14ac:dyDescent="0.25">
      <c r="C5" s="34" t="s">
        <v>33</v>
      </c>
      <c r="D5" s="1">
        <v>5.5</v>
      </c>
      <c r="E5" s="1"/>
      <c r="F5" s="1">
        <v>65</v>
      </c>
      <c r="G5" s="33" t="s">
        <v>17</v>
      </c>
      <c r="K5" s="2"/>
    </row>
    <row r="6" spans="1:11" x14ac:dyDescent="0.25">
      <c r="D6" s="1"/>
      <c r="E6" s="1"/>
      <c r="F6" s="1"/>
    </row>
    <row r="7" spans="1:11" ht="13" x14ac:dyDescent="0.3">
      <c r="A7" s="27" t="s">
        <v>110</v>
      </c>
      <c r="B7" s="27"/>
      <c r="D7" s="1"/>
      <c r="E7" s="1"/>
      <c r="F7" s="1"/>
    </row>
    <row r="8" spans="1:11" x14ac:dyDescent="0.25">
      <c r="B8" s="155" t="s">
        <v>111</v>
      </c>
      <c r="C8" s="34" t="s">
        <v>112</v>
      </c>
      <c r="D8" s="167">
        <v>1.88</v>
      </c>
      <c r="E8" s="167">
        <v>2</v>
      </c>
      <c r="F8" s="167">
        <v>2.12</v>
      </c>
      <c r="G8" s="155" t="s">
        <v>17</v>
      </c>
    </row>
    <row r="9" spans="1:11" x14ac:dyDescent="0.25">
      <c r="B9" s="155" t="s">
        <v>113</v>
      </c>
      <c r="C9" s="34" t="s">
        <v>114</v>
      </c>
      <c r="D9" s="167"/>
      <c r="E9" s="63">
        <v>0.24</v>
      </c>
      <c r="F9" s="167"/>
      <c r="G9" s="155" t="s">
        <v>17</v>
      </c>
    </row>
    <row r="10" spans="1:11" x14ac:dyDescent="0.25">
      <c r="B10" s="155" t="s">
        <v>117</v>
      </c>
      <c r="C10" s="34" t="s">
        <v>118</v>
      </c>
      <c r="D10" s="167"/>
      <c r="E10" s="167">
        <v>9.5999999999999996E-6</v>
      </c>
      <c r="F10" s="167"/>
      <c r="G10" s="155" t="s">
        <v>92</v>
      </c>
    </row>
    <row r="11" spans="1:11" x14ac:dyDescent="0.25">
      <c r="B11" s="155" t="s">
        <v>115</v>
      </c>
      <c r="C11" s="34" t="s">
        <v>116</v>
      </c>
      <c r="D11" s="167"/>
      <c r="E11" s="167">
        <v>0</v>
      </c>
      <c r="F11" s="167">
        <v>5.0000000000000003E-10</v>
      </c>
      <c r="G11" s="155" t="s">
        <v>7</v>
      </c>
    </row>
    <row r="12" spans="1:11" x14ac:dyDescent="0.25">
      <c r="D12" s="167"/>
      <c r="E12" s="167"/>
      <c r="F12" s="167"/>
    </row>
    <row r="13" spans="1:11" ht="13" x14ac:dyDescent="0.3">
      <c r="A13" s="27" t="s">
        <v>100</v>
      </c>
      <c r="B13" s="27"/>
      <c r="D13" s="167"/>
      <c r="E13" s="167"/>
      <c r="F13" s="167"/>
    </row>
    <row r="14" spans="1:11" x14ac:dyDescent="0.25">
      <c r="B14" s="155" t="s">
        <v>119</v>
      </c>
      <c r="C14" s="34" t="s">
        <v>101</v>
      </c>
      <c r="D14" s="167">
        <v>1.45</v>
      </c>
      <c r="E14" s="167">
        <v>1.6</v>
      </c>
      <c r="F14" s="167">
        <v>1.75</v>
      </c>
      <c r="G14" s="155" t="s">
        <v>17</v>
      </c>
    </row>
    <row r="15" spans="1:11" x14ac:dyDescent="0.25">
      <c r="B15" s="155" t="s">
        <v>120</v>
      </c>
      <c r="C15" s="34" t="s">
        <v>102</v>
      </c>
      <c r="D15" s="167">
        <v>0.12</v>
      </c>
      <c r="E15" s="167">
        <v>0.18</v>
      </c>
      <c r="F15" s="167">
        <v>0.23</v>
      </c>
      <c r="G15" s="155" t="s">
        <v>17</v>
      </c>
    </row>
    <row r="16" spans="1:11" x14ac:dyDescent="0.25">
      <c r="B16" s="155" t="s">
        <v>121</v>
      </c>
      <c r="C16" s="34" t="s">
        <v>103</v>
      </c>
      <c r="D16" s="167">
        <v>3.8E-6</v>
      </c>
      <c r="E16" s="167">
        <v>5.4999999999999999E-6</v>
      </c>
      <c r="F16" s="167">
        <v>7.1999999999999997E-6</v>
      </c>
      <c r="G16" s="155" t="s">
        <v>7</v>
      </c>
    </row>
    <row r="17" spans="1:7" x14ac:dyDescent="0.25">
      <c r="C17" s="2"/>
      <c r="D17" s="1"/>
      <c r="E17" s="1"/>
      <c r="F17" s="1"/>
    </row>
    <row r="18" spans="1:7" ht="13" x14ac:dyDescent="0.3">
      <c r="A18" s="27" t="s">
        <v>37</v>
      </c>
      <c r="B18" s="27"/>
      <c r="C18" s="2"/>
      <c r="D18" s="1"/>
      <c r="E18" s="1"/>
      <c r="F18" s="1"/>
    </row>
    <row r="19" spans="1:7" x14ac:dyDescent="0.25">
      <c r="B19" s="155" t="s">
        <v>126</v>
      </c>
      <c r="C19" s="34" t="s">
        <v>38</v>
      </c>
      <c r="D19" s="1">
        <v>1.7E-5</v>
      </c>
      <c r="E19" s="1">
        <v>2.4000000000000001E-5</v>
      </c>
      <c r="F19" s="1">
        <v>3.1000000000000001E-5</v>
      </c>
      <c r="G19" t="s">
        <v>7</v>
      </c>
    </row>
    <row r="20" spans="1:7" x14ac:dyDescent="0.25">
      <c r="B20" s="155" t="s">
        <v>127</v>
      </c>
      <c r="C20" s="34" t="s">
        <v>95</v>
      </c>
      <c r="D20" s="167"/>
      <c r="E20" s="167">
        <v>2.2000000000000001E-3</v>
      </c>
      <c r="F20" s="167"/>
      <c r="G20" t="s">
        <v>7</v>
      </c>
    </row>
    <row r="21" spans="1:7" x14ac:dyDescent="0.25">
      <c r="B21" s="155" t="s">
        <v>128</v>
      </c>
      <c r="C21" s="34" t="s">
        <v>94</v>
      </c>
      <c r="D21" s="167"/>
      <c r="E21" s="167">
        <v>0.08</v>
      </c>
      <c r="F21" s="167"/>
      <c r="G21" t="s">
        <v>7</v>
      </c>
    </row>
    <row r="22" spans="1:7" x14ac:dyDescent="0.25">
      <c r="B22" s="155" t="s">
        <v>129</v>
      </c>
      <c r="C22" s="34" t="s">
        <v>96</v>
      </c>
      <c r="D22" s="167">
        <v>3.5</v>
      </c>
      <c r="E22" s="167">
        <v>5</v>
      </c>
      <c r="F22" s="167">
        <v>6.5</v>
      </c>
      <c r="G22" t="s">
        <v>17</v>
      </c>
    </row>
    <row r="23" spans="1:7" x14ac:dyDescent="0.25">
      <c r="B23" s="155" t="s">
        <v>130</v>
      </c>
      <c r="C23" s="34" t="s">
        <v>97</v>
      </c>
      <c r="D23" s="167">
        <v>10</v>
      </c>
      <c r="E23" s="167">
        <v>12</v>
      </c>
      <c r="F23" s="167">
        <v>14</v>
      </c>
    </row>
    <row r="24" spans="1:7" x14ac:dyDescent="0.25">
      <c r="C24" s="2"/>
      <c r="D24" s="1"/>
      <c r="E24" s="1"/>
      <c r="F24" s="1"/>
    </row>
    <row r="25" spans="1:7" ht="13" x14ac:dyDescent="0.3">
      <c r="A25" s="27" t="s">
        <v>44</v>
      </c>
      <c r="B25" s="27"/>
      <c r="C25" s="2"/>
    </row>
    <row r="26" spans="1:7" x14ac:dyDescent="0.25">
      <c r="B26" s="155" t="s">
        <v>131</v>
      </c>
      <c r="C26" s="34" t="s">
        <v>35</v>
      </c>
      <c r="D26" s="167">
        <v>2</v>
      </c>
      <c r="E26" s="167">
        <v>2</v>
      </c>
      <c r="F26" s="167">
        <v>2</v>
      </c>
      <c r="G26" t="s">
        <v>17</v>
      </c>
    </row>
    <row r="27" spans="1:7" x14ac:dyDescent="0.25">
      <c r="B27" s="155" t="s">
        <v>132</v>
      </c>
      <c r="C27" s="34" t="s">
        <v>45</v>
      </c>
      <c r="E27">
        <v>0.3</v>
      </c>
    </row>
    <row r="28" spans="1:7" x14ac:dyDescent="0.25">
      <c r="B28" s="155" t="s">
        <v>133</v>
      </c>
      <c r="C28" s="34" t="s">
        <v>89</v>
      </c>
      <c r="D28">
        <v>8.4999999999999999E-6</v>
      </c>
      <c r="E28">
        <v>1.1E-5</v>
      </c>
      <c r="F28">
        <v>1.2999999999999999E-5</v>
      </c>
      <c r="G28" t="s">
        <v>7</v>
      </c>
    </row>
    <row r="29" spans="1:7" x14ac:dyDescent="0.25">
      <c r="B29" s="155" t="s">
        <v>134</v>
      </c>
      <c r="C29" s="34" t="s">
        <v>93</v>
      </c>
      <c r="D29">
        <v>3.9999999999999998E-6</v>
      </c>
      <c r="E29">
        <v>6.0000000000000002E-6</v>
      </c>
      <c r="F29">
        <v>6.9999999999999999E-6</v>
      </c>
      <c r="G29" t="s">
        <v>7</v>
      </c>
    </row>
    <row r="30" spans="1:7" x14ac:dyDescent="0.25">
      <c r="B30" s="155" t="s">
        <v>135</v>
      </c>
      <c r="C30" s="34" t="s">
        <v>90</v>
      </c>
      <c r="D30">
        <v>4.4000000000000003E-3</v>
      </c>
      <c r="E30">
        <v>6.0000000000000001E-3</v>
      </c>
      <c r="F30">
        <v>8.2000000000000007E-3</v>
      </c>
      <c r="G30" t="s">
        <v>7</v>
      </c>
    </row>
    <row r="31" spans="1:7" x14ac:dyDescent="0.25">
      <c r="B31" s="155" t="s">
        <v>136</v>
      </c>
      <c r="C31" s="34" t="s">
        <v>91</v>
      </c>
      <c r="E31">
        <v>5</v>
      </c>
      <c r="G31" t="s">
        <v>92</v>
      </c>
    </row>
    <row r="32" spans="1:7" x14ac:dyDescent="0.25">
      <c r="C32" s="34"/>
    </row>
    <row r="33" spans="1:9" ht="13" x14ac:dyDescent="0.3">
      <c r="A33" s="27" t="s">
        <v>79</v>
      </c>
      <c r="B33" s="27"/>
    </row>
    <row r="34" spans="1:9" ht="13" x14ac:dyDescent="0.3">
      <c r="A34" s="27"/>
      <c r="B34" s="155" t="s">
        <v>137</v>
      </c>
      <c r="C34" s="34" t="s">
        <v>106</v>
      </c>
      <c r="D34">
        <v>1.36E-5</v>
      </c>
      <c r="E34">
        <v>1.5999999999999999E-5</v>
      </c>
      <c r="F34">
        <v>1.8E-5</v>
      </c>
      <c r="G34" s="155" t="s">
        <v>7</v>
      </c>
    </row>
    <row r="35" spans="1:9" ht="13" x14ac:dyDescent="0.3">
      <c r="A35" s="27"/>
      <c r="B35" s="155" t="s">
        <v>138</v>
      </c>
      <c r="C35" s="34" t="s">
        <v>80</v>
      </c>
      <c r="D35">
        <v>-7.0000000000000001E-3</v>
      </c>
      <c r="E35">
        <v>0</v>
      </c>
      <c r="F35">
        <v>7.0000000000000001E-3</v>
      </c>
      <c r="G35" s="155" t="s">
        <v>17</v>
      </c>
    </row>
    <row r="36" spans="1:9" ht="13" x14ac:dyDescent="0.3">
      <c r="A36" s="27"/>
      <c r="B36" s="155" t="s">
        <v>139</v>
      </c>
      <c r="C36" s="34" t="s">
        <v>88</v>
      </c>
      <c r="D36">
        <v>1.7</v>
      </c>
      <c r="E36">
        <v>2</v>
      </c>
      <c r="F36">
        <v>2.2999999999999998</v>
      </c>
      <c r="G36" s="155" t="s">
        <v>7</v>
      </c>
    </row>
    <row r="40" spans="1:9" x14ac:dyDescent="0.25">
      <c r="G40" s="33"/>
      <c r="I40" s="3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5:AA276"/>
  <sheetViews>
    <sheetView topLeftCell="A7" workbookViewId="0">
      <selection activeCell="D32" activeCellId="1" sqref="F36 D32"/>
    </sheetView>
  </sheetViews>
  <sheetFormatPr defaultRowHeight="12.5" x14ac:dyDescent="0.25"/>
  <cols>
    <col min="5" max="5" width="12.453125" customWidth="1"/>
    <col min="6" max="6" width="12.453125" bestFit="1" customWidth="1"/>
    <col min="7" max="7" width="12.453125" customWidth="1"/>
    <col min="9" max="9" width="14" customWidth="1"/>
    <col min="10" max="11" width="12.54296875" customWidth="1"/>
    <col min="12" max="12" width="11.54296875" customWidth="1"/>
  </cols>
  <sheetData>
    <row r="5" spans="1:10" x14ac:dyDescent="0.25">
      <c r="B5" s="155"/>
    </row>
    <row r="6" spans="1:10" x14ac:dyDescent="0.25">
      <c r="B6" s="155"/>
    </row>
    <row r="7" spans="1:10" x14ac:dyDescent="0.25">
      <c r="B7" s="155"/>
    </row>
    <row r="12" spans="1:10" ht="14" x14ac:dyDescent="0.3">
      <c r="A12" s="177" t="s">
        <v>81</v>
      </c>
    </row>
    <row r="13" spans="1:10" ht="13" x14ac:dyDescent="0.3">
      <c r="A13" s="27"/>
      <c r="D13" s="90"/>
    </row>
    <row r="14" spans="1:10" x14ac:dyDescent="0.25">
      <c r="D14" s="121" t="s">
        <v>5</v>
      </c>
    </row>
    <row r="15" spans="1:10" x14ac:dyDescent="0.25">
      <c r="D15" s="155" t="s">
        <v>161</v>
      </c>
      <c r="E15" s="155" t="s">
        <v>160</v>
      </c>
      <c r="F15" s="155" t="s">
        <v>158</v>
      </c>
      <c r="G15" s="121" t="s">
        <v>6</v>
      </c>
      <c r="H15" s="155" t="s">
        <v>161</v>
      </c>
      <c r="I15" s="155" t="s">
        <v>160</v>
      </c>
      <c r="J15" s="190" t="s">
        <v>158</v>
      </c>
    </row>
    <row r="16" spans="1:10" x14ac:dyDescent="0.25">
      <c r="C16" s="62" t="s">
        <v>107</v>
      </c>
      <c r="D16" s="2">
        <f>'Design Calculator'!F80</f>
        <v>20</v>
      </c>
      <c r="E16" s="2">
        <f>'Design Calculator'!F80</f>
        <v>20</v>
      </c>
      <c r="F16">
        <f>'Design Calculator'!F80</f>
        <v>20</v>
      </c>
      <c r="G16" s="155" t="s">
        <v>122</v>
      </c>
      <c r="H16" s="2">
        <f>RRNINEHYS*(TVINMAX-(OVPTHTYP-OVPHYSTYP))/(OVPTHTYP-OVPHYSTYP)</f>
        <v>223.63636363636363</v>
      </c>
      <c r="I16" s="2">
        <f>RRNINE*(TVINMAX-(OVPTHTYP))/(OVPTHTYP)</f>
        <v>195</v>
      </c>
      <c r="J16">
        <f>'Design Calculator'!F85</f>
        <v>2</v>
      </c>
    </row>
    <row r="17" spans="1:11" x14ac:dyDescent="0.25">
      <c r="C17" s="121" t="s">
        <v>108</v>
      </c>
      <c r="D17" s="2">
        <f>(RRTHREEHYS*TVINMAX)/(OVPTHTYP-OVPHYSTYP)-RRTHREEHYS-RRONEHYS-(UVLOBIASTYP*RRONEHYS*RRTHREEHYS/(OVPTHTYP-OVPHYSTYP))</f>
        <v>2.2540971073218263</v>
      </c>
      <c r="E17" s="2">
        <f>(RRTHREE*TVINMAX)/(OVPTHTYP)-RRTHREE-RRONE-(UVLOBIASTYP*RRONE*RRTHREE/(OVPTHTYP))</f>
        <v>2.5869254510444231</v>
      </c>
      <c r="F17" s="4">
        <f>'Design Calculator'!F82</f>
        <v>2.7</v>
      </c>
      <c r="G17" s="155" t="s">
        <v>123</v>
      </c>
      <c r="H17">
        <f>'Design Calculator'!F83</f>
        <v>15</v>
      </c>
      <c r="I17">
        <f>'Design Calculator'!F83</f>
        <v>15</v>
      </c>
      <c r="J17">
        <f>'Design Calculator'!F83</f>
        <v>15</v>
      </c>
    </row>
    <row r="18" spans="1:11" x14ac:dyDescent="0.25">
      <c r="C18" s="121" t="s">
        <v>109</v>
      </c>
      <c r="D18">
        <f>(((UVLOTHTYP-UVLOHYSTYP)*RRONEHYS)/(TVINMIN-(UVLOTHTYP-UVLOHYSTYP)-(UVLOBIASTYP*RRONEHYS))+RRONEHYS)/(TVINMAX/(OVPTHTYP-OVPHYSTYP)-UVLOBIASTYP*RRONEHYS/(OVPTHTYP-OVPHYSTYP))</f>
        <v>1.4926591120956076</v>
      </c>
      <c r="E18">
        <f>(((UVLOTHTYP)*RRONE)/(TVINMIN-(UVLOTHTYP)-(UVLOBIASTYP*RRONE))+RRONE)/(TVINMAX/(OVPTHTYP)-UVLOBIASTYP*RRONE/(OVPTHTYP))</f>
        <v>1.7374631547321489</v>
      </c>
      <c r="F18" s="4">
        <f>'Design Calculator'!F85</f>
        <v>2</v>
      </c>
      <c r="G18" s="155" t="s">
        <v>124</v>
      </c>
      <c r="H18">
        <f>(TVINMIN-(UVLOTHTYP-OVPHYSTYP))/(UVLOBIASTYP+(UVLOTHTYP-UVLOHYSTYP)/RRELEVENHYS)</f>
        <v>107.59729880079709</v>
      </c>
      <c r="I18">
        <f>(TVINMIN-(UVLOTHTYP))/(UVLOBIASTYP+(UVLOTHTYP)/RRELEVEN)</f>
        <v>92.493641062176977</v>
      </c>
      <c r="J18">
        <f>'Design Calculator'!F82</f>
        <v>2.7</v>
      </c>
    </row>
    <row r="19" spans="1:11" ht="13" x14ac:dyDescent="0.3">
      <c r="A19" s="27"/>
      <c r="C19" s="121"/>
      <c r="G19" s="155" t="s">
        <v>125</v>
      </c>
      <c r="H19" s="4">
        <f>'Design Calculator'!F80</f>
        <v>20</v>
      </c>
      <c r="I19" s="4">
        <f>'Design Calculator'!F80</f>
        <v>20</v>
      </c>
      <c r="J19">
        <f>'Design Calculator'!F80</f>
        <v>20</v>
      </c>
    </row>
    <row r="20" spans="1:11" x14ac:dyDescent="0.25">
      <c r="B20" s="10"/>
      <c r="C20" s="11"/>
      <c r="D20" s="131"/>
      <c r="E20" s="182" t="s">
        <v>155</v>
      </c>
      <c r="F20">
        <f>RONE*((OVPTHMIN-OVPHYSTYP)/RTHREE+UVLOBIASMIN*1000)+RTWO*(OVPTHMIN-OVPHYSTYP)/RTHREE+(OVPTHMIN-OVPHYSTYP)</f>
        <v>20.329999999999998</v>
      </c>
      <c r="J20">
        <f>(OVPTHMIN)+(REIGHT*(OVPTHMIN-OVPHYSTYP)/RNINE)</f>
        <v>2.0986666666666665</v>
      </c>
    </row>
    <row r="21" spans="1:11" x14ac:dyDescent="0.25">
      <c r="B21" s="13"/>
      <c r="C21" s="9"/>
      <c r="D21" s="132"/>
      <c r="E21" s="183" t="s">
        <v>156</v>
      </c>
      <c r="F21">
        <f>RONE*((OVPTHTYP-OVPHYSTYP)/RTHREE+UVLOBIASTYP*1000)+RTWO*(OVPTHTYP-OVPHYSTYP)/RTHREE+(OVPTHTYP-OVPHYSTYP)</f>
        <v>21.846000000000004</v>
      </c>
      <c r="J21">
        <f>(OVPTHTYP-OVPHYSTYP)+(REIGHT*(OVPTHTYP-OVPHYSTYP)/RNINE)</f>
        <v>1.9946666666666666</v>
      </c>
    </row>
    <row r="22" spans="1:11" x14ac:dyDescent="0.25">
      <c r="B22" s="15"/>
      <c r="C22" s="16"/>
      <c r="D22" s="133"/>
      <c r="E22" s="184" t="s">
        <v>157</v>
      </c>
      <c r="F22">
        <f>RONE*((OVPTHMAX-OVPHYSTYP)/RTHREE+UVLOBIASMAX*1000)+RTWO*(OVPTHMAX-OVPHYSTYP)/RTHREE+(OVPTHMAX-OVPHYSTYP)</f>
        <v>23.362000000000002</v>
      </c>
      <c r="J22">
        <f>(OVPTHMAX-OVPHYSTYP)+(REIGHT*(OVPTHMAX-OVPHYSTYP)/RNINE)</f>
        <v>2.1306666666666669</v>
      </c>
    </row>
    <row r="23" spans="1:11" x14ac:dyDescent="0.25">
      <c r="D23" s="90"/>
      <c r="E23" s="182" t="s">
        <v>146</v>
      </c>
      <c r="F23">
        <f>RONE*((OVPTHMIN)/RTHREE+UVLOBIASMIN*1000)+RTWO*(OVPTHMIN)/RTHREE+(OVPTHMIN)</f>
        <v>23.293999999999997</v>
      </c>
      <c r="J23">
        <f>(OVPTHMIN)+(REIGHT*(OVPTHMIN)/RNINE)</f>
        <v>2.1306666666666665</v>
      </c>
    </row>
    <row r="24" spans="1:11" x14ac:dyDescent="0.25">
      <c r="D24" s="90"/>
      <c r="E24" s="183" t="s">
        <v>147</v>
      </c>
      <c r="F24">
        <f>RONE*((OVPTHTYP)/RTHREE+UVLOBIASTYP*1000)+RTWO*(OVPTHTYP)/RTHREE+(OVPTHTYP)</f>
        <v>24.81</v>
      </c>
      <c r="J24">
        <f>(OVPTHTYP)+(REIGHT*(OVPTHTYP)/RNINE)</f>
        <v>2.2666666666666666</v>
      </c>
    </row>
    <row r="25" spans="1:11" x14ac:dyDescent="0.25">
      <c r="D25" s="90"/>
      <c r="E25" s="184" t="s">
        <v>154</v>
      </c>
      <c r="F25">
        <f>RONE*((OVPTHMAX)/RTHREE+UVLOBIASMAX*1000)+RTWO*(OVPTHMAX)/RTHREE+(OVPTHMAX)</f>
        <v>26.326000000000004</v>
      </c>
      <c r="J25">
        <f>(OVPTHMAX)+(REIGHT*(OVPTHMAX)/RNINE)</f>
        <v>2.4026666666666667</v>
      </c>
    </row>
    <row r="26" spans="1:11" x14ac:dyDescent="0.25">
      <c r="A26" s="33"/>
      <c r="E26" s="110" t="s">
        <v>148</v>
      </c>
      <c r="F26">
        <f>((UVLOTHMIN-UVLOHYSMAX)/(RTWO+RTHREE)+UVLOBIASMIN*1000)*RONE+UVLOTHMIN</f>
        <v>6.7174893617021283</v>
      </c>
      <c r="J26" s="155">
        <f>(UVLOTHMIN-UVLOHYSMAX)+(RTEN*(UVLOBIASMIN*1000+(UVLOTHMIN-UVLOHYSMAX)/RELEVEN))</f>
        <v>1.39496</v>
      </c>
      <c r="K26" s="155"/>
    </row>
    <row r="27" spans="1:11" x14ac:dyDescent="0.25">
      <c r="A27" s="33"/>
      <c r="E27" s="110" t="s">
        <v>149</v>
      </c>
      <c r="F27" s="4">
        <f>((UVLOTHTYP-UVLOHYSTYP)/(RTWO+RTHREE)+UVLOBIASTYP*1000)*RONE+UVLOTHTYP</f>
        <v>7.752553191489362</v>
      </c>
      <c r="G27" s="4"/>
      <c r="I27" s="4"/>
      <c r="J27">
        <f>(UVLOTHTYP-UVLOHYSTYP)+(RTEN*(UVLOBIASTYP*1000+(UVLOTHTYP-UVLOHYSTYP)/RELEVEN))</f>
        <v>1.6265500000000002</v>
      </c>
    </row>
    <row r="28" spans="1:11" x14ac:dyDescent="0.25">
      <c r="A28" s="33"/>
      <c r="E28" s="110" t="s">
        <v>150</v>
      </c>
      <c r="F28">
        <f>((UVLOTHMAX-UVLOHYSMIN)/(RTWO+RTHREE)+UVLOBIASMAX*1000)*RONE+UVLOTHMAX</f>
        <v>8.8301702127659567</v>
      </c>
      <c r="J28">
        <f>(UVLOTHMAX-UVLOHYSMIN)+(RTEN*(UVLOBIASMAX*1000+(UVLOTHMAX-UVLOHYSMIN)/RELEVEN))</f>
        <v>1.8694899999999999</v>
      </c>
    </row>
    <row r="29" spans="1:11" x14ac:dyDescent="0.25">
      <c r="A29" s="33"/>
      <c r="E29" s="110" t="s">
        <v>151</v>
      </c>
      <c r="F29">
        <f>((UVLOTHMIN)/(RTWO+RTHREE)+UVLOBIASMIN*1000)*RONE+UVLOTHMIN</f>
        <v>7.6962127659574477</v>
      </c>
      <c r="J29" s="155">
        <f>(UVLOTHMIN)+(RTEN*(UVLOBIASMIN*1000+(UVLOTHMIN-UVLOHYSMAX)/RELEVEN))</f>
        <v>1.62496</v>
      </c>
      <c r="K29" s="155"/>
    </row>
    <row r="30" spans="1:11" x14ac:dyDescent="0.25">
      <c r="A30" s="33"/>
      <c r="E30" s="110" t="s">
        <v>152</v>
      </c>
      <c r="F30" s="4">
        <f>((UVLOTHTYP)/(RTWO+RTHREE)+UVLOBIASTYP*1000)*RONE+UVLOTHTYP</f>
        <v>8.5185106382978724</v>
      </c>
      <c r="G30" s="4"/>
      <c r="I30" s="4"/>
      <c r="J30">
        <f>(UVLOTHTYP)+(RTEN*(UVLOBIASTYP*1000+(UVLOTHTYP)/RELEVEN))</f>
        <v>1.8308500000000001</v>
      </c>
    </row>
    <row r="31" spans="1:11" x14ac:dyDescent="0.25">
      <c r="A31" s="33"/>
      <c r="E31" s="110" t="s">
        <v>153</v>
      </c>
      <c r="F31">
        <f>((UVLOTHMAX)/(RTWO+RTHREE)+UVLOBIASMAX*1000)*RONE+UVLOTHMAX</f>
        <v>9.340808510638297</v>
      </c>
      <c r="J31">
        <f>(UVLOTHMAX)+(RTEN*(UVLOBIASMAX*1000+(UVLOTHMAX)/RELEVEN))</f>
        <v>2.00569</v>
      </c>
    </row>
    <row r="32" spans="1:11" x14ac:dyDescent="0.25">
      <c r="A32" s="33"/>
    </row>
    <row r="33" spans="1:14" x14ac:dyDescent="0.25">
      <c r="A33" s="33"/>
      <c r="I33" s="90"/>
    </row>
    <row r="34" spans="1:14" x14ac:dyDescent="0.25">
      <c r="A34" s="33"/>
      <c r="I34" s="90"/>
    </row>
    <row r="35" spans="1:14" x14ac:dyDescent="0.25">
      <c r="A35" s="33"/>
      <c r="I35" s="90"/>
    </row>
    <row r="36" spans="1:14" x14ac:dyDescent="0.25">
      <c r="A36" s="33"/>
      <c r="D36" s="90"/>
      <c r="E36" s="62"/>
      <c r="F36" s="120"/>
      <c r="G36" s="120"/>
      <c r="H36" s="61"/>
      <c r="I36" s="90"/>
    </row>
    <row r="37" spans="1:14" x14ac:dyDescent="0.25">
      <c r="A37" s="33"/>
      <c r="D37" s="90"/>
      <c r="E37" s="62"/>
      <c r="F37" s="90"/>
      <c r="G37" s="90"/>
      <c r="H37" s="61"/>
      <c r="I37" s="90"/>
    </row>
    <row r="38" spans="1:14" x14ac:dyDescent="0.25">
      <c r="A38" s="33"/>
      <c r="D38" s="90"/>
      <c r="E38" s="62"/>
      <c r="F38" s="90"/>
      <c r="G38" s="90"/>
      <c r="H38" s="61"/>
      <c r="I38" s="90"/>
    </row>
    <row r="39" spans="1:14" x14ac:dyDescent="0.25">
      <c r="A39" s="33"/>
      <c r="D39" s="90"/>
      <c r="E39" s="62"/>
      <c r="F39" s="90"/>
      <c r="G39" s="90"/>
      <c r="H39" s="61"/>
      <c r="I39" s="90"/>
    </row>
    <row r="40" spans="1:14" x14ac:dyDescent="0.25">
      <c r="D40" s="90"/>
      <c r="E40" s="121"/>
      <c r="F40" s="122"/>
      <c r="G40" s="122"/>
      <c r="H40" s="90"/>
      <c r="I40" s="90"/>
    </row>
    <row r="41" spans="1:14" x14ac:dyDescent="0.25">
      <c r="D41" s="90"/>
      <c r="E41" s="121"/>
      <c r="F41" s="122"/>
      <c r="G41" s="122"/>
      <c r="H41" s="90"/>
      <c r="I41" s="90"/>
    </row>
    <row r="42" spans="1:14" x14ac:dyDescent="0.25">
      <c r="D42" s="90"/>
      <c r="E42" s="121"/>
      <c r="F42" s="122"/>
      <c r="G42" s="122"/>
      <c r="H42" s="90"/>
      <c r="I42" s="90"/>
    </row>
    <row r="43" spans="1:14" x14ac:dyDescent="0.25">
      <c r="D43" s="90"/>
      <c r="E43" s="121"/>
      <c r="F43" s="123"/>
      <c r="G43" s="123"/>
      <c r="H43" s="90"/>
      <c r="I43" s="121"/>
      <c r="J43" s="1"/>
      <c r="K43" s="167"/>
      <c r="M43" s="2"/>
      <c r="N43" s="1"/>
    </row>
    <row r="44" spans="1:14" x14ac:dyDescent="0.25">
      <c r="D44" s="90"/>
      <c r="E44" s="121"/>
      <c r="F44" s="123"/>
      <c r="G44" s="123"/>
      <c r="H44" s="90"/>
      <c r="I44" s="121"/>
      <c r="J44" s="1"/>
      <c r="K44" s="167"/>
      <c r="M44" s="2"/>
      <c r="N44" s="1"/>
    </row>
    <row r="45" spans="1:14" ht="13" x14ac:dyDescent="0.3">
      <c r="A45" s="27"/>
      <c r="D45" s="90"/>
      <c r="E45" s="90"/>
      <c r="F45" s="90"/>
      <c r="G45" s="90"/>
      <c r="H45" s="90"/>
      <c r="I45" s="90"/>
    </row>
    <row r="46" spans="1:14" ht="13" x14ac:dyDescent="0.3">
      <c r="A46" s="27"/>
      <c r="D46" s="307"/>
      <c r="E46" s="308"/>
      <c r="F46" s="308"/>
      <c r="G46" s="308"/>
      <c r="H46" s="308"/>
      <c r="I46" s="90"/>
    </row>
    <row r="47" spans="1:14" ht="13" x14ac:dyDescent="0.3">
      <c r="A47" s="27"/>
      <c r="D47" s="90"/>
      <c r="E47" s="62"/>
      <c r="F47" s="122"/>
      <c r="G47" s="122"/>
      <c r="H47" s="124"/>
      <c r="I47" s="90"/>
    </row>
    <row r="48" spans="1:14" ht="13" x14ac:dyDescent="0.3">
      <c r="A48" s="27"/>
      <c r="D48" s="90"/>
      <c r="E48" s="62"/>
      <c r="F48" s="122"/>
      <c r="G48" s="122"/>
      <c r="H48" s="90"/>
      <c r="I48" s="90"/>
    </row>
    <row r="49" spans="1:9" ht="13" x14ac:dyDescent="0.3">
      <c r="A49" s="27"/>
      <c r="D49" s="90"/>
      <c r="E49" s="62"/>
      <c r="F49" s="90"/>
      <c r="G49" s="90"/>
      <c r="H49" s="124"/>
      <c r="I49" s="90"/>
    </row>
    <row r="50" spans="1:9" ht="13" x14ac:dyDescent="0.3">
      <c r="A50" s="27"/>
      <c r="D50" s="90"/>
      <c r="E50" s="62"/>
      <c r="F50" s="90"/>
      <c r="G50" s="90"/>
      <c r="H50" s="124"/>
      <c r="I50" s="90"/>
    </row>
    <row r="51" spans="1:9" ht="13" x14ac:dyDescent="0.3">
      <c r="A51" s="27"/>
      <c r="D51" s="90"/>
      <c r="E51" s="62"/>
      <c r="F51" s="122"/>
      <c r="G51" s="122"/>
      <c r="H51" s="124"/>
      <c r="I51" s="90"/>
    </row>
    <row r="52" spans="1:9" ht="13" x14ac:dyDescent="0.3">
      <c r="A52" s="27"/>
      <c r="D52" s="90"/>
      <c r="E52" s="62"/>
      <c r="F52" s="90"/>
      <c r="G52" s="90"/>
      <c r="H52" s="124"/>
      <c r="I52" s="90"/>
    </row>
    <row r="53" spans="1:9" ht="13" x14ac:dyDescent="0.3">
      <c r="A53" s="27"/>
      <c r="D53" s="90"/>
      <c r="E53" s="62"/>
      <c r="F53" s="90"/>
      <c r="G53" s="90"/>
      <c r="H53" s="124"/>
      <c r="I53" s="90"/>
    </row>
    <row r="54" spans="1:9" ht="13" x14ac:dyDescent="0.3">
      <c r="A54" s="27"/>
      <c r="D54" s="307"/>
      <c r="E54" s="308"/>
      <c r="F54" s="308"/>
      <c r="G54" s="308"/>
      <c r="H54" s="308"/>
      <c r="I54" s="90"/>
    </row>
    <row r="55" spans="1:9" ht="13" x14ac:dyDescent="0.3">
      <c r="A55" s="27"/>
      <c r="C55" s="33"/>
      <c r="D55" s="125"/>
      <c r="E55" s="62"/>
      <c r="F55" s="126"/>
      <c r="G55" s="126"/>
      <c r="H55" s="126"/>
      <c r="I55" s="90"/>
    </row>
    <row r="56" spans="1:9" ht="13" x14ac:dyDescent="0.3">
      <c r="A56" s="27"/>
      <c r="C56" s="33"/>
      <c r="D56" s="125"/>
      <c r="E56" s="62"/>
      <c r="F56" s="123"/>
      <c r="G56" s="123"/>
      <c r="H56" s="124"/>
      <c r="I56" s="90"/>
    </row>
    <row r="57" spans="1:9" ht="13" x14ac:dyDescent="0.3">
      <c r="A57" s="27"/>
      <c r="C57" s="33"/>
      <c r="D57" s="125"/>
      <c r="E57" s="62"/>
      <c r="F57" s="126"/>
      <c r="G57" s="126"/>
      <c r="H57" s="124"/>
      <c r="I57" s="90"/>
    </row>
    <row r="58" spans="1:9" ht="13" x14ac:dyDescent="0.3">
      <c r="A58" s="27"/>
      <c r="C58" s="33"/>
      <c r="D58" s="125"/>
      <c r="E58" s="62"/>
      <c r="F58" s="123"/>
      <c r="G58" s="123"/>
      <c r="H58" s="124"/>
      <c r="I58" s="90"/>
    </row>
    <row r="59" spans="1:9" ht="13" x14ac:dyDescent="0.3">
      <c r="A59" s="27"/>
      <c r="C59" s="33"/>
      <c r="D59" s="125"/>
      <c r="E59" s="62"/>
      <c r="F59" s="126"/>
      <c r="G59" s="126"/>
      <c r="H59" s="126"/>
      <c r="I59" s="90"/>
    </row>
    <row r="60" spans="1:9" ht="13" x14ac:dyDescent="0.3">
      <c r="A60" s="27"/>
      <c r="C60" s="33"/>
      <c r="D60" s="125"/>
      <c r="E60" s="62"/>
      <c r="F60" s="126"/>
      <c r="G60" s="126"/>
      <c r="H60" s="126"/>
      <c r="I60" s="90"/>
    </row>
    <row r="61" spans="1:9" ht="13" x14ac:dyDescent="0.3">
      <c r="A61" s="27"/>
      <c r="C61" s="33"/>
      <c r="D61" s="125"/>
      <c r="E61" s="62"/>
      <c r="F61" s="126"/>
      <c r="G61" s="126"/>
      <c r="H61" s="126"/>
      <c r="I61" s="90"/>
    </row>
    <row r="62" spans="1:9" ht="13" x14ac:dyDescent="0.3">
      <c r="A62" s="27"/>
      <c r="C62" s="33"/>
      <c r="D62" s="125"/>
      <c r="E62" s="62"/>
      <c r="F62" s="126"/>
      <c r="G62" s="126"/>
      <c r="H62" s="126"/>
      <c r="I62" s="90"/>
    </row>
    <row r="63" spans="1:9" ht="13" x14ac:dyDescent="0.3">
      <c r="A63" s="27"/>
      <c r="D63" s="127"/>
      <c r="E63" s="62"/>
      <c r="F63" s="126"/>
      <c r="G63" s="126"/>
      <c r="H63" s="126"/>
      <c r="I63" s="90"/>
    </row>
    <row r="64" spans="1:9" ht="13" x14ac:dyDescent="0.3">
      <c r="A64" s="27"/>
      <c r="D64" s="90"/>
      <c r="E64" s="62"/>
      <c r="F64" s="124"/>
      <c r="G64" s="124"/>
      <c r="H64" s="126"/>
      <c r="I64" s="90"/>
    </row>
    <row r="65" spans="1:9" ht="13" x14ac:dyDescent="0.3">
      <c r="A65" s="27"/>
      <c r="D65" s="90"/>
      <c r="E65" s="62"/>
      <c r="F65" s="124"/>
      <c r="G65" s="124"/>
      <c r="H65" s="124"/>
      <c r="I65" s="90"/>
    </row>
    <row r="66" spans="1:9" ht="13" x14ac:dyDescent="0.3">
      <c r="A66" s="27"/>
      <c r="D66" s="90"/>
      <c r="E66" s="62"/>
      <c r="F66" s="124"/>
      <c r="G66" s="124"/>
      <c r="H66" s="124"/>
      <c r="I66" s="90"/>
    </row>
    <row r="67" spans="1:9" ht="13" x14ac:dyDescent="0.3">
      <c r="A67" s="27"/>
      <c r="D67" s="90"/>
      <c r="E67" s="62"/>
      <c r="F67" s="124"/>
      <c r="G67" s="124"/>
      <c r="H67" s="126"/>
      <c r="I67" s="90"/>
    </row>
    <row r="68" spans="1:9" ht="13" x14ac:dyDescent="0.3">
      <c r="A68" s="27"/>
      <c r="D68" s="309"/>
      <c r="E68" s="309"/>
      <c r="F68" s="309"/>
      <c r="G68" s="309"/>
      <c r="H68" s="309"/>
      <c r="I68" s="309"/>
    </row>
    <row r="69" spans="1:9" ht="13" x14ac:dyDescent="0.3">
      <c r="A69" s="27"/>
      <c r="D69" s="90"/>
      <c r="E69" s="62"/>
      <c r="F69" s="128"/>
      <c r="G69" s="128"/>
      <c r="H69" s="124"/>
      <c r="I69" s="90"/>
    </row>
    <row r="70" spans="1:9" ht="13" x14ac:dyDescent="0.3">
      <c r="A70" s="27"/>
      <c r="D70" s="90"/>
      <c r="E70" s="62"/>
      <c r="F70" s="124"/>
      <c r="G70" s="124"/>
      <c r="H70" s="124"/>
      <c r="I70" s="90"/>
    </row>
    <row r="71" spans="1:9" ht="13" x14ac:dyDescent="0.3">
      <c r="A71" s="27"/>
      <c r="D71" s="90"/>
      <c r="E71" s="110"/>
      <c r="F71" s="128"/>
      <c r="G71" s="128"/>
      <c r="H71" s="124"/>
      <c r="I71" s="90"/>
    </row>
    <row r="72" spans="1:9" ht="13" x14ac:dyDescent="0.3">
      <c r="A72" s="27"/>
      <c r="D72" s="90"/>
      <c r="E72" s="62"/>
      <c r="F72" s="124"/>
      <c r="G72" s="124"/>
      <c r="H72" s="124"/>
      <c r="I72" s="90"/>
    </row>
    <row r="73" spans="1:9" ht="13" x14ac:dyDescent="0.3">
      <c r="A73" s="27"/>
      <c r="D73" s="90"/>
      <c r="E73" s="110"/>
      <c r="F73" s="124"/>
      <c r="G73" s="124"/>
      <c r="H73" s="124"/>
      <c r="I73" s="90"/>
    </row>
    <row r="74" spans="1:9" ht="13" x14ac:dyDescent="0.3">
      <c r="A74" s="27"/>
      <c r="D74" s="90"/>
      <c r="E74" s="62"/>
      <c r="F74" s="124"/>
      <c r="G74" s="124"/>
      <c r="H74" s="124"/>
      <c r="I74" s="90"/>
    </row>
    <row r="75" spans="1:9" ht="13" x14ac:dyDescent="0.3">
      <c r="A75" s="27"/>
      <c r="D75" s="90"/>
      <c r="E75" s="62"/>
      <c r="F75" s="124"/>
      <c r="G75" s="124"/>
      <c r="H75" s="124"/>
      <c r="I75" s="90"/>
    </row>
    <row r="76" spans="1:9" ht="13" x14ac:dyDescent="0.3">
      <c r="A76" s="27"/>
      <c r="D76" s="90"/>
      <c r="E76" s="62"/>
      <c r="F76" s="124"/>
      <c r="G76" s="124"/>
      <c r="H76" s="124"/>
      <c r="I76" s="90"/>
    </row>
    <row r="77" spans="1:9" ht="13" x14ac:dyDescent="0.3">
      <c r="A77" s="27"/>
      <c r="D77" s="90"/>
      <c r="E77" s="62"/>
      <c r="F77" s="124"/>
      <c r="G77" s="124"/>
      <c r="H77" s="124"/>
      <c r="I77" s="90"/>
    </row>
    <row r="78" spans="1:9" ht="13" x14ac:dyDescent="0.3">
      <c r="A78" s="27"/>
      <c r="D78" s="90"/>
      <c r="E78" s="62"/>
      <c r="F78" s="124"/>
      <c r="G78" s="124"/>
      <c r="H78" s="124"/>
      <c r="I78" s="90"/>
    </row>
    <row r="79" spans="1:9" ht="13" x14ac:dyDescent="0.3">
      <c r="A79" s="27"/>
      <c r="D79" s="90"/>
      <c r="E79" s="62"/>
      <c r="F79" s="124"/>
      <c r="G79" s="124"/>
      <c r="H79" s="124"/>
      <c r="I79" s="90"/>
    </row>
    <row r="80" spans="1:9" ht="13" x14ac:dyDescent="0.3">
      <c r="A80" s="27"/>
      <c r="D80" s="90"/>
      <c r="E80" s="62"/>
      <c r="F80" s="124"/>
      <c r="G80" s="124"/>
      <c r="H80" s="124"/>
      <c r="I80" s="90"/>
    </row>
    <row r="81" spans="1:15" ht="13" x14ac:dyDescent="0.3">
      <c r="A81" s="27"/>
      <c r="D81" s="90"/>
      <c r="E81" s="62"/>
      <c r="F81" s="124"/>
      <c r="G81" s="124"/>
      <c r="H81" s="124"/>
      <c r="I81" s="90"/>
    </row>
    <row r="82" spans="1:15" ht="13" x14ac:dyDescent="0.3">
      <c r="A82" s="27"/>
      <c r="D82" s="90"/>
      <c r="E82" s="62"/>
      <c r="F82" s="124"/>
      <c r="G82" s="124"/>
      <c r="H82" s="124"/>
      <c r="I82" s="90"/>
    </row>
    <row r="83" spans="1:15" ht="13" x14ac:dyDescent="0.3">
      <c r="A83" s="27"/>
      <c r="D83" s="90"/>
      <c r="E83" s="90"/>
      <c r="F83" s="124"/>
      <c r="G83" s="124"/>
      <c r="H83" s="90"/>
      <c r="I83" s="90"/>
    </row>
    <row r="84" spans="1:15" x14ac:dyDescent="0.25">
      <c r="A84" s="33"/>
      <c r="D84" s="90"/>
      <c r="E84" s="62"/>
      <c r="F84" s="124"/>
      <c r="G84" s="124"/>
      <c r="H84" s="90"/>
      <c r="I84" s="90"/>
    </row>
    <row r="85" spans="1:15" x14ac:dyDescent="0.25">
      <c r="A85" s="33"/>
      <c r="D85" s="90"/>
      <c r="E85" s="62"/>
      <c r="F85" s="124"/>
      <c r="G85" s="124"/>
      <c r="H85" s="90"/>
      <c r="I85" s="90"/>
    </row>
    <row r="86" spans="1:15" x14ac:dyDescent="0.25">
      <c r="D86" s="124"/>
      <c r="E86" s="62"/>
      <c r="F86" s="124"/>
      <c r="G86" s="124"/>
      <c r="H86" s="90"/>
      <c r="I86" s="90"/>
    </row>
    <row r="87" spans="1:15" x14ac:dyDescent="0.25">
      <c r="D87" s="124"/>
      <c r="E87" s="62"/>
      <c r="F87" s="124"/>
      <c r="G87" s="124"/>
      <c r="H87" s="90"/>
      <c r="I87" s="90"/>
    </row>
    <row r="88" spans="1:15" x14ac:dyDescent="0.25">
      <c r="D88" s="124"/>
      <c r="E88" s="62"/>
      <c r="F88" s="124"/>
      <c r="G88" s="124"/>
      <c r="H88" s="90"/>
      <c r="I88" s="90"/>
    </row>
    <row r="89" spans="1:15" x14ac:dyDescent="0.25">
      <c r="D89" s="90"/>
      <c r="E89" s="62"/>
      <c r="F89" s="124"/>
      <c r="G89" s="124"/>
      <c r="H89" s="90"/>
      <c r="I89" s="90"/>
      <c r="L89" s="6"/>
      <c r="O89" s="6"/>
    </row>
    <row r="90" spans="1:15" x14ac:dyDescent="0.25">
      <c r="D90" s="90"/>
      <c r="E90" s="62"/>
      <c r="F90" s="124"/>
      <c r="G90" s="124"/>
      <c r="H90" s="90"/>
      <c r="I90" s="90"/>
      <c r="L90" s="6"/>
      <c r="O90" s="6"/>
    </row>
    <row r="91" spans="1:15" x14ac:dyDescent="0.25">
      <c r="D91" s="90"/>
      <c r="E91" s="121"/>
      <c r="F91" s="124"/>
      <c r="G91" s="124"/>
      <c r="H91" s="90"/>
      <c r="I91" s="90"/>
      <c r="L91" s="7"/>
      <c r="O91" s="7"/>
    </row>
    <row r="92" spans="1:15" x14ac:dyDescent="0.25">
      <c r="D92" s="90"/>
      <c r="E92" s="62"/>
      <c r="F92" s="124"/>
      <c r="G92" s="124"/>
      <c r="H92" s="90"/>
      <c r="I92" s="90"/>
      <c r="L92" s="7"/>
      <c r="O92" s="7"/>
    </row>
    <row r="93" spans="1:15" x14ac:dyDescent="0.25">
      <c r="D93" s="90"/>
      <c r="E93" s="121"/>
      <c r="F93" s="124"/>
      <c r="G93" s="124"/>
      <c r="H93" s="90"/>
      <c r="I93" s="90"/>
    </row>
    <row r="94" spans="1:15" x14ac:dyDescent="0.25">
      <c r="D94" s="90"/>
      <c r="E94" s="121"/>
      <c r="F94" s="124"/>
      <c r="G94" s="124"/>
      <c r="H94" s="90"/>
      <c r="I94" s="90"/>
    </row>
    <row r="95" spans="1:15" x14ac:dyDescent="0.25">
      <c r="D95" s="90"/>
      <c r="E95" s="62"/>
      <c r="F95" s="124"/>
      <c r="G95" s="124"/>
      <c r="H95" s="124"/>
      <c r="I95" s="90"/>
    </row>
    <row r="96" spans="1:15" x14ac:dyDescent="0.25">
      <c r="D96" s="90"/>
      <c r="E96" s="62"/>
      <c r="F96" s="124"/>
      <c r="G96" s="124"/>
      <c r="H96" s="124"/>
      <c r="I96" s="90"/>
    </row>
    <row r="97" spans="4:9" x14ac:dyDescent="0.25">
      <c r="D97" s="90"/>
      <c r="E97" s="62"/>
      <c r="F97" s="124"/>
      <c r="G97" s="124"/>
      <c r="H97" s="124"/>
      <c r="I97" s="90"/>
    </row>
    <row r="98" spans="4:9" x14ac:dyDescent="0.25">
      <c r="D98" s="90"/>
      <c r="E98" s="62"/>
      <c r="F98" s="90"/>
      <c r="G98" s="90"/>
      <c r="H98" s="124"/>
      <c r="I98" s="90"/>
    </row>
    <row r="99" spans="4:9" x14ac:dyDescent="0.25">
      <c r="D99" s="90"/>
      <c r="E99" s="62"/>
      <c r="F99" s="90"/>
      <c r="G99" s="90"/>
      <c r="H99" s="124"/>
      <c r="I99" s="90"/>
    </row>
    <row r="100" spans="4:9" x14ac:dyDescent="0.25">
      <c r="D100" s="90"/>
      <c r="E100" s="62"/>
      <c r="F100" s="122"/>
      <c r="G100" s="122"/>
      <c r="H100" s="124"/>
      <c r="I100" s="90"/>
    </row>
    <row r="101" spans="4:9" x14ac:dyDescent="0.25">
      <c r="D101" s="90"/>
      <c r="E101" s="62"/>
      <c r="F101" s="122"/>
      <c r="G101" s="122"/>
      <c r="H101" s="124"/>
      <c r="I101" s="90"/>
    </row>
    <row r="102" spans="4:9" x14ac:dyDescent="0.25">
      <c r="D102" s="90"/>
      <c r="E102" s="62"/>
      <c r="F102" s="122"/>
      <c r="G102" s="122"/>
      <c r="H102" s="124"/>
      <c r="I102" s="90"/>
    </row>
    <row r="103" spans="4:9" x14ac:dyDescent="0.25">
      <c r="D103" s="90"/>
      <c r="E103" s="62"/>
      <c r="F103" s="90"/>
      <c r="G103" s="90"/>
      <c r="H103" s="124"/>
      <c r="I103" s="90"/>
    </row>
    <row r="104" spans="4:9" x14ac:dyDescent="0.25">
      <c r="D104" s="90"/>
      <c r="E104" s="62"/>
      <c r="F104" s="90"/>
      <c r="G104" s="90"/>
      <c r="H104" s="124"/>
      <c r="I104" s="90"/>
    </row>
    <row r="105" spans="4:9" x14ac:dyDescent="0.25">
      <c r="D105" s="90"/>
      <c r="E105" s="62"/>
      <c r="F105" s="90"/>
      <c r="G105" s="90"/>
      <c r="H105" s="124"/>
      <c r="I105" s="90"/>
    </row>
    <row r="106" spans="4:9" x14ac:dyDescent="0.25">
      <c r="D106" s="90"/>
      <c r="E106" s="62"/>
      <c r="F106" s="90"/>
      <c r="G106" s="90"/>
      <c r="H106" s="124"/>
      <c r="I106" s="90"/>
    </row>
    <row r="107" spans="4:9" x14ac:dyDescent="0.25">
      <c r="D107" s="90"/>
      <c r="E107" s="62"/>
      <c r="F107" s="90"/>
      <c r="G107" s="90"/>
      <c r="H107" s="124"/>
      <c r="I107" s="90"/>
    </row>
    <row r="108" spans="4:9" x14ac:dyDescent="0.25">
      <c r="D108" s="90"/>
      <c r="E108" s="62"/>
      <c r="F108" s="90"/>
      <c r="G108" s="90"/>
      <c r="H108" s="90"/>
      <c r="I108" s="90"/>
    </row>
    <row r="109" spans="4:9" x14ac:dyDescent="0.25">
      <c r="D109" s="90"/>
      <c r="E109" s="62"/>
      <c r="F109" s="90"/>
      <c r="G109" s="90"/>
      <c r="H109" s="90"/>
      <c r="I109" s="90"/>
    </row>
    <row r="110" spans="4:9" x14ac:dyDescent="0.25">
      <c r="D110" s="90"/>
      <c r="E110" s="62"/>
      <c r="F110" s="90"/>
      <c r="G110" s="90"/>
      <c r="H110" s="90"/>
      <c r="I110" s="90"/>
    </row>
    <row r="111" spans="4:9" x14ac:dyDescent="0.25">
      <c r="D111" s="90"/>
      <c r="E111" s="62"/>
      <c r="F111" s="90"/>
      <c r="G111" s="90"/>
      <c r="H111" s="90"/>
      <c r="I111" s="90"/>
    </row>
    <row r="112" spans="4:9" x14ac:dyDescent="0.25">
      <c r="D112" s="90"/>
      <c r="E112" s="62"/>
      <c r="F112" s="90"/>
      <c r="G112" s="90"/>
      <c r="H112" s="90"/>
      <c r="I112" s="90"/>
    </row>
    <row r="113" spans="2:11" x14ac:dyDescent="0.25">
      <c r="D113" s="90"/>
      <c r="E113" s="62"/>
      <c r="F113" s="90"/>
      <c r="G113" s="90"/>
      <c r="H113" s="90"/>
      <c r="I113" s="90"/>
    </row>
    <row r="114" spans="2:11" ht="13" x14ac:dyDescent="0.3">
      <c r="D114" s="129"/>
      <c r="E114" s="90"/>
      <c r="F114" s="90"/>
      <c r="G114" s="90"/>
      <c r="H114" s="90"/>
      <c r="I114" s="90"/>
    </row>
    <row r="115" spans="2:11" ht="13" x14ac:dyDescent="0.3">
      <c r="D115" s="129"/>
      <c r="E115" s="90"/>
      <c r="F115" s="90"/>
      <c r="G115" s="90"/>
      <c r="H115" s="90"/>
      <c r="I115" s="90"/>
    </row>
    <row r="116" spans="2:11" ht="13" x14ac:dyDescent="0.3">
      <c r="D116" s="129"/>
      <c r="E116" s="90"/>
      <c r="F116" s="90"/>
      <c r="G116" s="90"/>
      <c r="H116" s="90"/>
      <c r="I116" s="90"/>
    </row>
    <row r="117" spans="2:11" x14ac:dyDescent="0.25">
      <c r="D117" s="90"/>
      <c r="E117" s="90"/>
      <c r="F117" s="90"/>
      <c r="G117" s="90"/>
      <c r="H117" s="90"/>
      <c r="I117" s="90"/>
    </row>
    <row r="118" spans="2:11" x14ac:dyDescent="0.25">
      <c r="D118" s="90"/>
      <c r="E118" s="90"/>
      <c r="F118" s="90"/>
      <c r="G118" s="90"/>
      <c r="H118" s="90"/>
      <c r="I118" s="90"/>
    </row>
    <row r="119" spans="2:11" x14ac:dyDescent="0.25">
      <c r="D119" s="90"/>
      <c r="E119" s="121"/>
      <c r="F119" s="90"/>
      <c r="G119" s="90"/>
      <c r="H119" s="90"/>
      <c r="I119" s="90"/>
    </row>
    <row r="120" spans="2:11" x14ac:dyDescent="0.25">
      <c r="D120" s="90"/>
      <c r="E120" s="121"/>
      <c r="F120" s="90"/>
      <c r="G120" s="90"/>
      <c r="H120" s="90"/>
      <c r="I120" s="90"/>
    </row>
    <row r="121" spans="2:11" x14ac:dyDescent="0.25">
      <c r="D121" s="90"/>
      <c r="E121" s="121"/>
      <c r="F121" s="123"/>
      <c r="G121" s="123"/>
      <c r="H121" s="123"/>
      <c r="I121" s="123"/>
      <c r="J121" s="117"/>
      <c r="K121" s="167"/>
    </row>
    <row r="122" spans="2:11" x14ac:dyDescent="0.25">
      <c r="D122" s="90"/>
      <c r="E122" s="121"/>
      <c r="F122" s="130"/>
      <c r="G122" s="130"/>
      <c r="H122" s="130"/>
      <c r="I122" s="90"/>
    </row>
    <row r="123" spans="2:11" x14ac:dyDescent="0.25">
      <c r="D123" s="90"/>
      <c r="E123" s="121"/>
      <c r="F123" s="130"/>
      <c r="G123" s="130"/>
      <c r="H123" s="130"/>
      <c r="I123" s="90"/>
    </row>
    <row r="124" spans="2:11" x14ac:dyDescent="0.25">
      <c r="D124" s="90"/>
      <c r="E124" s="121"/>
      <c r="F124" s="130"/>
      <c r="G124" s="130"/>
      <c r="H124" s="130"/>
      <c r="I124" s="90"/>
    </row>
    <row r="125" spans="2:11" x14ac:dyDescent="0.25">
      <c r="D125" s="90"/>
      <c r="E125" s="121"/>
      <c r="F125" s="123"/>
      <c r="G125" s="123"/>
      <c r="H125" s="130"/>
      <c r="I125" s="90"/>
    </row>
    <row r="126" spans="2:11" x14ac:dyDescent="0.25">
      <c r="B126" s="10"/>
      <c r="C126" s="11"/>
      <c r="D126" s="131"/>
      <c r="E126" s="12"/>
      <c r="F126" s="130"/>
      <c r="G126" s="130"/>
      <c r="H126" s="130"/>
      <c r="I126" s="90"/>
    </row>
    <row r="127" spans="2:11" x14ac:dyDescent="0.25">
      <c r="B127" s="13"/>
      <c r="C127" s="9"/>
      <c r="D127" s="132"/>
      <c r="E127" s="14"/>
      <c r="F127" s="130"/>
      <c r="G127" s="130"/>
      <c r="H127" s="130"/>
      <c r="I127" s="90"/>
    </row>
    <row r="128" spans="2:11" x14ac:dyDescent="0.25">
      <c r="B128" s="15"/>
      <c r="C128" s="16"/>
      <c r="D128" s="133"/>
      <c r="E128" s="17"/>
      <c r="F128" s="130"/>
      <c r="G128" s="130"/>
      <c r="H128" s="130"/>
      <c r="I128" s="90"/>
    </row>
    <row r="129" spans="2:9" x14ac:dyDescent="0.25">
      <c r="D129" s="90"/>
      <c r="E129" s="3"/>
      <c r="F129" s="130"/>
      <c r="G129" s="130"/>
      <c r="H129" s="130"/>
      <c r="I129" s="90"/>
    </row>
    <row r="130" spans="2:9" x14ac:dyDescent="0.25">
      <c r="D130" s="90"/>
      <c r="E130" s="3"/>
      <c r="F130" s="130"/>
      <c r="G130" s="130"/>
      <c r="H130" s="130"/>
      <c r="I130" s="90"/>
    </row>
    <row r="131" spans="2:9" x14ac:dyDescent="0.25">
      <c r="D131" s="90"/>
      <c r="E131" s="3"/>
      <c r="F131" s="130"/>
      <c r="G131" s="130"/>
      <c r="H131" s="130"/>
      <c r="I131" s="90"/>
    </row>
    <row r="132" spans="2:9" x14ac:dyDescent="0.25">
      <c r="B132" s="10"/>
      <c r="C132" s="11"/>
      <c r="D132" s="131"/>
      <c r="E132" s="12"/>
      <c r="F132" s="130"/>
      <c r="G132" s="130"/>
      <c r="H132" s="130"/>
      <c r="I132" s="90"/>
    </row>
    <row r="133" spans="2:9" x14ac:dyDescent="0.25">
      <c r="B133" s="13"/>
      <c r="C133" s="9"/>
      <c r="D133" s="132"/>
      <c r="E133" s="14"/>
      <c r="F133" s="130"/>
      <c r="G133" s="130"/>
      <c r="H133" s="130"/>
      <c r="I133" s="90"/>
    </row>
    <row r="134" spans="2:9" x14ac:dyDescent="0.25">
      <c r="B134" s="15"/>
      <c r="C134" s="16"/>
      <c r="D134" s="133"/>
      <c r="E134" s="17"/>
      <c r="F134" s="130"/>
      <c r="G134" s="130"/>
      <c r="H134" s="130"/>
      <c r="I134" s="90"/>
    </row>
    <row r="135" spans="2:9" x14ac:dyDescent="0.25">
      <c r="D135" s="90"/>
      <c r="E135" s="3"/>
      <c r="F135" s="130"/>
      <c r="G135" s="130"/>
      <c r="H135" s="130"/>
      <c r="I135" s="90"/>
    </row>
    <row r="136" spans="2:9" x14ac:dyDescent="0.25">
      <c r="D136" s="90"/>
      <c r="E136" s="3"/>
      <c r="F136" s="130"/>
      <c r="G136" s="130"/>
      <c r="H136" s="130"/>
      <c r="I136" s="90"/>
    </row>
    <row r="137" spans="2:9" x14ac:dyDescent="0.25">
      <c r="D137" s="90"/>
      <c r="E137" s="3"/>
      <c r="F137" s="130"/>
      <c r="G137" s="130"/>
      <c r="H137" s="130"/>
      <c r="I137" s="90"/>
    </row>
    <row r="138" spans="2:9" x14ac:dyDescent="0.25">
      <c r="D138" s="90"/>
      <c r="E138" s="90"/>
      <c r="F138" s="90"/>
      <c r="G138" s="90"/>
      <c r="H138" s="90"/>
      <c r="I138" s="90"/>
    </row>
    <row r="139" spans="2:9" x14ac:dyDescent="0.25">
      <c r="D139" s="90"/>
      <c r="E139" s="90"/>
      <c r="F139" s="90"/>
      <c r="G139" s="90"/>
      <c r="H139" s="90"/>
      <c r="I139" s="90"/>
    </row>
    <row r="140" spans="2:9" x14ac:dyDescent="0.25">
      <c r="D140" s="90"/>
      <c r="E140" s="90"/>
      <c r="F140" s="90"/>
      <c r="G140" s="90"/>
      <c r="H140" s="90"/>
      <c r="I140" s="90"/>
    </row>
    <row r="141" spans="2:9" x14ac:dyDescent="0.25">
      <c r="D141" s="90"/>
      <c r="E141" s="90"/>
      <c r="F141" s="90"/>
      <c r="G141" s="90"/>
      <c r="H141" s="90"/>
      <c r="I141" s="90"/>
    </row>
    <row r="142" spans="2:9" x14ac:dyDescent="0.25">
      <c r="D142" s="90"/>
      <c r="E142" s="90"/>
      <c r="F142" s="90"/>
      <c r="G142" s="90"/>
      <c r="H142" s="90"/>
      <c r="I142" s="90"/>
    </row>
    <row r="143" spans="2:9" x14ac:dyDescent="0.25">
      <c r="D143" s="90"/>
      <c r="E143" s="90"/>
      <c r="F143" s="90"/>
      <c r="G143" s="90"/>
      <c r="H143" s="90"/>
      <c r="I143" s="90"/>
    </row>
    <row r="144" spans="2:9" x14ac:dyDescent="0.25">
      <c r="D144" s="90"/>
      <c r="E144" s="90"/>
      <c r="F144" s="90"/>
      <c r="G144" s="90"/>
      <c r="H144" s="90"/>
      <c r="I144" s="90"/>
    </row>
    <row r="145" spans="4:9" x14ac:dyDescent="0.25">
      <c r="D145" s="90"/>
      <c r="E145" s="62"/>
      <c r="F145" s="124"/>
      <c r="G145" s="124"/>
      <c r="H145" s="124"/>
      <c r="I145" s="90"/>
    </row>
    <row r="146" spans="4:9" x14ac:dyDescent="0.25">
      <c r="D146" s="90"/>
      <c r="E146" s="62"/>
      <c r="F146" s="124"/>
      <c r="G146" s="124"/>
      <c r="H146" s="124"/>
      <c r="I146" s="90"/>
    </row>
    <row r="147" spans="4:9" x14ac:dyDescent="0.25">
      <c r="D147" s="90"/>
      <c r="E147" s="62"/>
      <c r="F147" s="90"/>
      <c r="G147" s="90"/>
      <c r="H147" s="124"/>
      <c r="I147" s="90"/>
    </row>
    <row r="148" spans="4:9" x14ac:dyDescent="0.25">
      <c r="D148" s="90"/>
      <c r="E148" s="90"/>
      <c r="F148" s="90"/>
      <c r="G148" s="90"/>
      <c r="H148" s="90"/>
      <c r="I148" s="90"/>
    </row>
    <row r="149" spans="4:9" x14ac:dyDescent="0.25">
      <c r="D149" s="90"/>
      <c r="E149" s="90"/>
      <c r="F149" s="90"/>
      <c r="G149" s="90"/>
      <c r="H149" s="90"/>
      <c r="I149" s="90"/>
    </row>
    <row r="150" spans="4:9" x14ac:dyDescent="0.25">
      <c r="D150" s="90"/>
      <c r="E150" s="90"/>
      <c r="F150" s="90"/>
      <c r="G150" s="90"/>
      <c r="H150" s="90"/>
      <c r="I150" s="90"/>
    </row>
    <row r="151" spans="4:9" x14ac:dyDescent="0.25">
      <c r="D151" s="90"/>
      <c r="E151" s="90"/>
      <c r="F151" s="90"/>
      <c r="G151" s="90"/>
      <c r="H151" s="90"/>
      <c r="I151" s="90"/>
    </row>
    <row r="152" spans="4:9" x14ac:dyDescent="0.25">
      <c r="D152" s="90"/>
      <c r="E152" s="90"/>
      <c r="F152" s="90"/>
      <c r="G152" s="90"/>
      <c r="H152" s="90"/>
      <c r="I152" s="90"/>
    </row>
    <row r="153" spans="4:9" x14ac:dyDescent="0.25">
      <c r="D153" s="90"/>
      <c r="E153" s="90"/>
      <c r="F153" s="90"/>
      <c r="G153" s="90"/>
      <c r="H153" s="90"/>
      <c r="I153" s="90"/>
    </row>
    <row r="154" spans="4:9" x14ac:dyDescent="0.25">
      <c r="D154" s="90"/>
      <c r="E154" s="90"/>
      <c r="F154" s="90"/>
      <c r="G154" s="90"/>
      <c r="H154" s="90"/>
      <c r="I154" s="90"/>
    </row>
    <row r="155" spans="4:9" x14ac:dyDescent="0.25">
      <c r="D155" s="90"/>
      <c r="E155" s="90"/>
      <c r="F155" s="90"/>
      <c r="G155" s="90"/>
      <c r="H155" s="90"/>
      <c r="I155" s="90"/>
    </row>
    <row r="156" spans="4:9" x14ac:dyDescent="0.25">
      <c r="D156" s="90"/>
      <c r="E156" s="90"/>
      <c r="F156" s="90"/>
      <c r="G156" s="90"/>
      <c r="H156" s="90"/>
      <c r="I156" s="90"/>
    </row>
    <row r="157" spans="4:9" x14ac:dyDescent="0.25">
      <c r="D157" s="90"/>
      <c r="E157" s="90"/>
      <c r="F157" s="90"/>
      <c r="G157" s="90"/>
      <c r="H157" s="90"/>
      <c r="I157" s="90"/>
    </row>
    <row r="158" spans="4:9" x14ac:dyDescent="0.25">
      <c r="D158" s="90"/>
      <c r="E158" s="90"/>
      <c r="F158" s="90"/>
      <c r="G158" s="90"/>
      <c r="H158" s="90"/>
      <c r="I158" s="90"/>
    </row>
    <row r="159" spans="4:9" x14ac:dyDescent="0.25">
      <c r="D159" s="90"/>
      <c r="E159" s="90"/>
      <c r="F159" s="90"/>
      <c r="G159" s="90"/>
      <c r="H159" s="90"/>
      <c r="I159" s="90"/>
    </row>
    <row r="160" spans="4:9" x14ac:dyDescent="0.25">
      <c r="D160" s="90"/>
      <c r="E160" s="90"/>
      <c r="F160" s="90"/>
      <c r="G160" s="90"/>
      <c r="H160" s="90"/>
      <c r="I160" s="90"/>
    </row>
    <row r="161" spans="3:9" x14ac:dyDescent="0.25">
      <c r="D161" s="90"/>
      <c r="E161" s="90"/>
      <c r="F161" s="90"/>
      <c r="G161" s="90"/>
      <c r="H161" s="90"/>
      <c r="I161" s="90"/>
    </row>
    <row r="162" spans="3:9" x14ac:dyDescent="0.25">
      <c r="D162" s="90"/>
      <c r="E162" s="90"/>
      <c r="F162" s="90"/>
      <c r="G162" s="90"/>
      <c r="H162" s="90"/>
      <c r="I162" s="90"/>
    </row>
    <row r="163" spans="3:9" x14ac:dyDescent="0.25">
      <c r="D163" s="90"/>
      <c r="E163" s="90"/>
      <c r="F163" s="90"/>
      <c r="G163" s="90"/>
      <c r="H163" s="90"/>
      <c r="I163" s="90"/>
    </row>
    <row r="164" spans="3:9" x14ac:dyDescent="0.25">
      <c r="D164" s="90"/>
      <c r="E164" s="90"/>
      <c r="F164" s="90"/>
      <c r="G164" s="90"/>
      <c r="H164" s="90"/>
      <c r="I164" s="90"/>
    </row>
    <row r="165" spans="3:9" x14ac:dyDescent="0.25">
      <c r="D165" s="90"/>
      <c r="E165" s="90"/>
      <c r="F165" s="90"/>
      <c r="G165" s="90"/>
      <c r="H165" s="90"/>
      <c r="I165" s="90"/>
    </row>
    <row r="168" spans="3:9" ht="13" x14ac:dyDescent="0.3">
      <c r="C168" s="27"/>
    </row>
    <row r="169" spans="3:9" x14ac:dyDescent="0.25">
      <c r="E169" s="2"/>
      <c r="F169" s="1"/>
      <c r="G169" s="167"/>
    </row>
    <row r="170" spans="3:9" x14ac:dyDescent="0.25">
      <c r="E170" s="2"/>
      <c r="F170" s="1"/>
      <c r="G170" s="167"/>
    </row>
    <row r="171" spans="3:9" x14ac:dyDescent="0.25">
      <c r="E171" s="2"/>
      <c r="F171" s="1"/>
      <c r="G171" s="167"/>
    </row>
    <row r="173" spans="3:9" x14ac:dyDescent="0.25">
      <c r="E173" s="2"/>
      <c r="F173" s="18"/>
      <c r="G173" s="18"/>
    </row>
    <row r="174" spans="3:9" x14ac:dyDescent="0.25">
      <c r="E174" s="2"/>
      <c r="F174" s="18"/>
      <c r="G174" s="18"/>
    </row>
    <row r="175" spans="3:9" x14ac:dyDescent="0.25">
      <c r="E175" s="2"/>
      <c r="F175" s="18"/>
      <c r="G175" s="18"/>
    </row>
    <row r="177" spans="2:27" x14ac:dyDescent="0.25">
      <c r="E177" s="2"/>
      <c r="F177" s="6"/>
      <c r="G177" s="6"/>
    </row>
    <row r="178" spans="2:27" x14ac:dyDescent="0.25">
      <c r="E178" s="2"/>
      <c r="F178" s="6"/>
      <c r="G178" s="6"/>
      <c r="AA178" s="33" t="s">
        <v>18</v>
      </c>
    </row>
    <row r="179" spans="2:27" x14ac:dyDescent="0.25">
      <c r="E179" s="2"/>
      <c r="F179" s="6"/>
      <c r="G179" s="6"/>
    </row>
    <row r="184" spans="2:27" x14ac:dyDescent="0.25">
      <c r="E184" s="2"/>
      <c r="T184" s="33"/>
    </row>
    <row r="185" spans="2:27" x14ac:dyDescent="0.25">
      <c r="T185" s="33"/>
    </row>
    <row r="186" spans="2:27" x14ac:dyDescent="0.25">
      <c r="B186" s="33"/>
      <c r="D186" s="5"/>
      <c r="E186" s="5"/>
      <c r="F186" s="93"/>
      <c r="G186" s="93"/>
      <c r="H186" s="5"/>
      <c r="J186" s="5"/>
      <c r="K186" s="5"/>
      <c r="L186" s="5"/>
      <c r="M186" s="5"/>
      <c r="N186" s="5"/>
      <c r="T186" s="5"/>
      <c r="U186" s="26"/>
      <c r="V186" s="26"/>
      <c r="W186" s="26"/>
      <c r="X186" s="96"/>
      <c r="Z186" s="97" t="s">
        <v>47</v>
      </c>
    </row>
    <row r="187" spans="2:27" x14ac:dyDescent="0.25">
      <c r="D187" s="5"/>
      <c r="E187" s="28"/>
      <c r="F187" s="28"/>
      <c r="G187" s="28"/>
      <c r="H187" s="28"/>
      <c r="J187" s="5"/>
      <c r="K187" s="5"/>
      <c r="L187" s="28"/>
      <c r="M187" s="28"/>
      <c r="N187" s="28"/>
      <c r="T187" s="5"/>
      <c r="U187" s="28"/>
      <c r="V187" s="28"/>
      <c r="W187" s="28"/>
      <c r="X187" s="28"/>
      <c r="Z187" t="e">
        <f>#REF!</f>
        <v>#REF!</v>
      </c>
    </row>
    <row r="188" spans="2:27" x14ac:dyDescent="0.25">
      <c r="D188" s="5"/>
      <c r="E188" s="28"/>
      <c r="F188" s="28"/>
      <c r="G188" s="28"/>
      <c r="H188" s="28"/>
      <c r="J188" s="5"/>
      <c r="K188" s="5"/>
      <c r="L188" s="28"/>
      <c r="M188" s="28"/>
      <c r="N188" s="28"/>
      <c r="T188" s="5"/>
      <c r="U188" s="28"/>
      <c r="V188" s="28"/>
      <c r="W188" s="28"/>
      <c r="X188" s="28"/>
    </row>
    <row r="189" spans="2:27" x14ac:dyDescent="0.25">
      <c r="D189" s="5"/>
      <c r="E189" s="28"/>
      <c r="F189" s="28"/>
      <c r="G189" s="28"/>
      <c r="H189" s="28"/>
      <c r="J189" s="5"/>
      <c r="K189" s="5"/>
      <c r="L189" s="28"/>
      <c r="M189" s="28"/>
      <c r="N189" s="28"/>
      <c r="Q189" s="29"/>
      <c r="T189" s="5"/>
      <c r="U189" s="28"/>
      <c r="V189" s="28"/>
      <c r="W189" s="28"/>
      <c r="X189" s="28"/>
    </row>
    <row r="190" spans="2:27" x14ac:dyDescent="0.25">
      <c r="D190" s="5"/>
      <c r="E190" s="28"/>
      <c r="F190" s="28"/>
      <c r="G190" s="28"/>
      <c r="H190" s="28"/>
      <c r="J190" s="5"/>
      <c r="K190" s="5"/>
      <c r="L190" s="28"/>
      <c r="M190" s="28"/>
      <c r="N190" s="28"/>
      <c r="P190" s="8"/>
      <c r="Q190" s="30"/>
      <c r="T190" s="5"/>
      <c r="U190" s="28"/>
      <c r="V190" s="28"/>
      <c r="W190" s="28"/>
      <c r="X190" s="28"/>
    </row>
    <row r="191" spans="2:27" x14ac:dyDescent="0.25">
      <c r="D191" s="5"/>
      <c r="E191" s="28"/>
      <c r="F191" s="28"/>
      <c r="G191" s="28"/>
      <c r="H191" s="28"/>
      <c r="J191" s="5"/>
      <c r="K191" s="5"/>
      <c r="L191" s="28"/>
      <c r="M191" s="28"/>
      <c r="N191" s="28"/>
      <c r="P191" s="5"/>
      <c r="Q191" s="5"/>
      <c r="T191" s="5"/>
      <c r="U191" s="28"/>
      <c r="V191" s="28"/>
      <c r="W191" s="28"/>
      <c r="X191" s="28"/>
    </row>
    <row r="192" spans="2:27" x14ac:dyDescent="0.25">
      <c r="D192" s="5"/>
      <c r="E192" s="28"/>
      <c r="F192" s="28"/>
      <c r="G192" s="28"/>
      <c r="H192" s="28"/>
      <c r="J192" s="5"/>
      <c r="K192" s="5"/>
      <c r="L192" s="28"/>
      <c r="M192" s="28"/>
      <c r="N192" s="28"/>
      <c r="P192" s="5"/>
      <c r="Q192" s="28"/>
      <c r="T192" s="5"/>
      <c r="U192" s="28"/>
      <c r="V192" s="28"/>
      <c r="W192" s="28"/>
      <c r="X192" s="28"/>
    </row>
    <row r="193" spans="4:24" x14ac:dyDescent="0.25">
      <c r="D193" s="5"/>
      <c r="E193" s="28"/>
      <c r="F193" s="28"/>
      <c r="G193" s="28"/>
      <c r="H193" s="28"/>
      <c r="J193" s="5"/>
      <c r="K193" s="5"/>
      <c r="L193" s="28"/>
      <c r="M193" s="28"/>
      <c r="N193" s="28"/>
      <c r="P193" s="5"/>
      <c r="Q193" s="28"/>
      <c r="T193" s="5"/>
      <c r="U193" s="28"/>
      <c r="V193" s="28"/>
      <c r="W193" s="28"/>
      <c r="X193" s="28"/>
    </row>
    <row r="194" spans="4:24" x14ac:dyDescent="0.25">
      <c r="D194" s="5"/>
      <c r="E194" s="28"/>
      <c r="F194" s="28"/>
      <c r="G194" s="28"/>
      <c r="H194" s="28"/>
      <c r="J194" s="5"/>
      <c r="K194" s="5"/>
      <c r="L194" s="28"/>
      <c r="M194" s="28"/>
      <c r="N194" s="28"/>
      <c r="P194" s="5"/>
      <c r="Q194" s="28"/>
      <c r="T194" s="5"/>
      <c r="U194" s="28"/>
      <c r="V194" s="28"/>
      <c r="W194" s="28"/>
      <c r="X194" s="28"/>
    </row>
    <row r="195" spans="4:24" x14ac:dyDescent="0.25">
      <c r="D195" s="5"/>
      <c r="E195" s="28"/>
      <c r="F195" s="28"/>
      <c r="G195" s="28"/>
      <c r="H195" s="28"/>
      <c r="J195" s="5"/>
      <c r="K195" s="5"/>
      <c r="L195" s="28"/>
      <c r="M195" s="28"/>
      <c r="N195" s="28"/>
      <c r="P195" s="5"/>
      <c r="Q195" s="28"/>
      <c r="T195" s="5"/>
      <c r="U195" s="28"/>
      <c r="V195" s="28"/>
      <c r="W195" s="28"/>
      <c r="X195" s="28"/>
    </row>
    <row r="196" spans="4:24" x14ac:dyDescent="0.25">
      <c r="D196" s="5"/>
      <c r="E196" s="28"/>
      <c r="F196" s="28"/>
      <c r="G196" s="28"/>
      <c r="H196" s="28"/>
      <c r="J196" s="5"/>
      <c r="K196" s="5"/>
      <c r="L196" s="28"/>
      <c r="M196" s="28"/>
      <c r="N196" s="28"/>
      <c r="P196" s="5"/>
      <c r="Q196" s="28"/>
      <c r="T196" s="5"/>
      <c r="U196" s="28"/>
      <c r="V196" s="28"/>
      <c r="W196" s="28"/>
      <c r="X196" s="28"/>
    </row>
    <row r="197" spans="4:24" x14ac:dyDescent="0.25">
      <c r="D197" s="5"/>
      <c r="E197" s="28"/>
      <c r="F197" s="28"/>
      <c r="G197" s="28"/>
      <c r="H197" s="28"/>
      <c r="J197" s="5"/>
      <c r="K197" s="5"/>
      <c r="L197" s="28"/>
      <c r="M197" s="28"/>
      <c r="N197" s="28"/>
      <c r="P197" s="5"/>
      <c r="Q197" s="28"/>
      <c r="T197" s="5"/>
      <c r="U197" s="28"/>
      <c r="V197" s="28"/>
      <c r="W197" s="28"/>
      <c r="X197" s="28"/>
    </row>
    <row r="198" spans="4:24" x14ac:dyDescent="0.25">
      <c r="D198" s="5"/>
      <c r="E198" s="28"/>
      <c r="F198" s="28"/>
      <c r="G198" s="28"/>
      <c r="H198" s="28"/>
      <c r="J198" s="5"/>
      <c r="K198" s="5"/>
      <c r="L198" s="28"/>
      <c r="M198" s="28"/>
      <c r="N198" s="28"/>
      <c r="P198" s="5"/>
      <c r="Q198" s="28"/>
      <c r="T198" s="5"/>
      <c r="U198" s="28"/>
      <c r="V198" s="28"/>
      <c r="W198" s="28"/>
      <c r="X198" s="28"/>
    </row>
    <row r="199" spans="4:24" x14ac:dyDescent="0.25">
      <c r="D199" s="5"/>
      <c r="E199" s="28"/>
      <c r="F199" s="28"/>
      <c r="G199" s="28"/>
      <c r="H199" s="28"/>
      <c r="J199" s="5"/>
      <c r="K199" s="5"/>
      <c r="L199" s="28"/>
      <c r="M199" s="28"/>
      <c r="N199" s="28"/>
      <c r="P199" s="5"/>
      <c r="Q199" s="28"/>
      <c r="T199" s="5"/>
      <c r="U199" s="28"/>
      <c r="V199" s="28"/>
      <c r="W199" s="28"/>
      <c r="X199" s="28"/>
    </row>
    <row r="200" spans="4:24" x14ac:dyDescent="0.25">
      <c r="D200" s="5"/>
      <c r="E200" s="28"/>
      <c r="F200" s="28"/>
      <c r="G200" s="28"/>
      <c r="H200" s="28"/>
      <c r="J200" s="5"/>
      <c r="K200" s="5"/>
      <c r="L200" s="28"/>
      <c r="M200" s="28"/>
      <c r="N200" s="28"/>
      <c r="P200" s="5"/>
      <c r="Q200" s="28"/>
      <c r="T200" s="5"/>
      <c r="U200" s="28"/>
      <c r="V200" s="28"/>
      <c r="W200" s="28"/>
      <c r="X200" s="28"/>
    </row>
    <row r="201" spans="4:24" x14ac:dyDescent="0.25">
      <c r="D201" s="5"/>
      <c r="E201" s="28"/>
      <c r="F201" s="28"/>
      <c r="G201" s="28"/>
      <c r="H201" s="28"/>
      <c r="J201" s="5"/>
      <c r="K201" s="5"/>
      <c r="L201" s="28"/>
      <c r="M201" s="28"/>
      <c r="N201" s="28"/>
      <c r="P201" s="5"/>
      <c r="Q201" s="28"/>
      <c r="T201" s="5"/>
      <c r="U201" s="28"/>
      <c r="V201" s="28"/>
      <c r="W201" s="28"/>
      <c r="X201" s="28"/>
    </row>
    <row r="202" spans="4:24" x14ac:dyDescent="0.25">
      <c r="D202" s="5"/>
      <c r="E202" s="28"/>
      <c r="F202" s="28"/>
      <c r="G202" s="28"/>
      <c r="H202" s="28"/>
      <c r="J202" s="5"/>
      <c r="K202" s="5"/>
      <c r="L202" s="28"/>
      <c r="M202" s="28"/>
      <c r="N202" s="28"/>
      <c r="P202" s="5"/>
      <c r="Q202" s="28"/>
      <c r="T202" s="5"/>
      <c r="U202" s="28"/>
      <c r="V202" s="28"/>
      <c r="W202" s="28"/>
      <c r="X202" s="28"/>
    </row>
    <row r="203" spans="4:24" x14ac:dyDescent="0.25">
      <c r="D203" s="5"/>
      <c r="E203" s="28"/>
      <c r="F203" s="28"/>
      <c r="G203" s="28"/>
      <c r="H203" s="28"/>
      <c r="J203" s="5"/>
      <c r="K203" s="5"/>
      <c r="L203" s="28"/>
      <c r="M203" s="28"/>
      <c r="N203" s="28"/>
      <c r="P203" s="5"/>
      <c r="Q203" s="28"/>
      <c r="T203" s="5"/>
      <c r="U203" s="28"/>
      <c r="V203" s="28"/>
      <c r="W203" s="28"/>
      <c r="X203" s="28"/>
    </row>
    <row r="204" spans="4:24" x14ac:dyDescent="0.25">
      <c r="D204" s="5"/>
      <c r="E204" s="28"/>
      <c r="F204" s="28"/>
      <c r="G204" s="28"/>
      <c r="H204" s="28"/>
      <c r="J204" s="5"/>
      <c r="K204" s="5"/>
      <c r="L204" s="28"/>
      <c r="M204" s="28"/>
      <c r="N204" s="28"/>
      <c r="P204" s="5"/>
      <c r="Q204" s="28"/>
      <c r="T204" s="26"/>
      <c r="U204" s="28"/>
      <c r="V204" s="28"/>
      <c r="W204" s="28"/>
      <c r="X204" s="28"/>
    </row>
    <row r="205" spans="4:24" x14ac:dyDescent="0.25">
      <c r="D205" s="5"/>
      <c r="E205" s="28"/>
      <c r="F205" s="28"/>
      <c r="G205" s="28"/>
      <c r="H205" s="28"/>
      <c r="J205" s="5"/>
      <c r="K205" s="5"/>
      <c r="L205" s="28"/>
      <c r="M205" s="28"/>
      <c r="N205" s="28"/>
      <c r="P205" s="5"/>
      <c r="Q205" s="28"/>
      <c r="T205" s="26"/>
      <c r="U205" s="28"/>
      <c r="V205" s="28"/>
      <c r="W205" s="28"/>
      <c r="X205" s="28"/>
    </row>
    <row r="206" spans="4:24" x14ac:dyDescent="0.25">
      <c r="D206" s="5"/>
      <c r="E206" s="28"/>
      <c r="F206" s="28"/>
      <c r="G206" s="28"/>
      <c r="H206" s="28"/>
      <c r="J206" s="5"/>
      <c r="K206" s="5"/>
      <c r="L206" s="28"/>
      <c r="M206" s="28"/>
      <c r="N206" s="28"/>
      <c r="P206" s="5"/>
      <c r="Q206" s="28"/>
      <c r="T206" s="26"/>
      <c r="U206" s="28"/>
      <c r="V206" s="28"/>
      <c r="W206" s="28"/>
      <c r="X206" s="28"/>
    </row>
    <row r="207" spans="4:24" x14ac:dyDescent="0.25">
      <c r="D207" s="5"/>
      <c r="E207" s="28"/>
      <c r="F207" s="28"/>
      <c r="G207" s="28"/>
      <c r="H207" s="28"/>
      <c r="J207" s="5"/>
      <c r="K207" s="5"/>
      <c r="L207" s="28"/>
      <c r="M207" s="28"/>
      <c r="N207" s="28"/>
      <c r="P207" s="5"/>
      <c r="Q207" s="28"/>
      <c r="T207" s="5"/>
      <c r="U207" s="28"/>
      <c r="V207" s="28"/>
      <c r="W207" s="28"/>
      <c r="X207" s="28"/>
    </row>
    <row r="208" spans="4:24" x14ac:dyDescent="0.25">
      <c r="D208" s="5"/>
      <c r="E208" s="28"/>
      <c r="F208" s="28"/>
      <c r="G208" s="28"/>
      <c r="H208" s="28"/>
      <c r="J208" s="5"/>
      <c r="K208" s="5"/>
      <c r="L208" s="28"/>
      <c r="M208" s="28"/>
      <c r="N208" s="28"/>
      <c r="P208" s="26"/>
      <c r="Q208" s="28"/>
      <c r="T208" s="5"/>
      <c r="U208" s="28"/>
      <c r="V208" s="28"/>
      <c r="W208" s="28"/>
      <c r="X208" s="28"/>
    </row>
    <row r="209" spans="4:24" x14ac:dyDescent="0.25">
      <c r="D209" s="5"/>
      <c r="E209" s="28"/>
      <c r="F209" s="28"/>
      <c r="G209" s="28"/>
      <c r="H209" s="28"/>
      <c r="J209" s="5"/>
      <c r="K209" s="5"/>
      <c r="L209" s="28"/>
      <c r="M209" s="28"/>
      <c r="N209" s="28"/>
      <c r="P209" s="26"/>
      <c r="Q209" s="28"/>
      <c r="T209" s="5"/>
      <c r="U209" s="28"/>
      <c r="V209" s="28"/>
      <c r="W209" s="28"/>
      <c r="X209" s="28"/>
    </row>
    <row r="210" spans="4:24" x14ac:dyDescent="0.25">
      <c r="D210" s="5"/>
      <c r="E210" s="28"/>
      <c r="F210" s="28"/>
      <c r="G210" s="28"/>
      <c r="H210" s="28"/>
      <c r="J210" s="5"/>
      <c r="K210" s="5"/>
      <c r="L210" s="28"/>
      <c r="M210" s="28"/>
      <c r="N210" s="28"/>
      <c r="P210" s="26"/>
      <c r="Q210" s="28"/>
      <c r="T210" s="5"/>
      <c r="U210" s="28"/>
      <c r="V210" s="28"/>
      <c r="W210" s="28"/>
      <c r="X210" s="28"/>
    </row>
    <row r="211" spans="4:24" x14ac:dyDescent="0.25">
      <c r="D211" s="5"/>
      <c r="E211" s="28"/>
      <c r="F211" s="28"/>
      <c r="G211" s="28"/>
      <c r="H211" s="28"/>
      <c r="J211" s="5"/>
      <c r="K211" s="5"/>
      <c r="L211" s="28"/>
      <c r="M211" s="28"/>
      <c r="N211" s="28"/>
      <c r="T211" s="5"/>
      <c r="U211" s="28"/>
      <c r="V211" s="28"/>
      <c r="W211" s="28"/>
      <c r="X211" s="28"/>
    </row>
    <row r="212" spans="4:24" x14ac:dyDescent="0.25">
      <c r="D212" s="5"/>
      <c r="E212" s="28"/>
      <c r="F212" s="28"/>
      <c r="G212" s="28"/>
      <c r="H212" s="28"/>
      <c r="J212" s="5"/>
      <c r="K212" s="5"/>
      <c r="L212" s="28"/>
      <c r="M212" s="28"/>
      <c r="N212" s="28"/>
      <c r="T212" s="5"/>
      <c r="U212" s="28"/>
      <c r="V212" s="28"/>
      <c r="W212" s="28"/>
      <c r="X212" s="28"/>
    </row>
    <row r="213" spans="4:24" x14ac:dyDescent="0.25">
      <c r="D213" s="5"/>
      <c r="E213" s="28"/>
      <c r="F213" s="28"/>
      <c r="G213" s="28"/>
      <c r="H213" s="28"/>
      <c r="J213" s="5"/>
      <c r="K213" s="5"/>
      <c r="L213" s="28"/>
      <c r="M213" s="28"/>
      <c r="N213" s="28"/>
      <c r="T213" s="5"/>
      <c r="U213" s="28"/>
      <c r="V213" s="28"/>
      <c r="W213" s="28"/>
      <c r="X213" s="28"/>
    </row>
    <row r="214" spans="4:24" x14ac:dyDescent="0.25">
      <c r="D214" s="5"/>
      <c r="E214" s="28"/>
      <c r="F214" s="28"/>
      <c r="G214" s="28"/>
      <c r="H214" s="28"/>
      <c r="J214" s="5"/>
      <c r="K214" s="5"/>
      <c r="L214" s="28"/>
      <c r="M214" s="28"/>
      <c r="N214" s="28"/>
      <c r="T214" s="5"/>
      <c r="U214" s="28"/>
      <c r="V214" s="28"/>
      <c r="W214" s="28"/>
      <c r="X214" s="28"/>
    </row>
    <row r="215" spans="4:24" x14ac:dyDescent="0.25">
      <c r="D215" s="5"/>
      <c r="E215" s="28"/>
      <c r="F215" s="28"/>
      <c r="G215" s="28"/>
      <c r="H215" s="28"/>
      <c r="J215" s="5"/>
      <c r="K215" s="5"/>
      <c r="L215" s="28"/>
      <c r="M215" s="28"/>
      <c r="N215" s="28"/>
      <c r="T215" s="5"/>
      <c r="U215" s="28"/>
      <c r="V215" s="28"/>
      <c r="W215" s="28"/>
      <c r="X215" s="28"/>
    </row>
    <row r="216" spans="4:24" x14ac:dyDescent="0.25">
      <c r="D216" s="5"/>
      <c r="E216" s="28"/>
      <c r="F216" s="28"/>
      <c r="G216" s="28"/>
      <c r="H216" s="28"/>
      <c r="J216" s="5"/>
      <c r="K216" s="5"/>
      <c r="L216" s="28"/>
      <c r="M216" s="28"/>
      <c r="N216" s="28"/>
      <c r="T216" s="5"/>
      <c r="U216" s="28"/>
      <c r="V216" s="28"/>
      <c r="W216" s="28"/>
      <c r="X216" s="28"/>
    </row>
    <row r="217" spans="4:24" x14ac:dyDescent="0.25">
      <c r="D217" s="5"/>
      <c r="E217" s="28"/>
      <c r="F217" s="28"/>
      <c r="G217" s="28"/>
      <c r="H217" s="28"/>
      <c r="J217" s="5"/>
      <c r="K217" s="5"/>
      <c r="L217" s="28"/>
      <c r="M217" s="28"/>
      <c r="N217" s="28"/>
      <c r="T217" s="5"/>
      <c r="U217" s="28"/>
      <c r="V217" s="28"/>
      <c r="W217" s="28"/>
      <c r="X217" s="28"/>
    </row>
    <row r="218" spans="4:24" x14ac:dyDescent="0.25">
      <c r="D218" s="5"/>
      <c r="E218" s="28"/>
      <c r="F218" s="28"/>
      <c r="G218" s="28"/>
      <c r="H218" s="28"/>
      <c r="J218" s="5"/>
      <c r="K218" s="5"/>
      <c r="L218" s="28"/>
      <c r="M218" s="28"/>
      <c r="N218" s="28"/>
      <c r="T218" s="5"/>
      <c r="U218" s="28"/>
      <c r="V218" s="28"/>
      <c r="W218" s="28"/>
      <c r="X218" s="28"/>
    </row>
    <row r="219" spans="4:24" x14ac:dyDescent="0.25">
      <c r="D219" s="5"/>
      <c r="E219" s="28"/>
      <c r="F219" s="28"/>
      <c r="G219" s="28"/>
      <c r="H219" s="28"/>
      <c r="J219" s="5"/>
      <c r="K219" s="5"/>
      <c r="L219" s="28"/>
      <c r="M219" s="28"/>
      <c r="N219" s="28"/>
      <c r="T219" s="5"/>
      <c r="U219" s="28"/>
      <c r="V219" s="28"/>
      <c r="W219" s="28"/>
      <c r="X219" s="28"/>
    </row>
    <row r="220" spans="4:24" x14ac:dyDescent="0.25">
      <c r="D220" s="5"/>
      <c r="E220" s="28"/>
      <c r="F220" s="28"/>
      <c r="G220" s="28"/>
      <c r="H220" s="28"/>
      <c r="J220" s="5"/>
      <c r="K220" s="5"/>
      <c r="L220" s="28"/>
      <c r="M220" s="28"/>
      <c r="N220" s="28"/>
      <c r="T220" s="5"/>
      <c r="U220" s="28"/>
      <c r="V220" s="28"/>
      <c r="W220" s="28"/>
      <c r="X220" s="28"/>
    </row>
    <row r="221" spans="4:24" x14ac:dyDescent="0.25">
      <c r="D221" s="5"/>
      <c r="E221" s="28"/>
      <c r="F221" s="28"/>
      <c r="G221" s="28"/>
      <c r="H221" s="28"/>
      <c r="J221" s="5"/>
      <c r="K221" s="5"/>
      <c r="L221" s="28"/>
      <c r="M221" s="28"/>
      <c r="N221" s="28"/>
      <c r="T221" s="5"/>
      <c r="U221" s="28"/>
      <c r="V221" s="28"/>
      <c r="W221" s="28"/>
      <c r="X221" s="28"/>
    </row>
    <row r="222" spans="4:24" x14ac:dyDescent="0.25">
      <c r="D222" s="5"/>
      <c r="E222" s="28"/>
      <c r="F222" s="28"/>
      <c r="G222" s="28"/>
      <c r="H222" s="28"/>
      <c r="J222" s="5"/>
      <c r="K222" s="5"/>
      <c r="L222" s="28"/>
      <c r="M222" s="28"/>
      <c r="N222" s="28"/>
      <c r="T222" s="5"/>
      <c r="U222" s="28"/>
      <c r="V222" s="28"/>
      <c r="W222" s="28"/>
      <c r="X222" s="28"/>
    </row>
    <row r="223" spans="4:24" x14ac:dyDescent="0.25">
      <c r="D223" s="5"/>
      <c r="E223" s="28"/>
      <c r="F223" s="28"/>
      <c r="G223" s="28"/>
      <c r="H223" s="28"/>
      <c r="J223" s="5"/>
      <c r="K223" s="5"/>
      <c r="L223" s="28"/>
      <c r="M223" s="28"/>
      <c r="N223" s="28"/>
      <c r="T223" s="5"/>
      <c r="U223" s="28"/>
      <c r="V223" s="28"/>
      <c r="W223" s="28"/>
      <c r="X223" s="28"/>
    </row>
    <row r="224" spans="4:24" x14ac:dyDescent="0.25">
      <c r="D224" s="5"/>
      <c r="E224" s="28"/>
      <c r="F224" s="28"/>
      <c r="G224" s="28"/>
      <c r="H224" s="28"/>
      <c r="J224" s="5"/>
      <c r="K224" s="5"/>
      <c r="L224" s="28"/>
      <c r="M224" s="28"/>
      <c r="N224" s="28"/>
      <c r="T224" s="26"/>
      <c r="U224" s="28"/>
      <c r="V224" s="28"/>
      <c r="W224" s="28"/>
      <c r="X224" s="28"/>
    </row>
    <row r="225" spans="4:24" x14ac:dyDescent="0.25">
      <c r="D225" s="5"/>
      <c r="E225" s="28"/>
      <c r="F225" s="28"/>
      <c r="G225" s="28"/>
      <c r="H225" s="28"/>
      <c r="J225" s="5"/>
      <c r="K225" s="5"/>
      <c r="L225" s="28"/>
      <c r="M225" s="28"/>
      <c r="N225" s="28"/>
      <c r="T225" s="26"/>
      <c r="U225" s="28"/>
      <c r="V225" s="28"/>
      <c r="W225" s="28"/>
      <c r="X225" s="28"/>
    </row>
    <row r="226" spans="4:24" x14ac:dyDescent="0.25">
      <c r="D226" s="5"/>
      <c r="E226" s="28"/>
      <c r="F226" s="28"/>
      <c r="G226" s="28"/>
      <c r="H226" s="28"/>
      <c r="J226" s="5"/>
      <c r="K226" s="5"/>
      <c r="L226" s="28"/>
      <c r="M226" s="28"/>
      <c r="N226" s="28"/>
      <c r="T226" s="26"/>
      <c r="U226" s="28"/>
      <c r="V226" s="28"/>
      <c r="W226" s="28"/>
      <c r="X226" s="28"/>
    </row>
    <row r="227" spans="4:24" x14ac:dyDescent="0.25">
      <c r="D227" s="5"/>
      <c r="E227" s="28"/>
      <c r="F227" s="28"/>
      <c r="G227" s="28"/>
      <c r="H227" s="28"/>
      <c r="J227" s="5"/>
      <c r="K227" s="5"/>
      <c r="L227" s="28"/>
      <c r="M227" s="28"/>
      <c r="N227" s="28"/>
      <c r="T227" s="5"/>
      <c r="U227" s="28"/>
      <c r="V227" s="28"/>
      <c r="W227" s="28"/>
      <c r="X227" s="28"/>
    </row>
    <row r="228" spans="4:24" x14ac:dyDescent="0.25">
      <c r="D228" s="5"/>
      <c r="E228" s="28"/>
      <c r="F228" s="28"/>
      <c r="G228" s="28"/>
      <c r="H228" s="28"/>
      <c r="J228" s="5"/>
      <c r="K228" s="5"/>
      <c r="L228" s="28"/>
      <c r="M228" s="28"/>
      <c r="N228" s="28"/>
      <c r="T228" s="5"/>
      <c r="U228" s="28"/>
      <c r="V228" s="28"/>
      <c r="W228" s="28"/>
      <c r="X228" s="28"/>
    </row>
    <row r="229" spans="4:24" x14ac:dyDescent="0.25">
      <c r="D229" s="5"/>
      <c r="E229" s="28"/>
      <c r="F229" s="28"/>
      <c r="G229" s="28"/>
      <c r="H229" s="28"/>
      <c r="J229" s="5"/>
      <c r="K229" s="5"/>
      <c r="L229" s="28"/>
      <c r="M229" s="28"/>
      <c r="N229" s="28"/>
      <c r="T229" s="5"/>
      <c r="U229" s="28"/>
      <c r="V229" s="28"/>
      <c r="W229" s="28"/>
      <c r="X229" s="28"/>
    </row>
    <row r="230" spans="4:24" x14ac:dyDescent="0.25">
      <c r="D230" s="5"/>
      <c r="E230" s="28"/>
      <c r="F230" s="28"/>
      <c r="G230" s="28"/>
      <c r="H230" s="28"/>
      <c r="J230" s="5"/>
      <c r="K230" s="5"/>
      <c r="L230" s="28"/>
      <c r="M230" s="28"/>
      <c r="N230" s="28"/>
      <c r="T230" s="5"/>
      <c r="U230" s="28"/>
      <c r="V230" s="28"/>
      <c r="W230" s="28"/>
      <c r="X230" s="28"/>
    </row>
    <row r="231" spans="4:24" x14ac:dyDescent="0.25">
      <c r="D231" s="5"/>
      <c r="E231" s="28"/>
      <c r="F231" s="28"/>
      <c r="G231" s="28"/>
      <c r="H231" s="28"/>
      <c r="J231" s="5"/>
      <c r="K231" s="5"/>
      <c r="L231" s="28"/>
      <c r="M231" s="28"/>
      <c r="N231" s="28"/>
      <c r="T231" s="5"/>
      <c r="U231" s="28"/>
      <c r="V231" s="28"/>
      <c r="W231" s="28"/>
      <c r="X231" s="28"/>
    </row>
    <row r="232" spans="4:24" x14ac:dyDescent="0.25">
      <c r="D232" s="5"/>
      <c r="E232" s="28"/>
      <c r="F232" s="28"/>
      <c r="G232" s="28"/>
      <c r="H232" s="28"/>
      <c r="J232" s="5"/>
      <c r="K232" s="5"/>
      <c r="L232" s="28"/>
      <c r="M232" s="28"/>
      <c r="N232" s="28"/>
      <c r="T232" s="5"/>
      <c r="U232" s="28"/>
      <c r="V232" s="28"/>
      <c r="W232" s="28"/>
      <c r="X232" s="28"/>
    </row>
    <row r="233" spans="4:24" x14ac:dyDescent="0.25">
      <c r="D233" s="5"/>
      <c r="E233" s="28"/>
      <c r="F233" s="28"/>
      <c r="G233" s="28"/>
      <c r="H233" s="28"/>
      <c r="J233" s="5"/>
      <c r="K233" s="5"/>
      <c r="L233" s="28"/>
      <c r="M233" s="28"/>
      <c r="N233" s="28"/>
      <c r="T233" s="5"/>
      <c r="U233" s="28"/>
      <c r="V233" s="28"/>
      <c r="W233" s="28"/>
      <c r="X233" s="28"/>
    </row>
    <row r="234" spans="4:24" x14ac:dyDescent="0.25">
      <c r="D234" s="5"/>
      <c r="E234" s="28"/>
      <c r="F234" s="28"/>
      <c r="G234" s="28"/>
      <c r="H234" s="28"/>
      <c r="J234" s="5"/>
      <c r="K234" s="5"/>
      <c r="L234" s="28"/>
      <c r="M234" s="28"/>
      <c r="N234" s="28"/>
      <c r="T234" s="5"/>
      <c r="U234" s="28"/>
      <c r="V234" s="28"/>
      <c r="W234" s="28"/>
      <c r="X234" s="28"/>
    </row>
    <row r="235" spans="4:24" x14ac:dyDescent="0.25">
      <c r="D235" s="5"/>
      <c r="E235" s="28"/>
      <c r="F235" s="28"/>
      <c r="G235" s="28"/>
      <c r="H235" s="28"/>
      <c r="J235" s="5"/>
      <c r="K235" s="5"/>
      <c r="L235" s="28"/>
      <c r="M235" s="28"/>
      <c r="N235" s="28"/>
      <c r="T235" s="5"/>
      <c r="U235" s="28"/>
      <c r="V235" s="28"/>
      <c r="W235" s="28"/>
      <c r="X235" s="28"/>
    </row>
    <row r="236" spans="4:24" x14ac:dyDescent="0.25">
      <c r="D236" s="5"/>
      <c r="E236" s="28"/>
      <c r="F236" s="28"/>
      <c r="G236" s="28"/>
      <c r="H236" s="28"/>
      <c r="J236" s="5"/>
      <c r="K236" s="5"/>
      <c r="L236" s="28"/>
      <c r="M236" s="28"/>
      <c r="N236" s="28"/>
      <c r="T236" s="5"/>
      <c r="U236" s="28"/>
      <c r="V236" s="28"/>
      <c r="W236" s="28"/>
      <c r="X236" s="28"/>
    </row>
    <row r="237" spans="4:24" x14ac:dyDescent="0.25">
      <c r="D237" s="5"/>
      <c r="E237" s="28"/>
      <c r="F237" s="28"/>
      <c r="G237" s="28"/>
      <c r="H237" s="28"/>
      <c r="J237" s="5"/>
      <c r="K237" s="5"/>
      <c r="L237" s="28"/>
      <c r="M237" s="28"/>
      <c r="N237" s="28"/>
      <c r="T237" s="5"/>
      <c r="U237" s="28"/>
      <c r="V237" s="28"/>
      <c r="W237" s="28"/>
      <c r="X237" s="28"/>
    </row>
    <row r="238" spans="4:24" x14ac:dyDescent="0.25">
      <c r="D238" s="5"/>
      <c r="E238" s="28"/>
      <c r="F238" s="28"/>
      <c r="G238" s="28"/>
      <c r="H238" s="28"/>
      <c r="J238" s="5"/>
      <c r="K238" s="5"/>
      <c r="L238" s="28"/>
      <c r="M238" s="28"/>
      <c r="N238" s="28"/>
      <c r="T238" s="5"/>
      <c r="U238" s="28"/>
      <c r="V238" s="28"/>
      <c r="W238" s="28"/>
      <c r="X238" s="28"/>
    </row>
    <row r="239" spans="4:24" x14ac:dyDescent="0.25">
      <c r="D239" s="5"/>
      <c r="E239" s="28"/>
      <c r="F239" s="28"/>
      <c r="G239" s="28"/>
      <c r="H239" s="28"/>
      <c r="J239" s="5"/>
      <c r="K239" s="5"/>
      <c r="L239" s="28"/>
      <c r="M239" s="28"/>
      <c r="N239" s="28"/>
      <c r="T239" s="5"/>
      <c r="U239" s="28"/>
      <c r="V239" s="28"/>
      <c r="W239" s="28"/>
      <c r="X239" s="28"/>
    </row>
    <row r="240" spans="4:24" x14ac:dyDescent="0.25">
      <c r="D240" s="5"/>
      <c r="E240" s="28"/>
      <c r="F240" s="28"/>
      <c r="G240" s="28"/>
      <c r="H240" s="28"/>
      <c r="J240" s="5"/>
      <c r="K240" s="5"/>
      <c r="L240" s="28"/>
      <c r="M240" s="28"/>
      <c r="N240" s="28"/>
      <c r="T240" s="5"/>
      <c r="U240" s="28"/>
      <c r="V240" s="28"/>
      <c r="W240" s="28"/>
      <c r="X240" s="28"/>
    </row>
    <row r="241" spans="4:24" x14ac:dyDescent="0.25">
      <c r="D241" s="5"/>
      <c r="E241" s="28"/>
      <c r="F241" s="28"/>
      <c r="G241" s="28"/>
      <c r="H241" s="28"/>
      <c r="J241" s="5"/>
      <c r="K241" s="5"/>
      <c r="L241" s="28"/>
      <c r="M241" s="28"/>
      <c r="N241" s="28"/>
      <c r="T241" s="5"/>
      <c r="U241" s="28"/>
      <c r="V241" s="28"/>
      <c r="W241" s="28"/>
      <c r="X241" s="28"/>
    </row>
    <row r="242" spans="4:24" x14ac:dyDescent="0.25">
      <c r="D242" s="5"/>
      <c r="E242" s="28"/>
      <c r="F242" s="28"/>
      <c r="G242" s="28"/>
      <c r="H242" s="28"/>
      <c r="J242" s="5"/>
      <c r="K242" s="5"/>
      <c r="L242" s="28"/>
      <c r="M242" s="28"/>
      <c r="N242" s="28"/>
      <c r="T242" s="5"/>
      <c r="U242" s="28"/>
      <c r="V242" s="28"/>
      <c r="W242" s="28"/>
      <c r="X242" s="28"/>
    </row>
    <row r="243" spans="4:24" x14ac:dyDescent="0.25">
      <c r="D243" s="5"/>
      <c r="E243" s="28"/>
      <c r="F243" s="28"/>
      <c r="G243" s="28"/>
      <c r="H243" s="28"/>
      <c r="J243" s="5"/>
      <c r="K243" s="5"/>
      <c r="L243" s="28"/>
      <c r="M243" s="28"/>
      <c r="N243" s="28"/>
      <c r="T243" s="5"/>
      <c r="U243" s="28"/>
      <c r="V243" s="28"/>
      <c r="W243" s="28"/>
      <c r="X243" s="28"/>
    </row>
    <row r="244" spans="4:24" x14ac:dyDescent="0.25">
      <c r="D244" s="5"/>
      <c r="E244" s="28"/>
      <c r="F244" s="28"/>
      <c r="G244" s="28"/>
      <c r="H244" s="28"/>
      <c r="J244" s="5"/>
      <c r="K244" s="5"/>
      <c r="L244" s="28"/>
      <c r="M244" s="28"/>
      <c r="N244" s="28"/>
      <c r="T244" s="26"/>
      <c r="U244" s="28"/>
      <c r="V244" s="28"/>
      <c r="W244" s="28"/>
      <c r="X244" s="28"/>
    </row>
    <row r="245" spans="4:24" x14ac:dyDescent="0.25">
      <c r="D245" s="5"/>
      <c r="E245" s="28"/>
      <c r="F245" s="28"/>
      <c r="G245" s="28"/>
      <c r="H245" s="28"/>
      <c r="J245" s="5"/>
      <c r="K245" s="5"/>
      <c r="L245" s="28"/>
      <c r="M245" s="28"/>
      <c r="N245" s="28"/>
      <c r="T245" s="26"/>
      <c r="U245" s="28"/>
      <c r="V245" s="28"/>
      <c r="W245" s="28"/>
      <c r="X245" s="28"/>
    </row>
    <row r="246" spans="4:24" x14ac:dyDescent="0.25">
      <c r="D246" s="5"/>
      <c r="E246" s="28"/>
      <c r="F246" s="28"/>
      <c r="G246" s="28"/>
      <c r="H246" s="28"/>
      <c r="J246" s="5"/>
      <c r="K246" s="5"/>
      <c r="L246" s="28"/>
      <c r="M246" s="28"/>
      <c r="N246" s="28"/>
      <c r="T246" s="26"/>
      <c r="U246" s="28"/>
      <c r="V246" s="28"/>
      <c r="W246" s="28"/>
      <c r="X246" s="28"/>
    </row>
    <row r="247" spans="4:24" x14ac:dyDescent="0.25">
      <c r="D247" s="5"/>
      <c r="E247" s="28"/>
      <c r="F247" s="28"/>
      <c r="G247" s="28"/>
      <c r="H247" s="28"/>
      <c r="J247" s="5"/>
      <c r="K247" s="5"/>
      <c r="L247" s="28"/>
      <c r="M247" s="28"/>
      <c r="N247" s="28"/>
      <c r="T247" s="5"/>
      <c r="U247" s="28"/>
      <c r="V247" s="28"/>
      <c r="W247" s="28"/>
      <c r="X247" s="28"/>
    </row>
    <row r="248" spans="4:24" x14ac:dyDescent="0.25">
      <c r="D248" s="5"/>
      <c r="E248" s="28"/>
      <c r="F248" s="28"/>
      <c r="G248" s="28"/>
      <c r="H248" s="28"/>
      <c r="J248" s="5"/>
      <c r="K248" s="5"/>
      <c r="L248" s="28"/>
      <c r="M248" s="28"/>
      <c r="N248" s="28"/>
      <c r="T248" s="5"/>
      <c r="U248" s="28"/>
      <c r="V248" s="28"/>
      <c r="W248" s="28"/>
      <c r="X248" s="28"/>
    </row>
    <row r="249" spans="4:24" x14ac:dyDescent="0.25">
      <c r="D249" s="5"/>
      <c r="E249" s="28"/>
      <c r="F249" s="28"/>
      <c r="G249" s="28"/>
      <c r="H249" s="28"/>
      <c r="J249" s="5"/>
      <c r="K249" s="5"/>
      <c r="L249" s="28"/>
      <c r="M249" s="28"/>
      <c r="N249" s="28"/>
      <c r="T249" s="5"/>
      <c r="U249" s="28"/>
      <c r="V249" s="28"/>
      <c r="W249" s="28"/>
      <c r="X249" s="28"/>
    </row>
    <row r="250" spans="4:24" x14ac:dyDescent="0.25">
      <c r="D250" s="5"/>
      <c r="E250" s="28"/>
      <c r="F250" s="28"/>
      <c r="G250" s="28"/>
      <c r="H250" s="28"/>
      <c r="J250" s="5"/>
      <c r="K250" s="5"/>
      <c r="L250" s="28"/>
      <c r="M250" s="28"/>
      <c r="N250" s="28"/>
      <c r="T250" s="5"/>
      <c r="U250" s="28"/>
      <c r="V250" s="28"/>
      <c r="W250" s="28"/>
      <c r="X250" s="28"/>
    </row>
    <row r="251" spans="4:24" x14ac:dyDescent="0.25">
      <c r="D251" s="5"/>
      <c r="E251" s="28"/>
      <c r="F251" s="28"/>
      <c r="G251" s="28"/>
      <c r="H251" s="28"/>
      <c r="J251" s="5"/>
      <c r="K251" s="5"/>
      <c r="L251" s="28"/>
      <c r="M251" s="28"/>
      <c r="N251" s="28"/>
      <c r="T251" s="5"/>
      <c r="U251" s="28"/>
      <c r="V251" s="28"/>
      <c r="W251" s="28"/>
      <c r="X251" s="28"/>
    </row>
    <row r="252" spans="4:24" x14ac:dyDescent="0.25">
      <c r="D252" s="5"/>
      <c r="E252" s="28"/>
      <c r="F252" s="28"/>
      <c r="G252" s="28"/>
      <c r="H252" s="28"/>
      <c r="J252" s="5"/>
      <c r="K252" s="5"/>
      <c r="L252" s="28"/>
      <c r="M252" s="28"/>
      <c r="N252" s="28"/>
      <c r="T252" s="5"/>
      <c r="U252" s="28"/>
      <c r="V252" s="28"/>
      <c r="W252" s="28"/>
      <c r="X252" s="28"/>
    </row>
    <row r="253" spans="4:24" x14ac:dyDescent="0.25">
      <c r="D253" s="5"/>
      <c r="E253" s="28"/>
      <c r="F253" s="28"/>
      <c r="G253" s="28"/>
      <c r="H253" s="28"/>
      <c r="J253" s="5"/>
      <c r="K253" s="5"/>
      <c r="L253" s="28"/>
      <c r="M253" s="28"/>
      <c r="N253" s="28"/>
      <c r="T253" s="5"/>
      <c r="U253" s="28"/>
      <c r="V253" s="28"/>
      <c r="W253" s="28"/>
      <c r="X253" s="28"/>
    </row>
    <row r="254" spans="4:24" x14ac:dyDescent="0.25">
      <c r="D254" s="5"/>
      <c r="E254" s="28"/>
      <c r="F254" s="28"/>
      <c r="G254" s="28"/>
      <c r="H254" s="28"/>
      <c r="J254" s="5"/>
      <c r="K254" s="5"/>
      <c r="L254" s="28"/>
      <c r="M254" s="28"/>
      <c r="N254" s="28"/>
      <c r="T254" s="5"/>
      <c r="U254" s="28"/>
      <c r="V254" s="28"/>
      <c r="W254" s="28"/>
      <c r="X254" s="28"/>
    </row>
    <row r="255" spans="4:24" x14ac:dyDescent="0.25">
      <c r="D255" s="5"/>
      <c r="E255" s="28"/>
      <c r="F255" s="28"/>
      <c r="G255" s="28"/>
      <c r="H255" s="28"/>
      <c r="J255" s="5"/>
      <c r="K255" s="5"/>
      <c r="L255" s="28"/>
      <c r="M255" s="28"/>
      <c r="N255" s="28"/>
      <c r="T255" s="5"/>
      <c r="U255" s="28"/>
      <c r="V255" s="28"/>
      <c r="W255" s="28"/>
      <c r="X255" s="28"/>
    </row>
    <row r="256" spans="4:24" x14ac:dyDescent="0.25">
      <c r="D256" s="5"/>
      <c r="E256" s="28"/>
      <c r="F256" s="28"/>
      <c r="G256" s="28"/>
      <c r="H256" s="28"/>
      <c r="J256" s="5"/>
      <c r="K256" s="5"/>
      <c r="L256" s="28"/>
      <c r="M256" s="28"/>
      <c r="N256" s="28"/>
      <c r="T256" s="5"/>
      <c r="U256" s="28"/>
      <c r="V256" s="28"/>
      <c r="W256" s="28"/>
      <c r="X256" s="28"/>
    </row>
    <row r="257" spans="4:24" x14ac:dyDescent="0.25">
      <c r="D257" s="5"/>
      <c r="E257" s="28"/>
      <c r="F257" s="28"/>
      <c r="G257" s="28"/>
      <c r="H257" s="28"/>
      <c r="J257" s="5"/>
      <c r="K257" s="5"/>
      <c r="L257" s="28"/>
      <c r="M257" s="28"/>
      <c r="N257" s="28"/>
      <c r="T257" s="5"/>
      <c r="U257" s="28"/>
      <c r="V257" s="28"/>
      <c r="W257" s="28"/>
      <c r="X257" s="28"/>
    </row>
    <row r="258" spans="4:24" x14ac:dyDescent="0.25">
      <c r="D258" s="5"/>
      <c r="E258" s="28"/>
      <c r="F258" s="28"/>
      <c r="G258" s="28"/>
      <c r="H258" s="28"/>
      <c r="J258" s="5"/>
      <c r="K258" s="5"/>
      <c r="L258" s="28"/>
      <c r="M258" s="28"/>
      <c r="N258" s="28"/>
      <c r="T258" s="5"/>
      <c r="U258" s="28"/>
      <c r="V258" s="28"/>
      <c r="W258" s="28"/>
      <c r="X258" s="28"/>
    </row>
    <row r="259" spans="4:24" x14ac:dyDescent="0.25">
      <c r="D259" s="5"/>
      <c r="E259" s="28"/>
      <c r="F259" s="28"/>
      <c r="G259" s="28"/>
      <c r="H259" s="28"/>
      <c r="J259" s="5"/>
      <c r="K259" s="5"/>
      <c r="L259" s="28"/>
      <c r="M259" s="28"/>
      <c r="N259" s="28"/>
      <c r="T259" s="5"/>
      <c r="U259" s="28"/>
      <c r="V259" s="28"/>
      <c r="W259" s="28"/>
      <c r="X259" s="28"/>
    </row>
    <row r="260" spans="4:24" x14ac:dyDescent="0.25">
      <c r="D260" s="5"/>
      <c r="E260" s="28"/>
      <c r="F260" s="28"/>
      <c r="G260" s="28"/>
      <c r="H260" s="28"/>
      <c r="J260" s="5"/>
      <c r="K260" s="5"/>
      <c r="L260" s="28"/>
      <c r="M260" s="28"/>
      <c r="N260" s="28"/>
      <c r="T260" s="5"/>
      <c r="U260" s="28"/>
      <c r="V260" s="28"/>
      <c r="W260" s="28"/>
      <c r="X260" s="28"/>
    </row>
    <row r="261" spans="4:24" x14ac:dyDescent="0.25">
      <c r="D261" s="5"/>
      <c r="E261" s="28"/>
      <c r="F261" s="28"/>
      <c r="G261" s="28"/>
      <c r="H261" s="28"/>
      <c r="J261" s="5"/>
      <c r="K261" s="5"/>
      <c r="L261" s="28"/>
      <c r="M261" s="28"/>
      <c r="N261" s="28"/>
      <c r="T261" s="5"/>
      <c r="U261" s="28"/>
      <c r="V261" s="28"/>
      <c r="W261" s="28"/>
      <c r="X261" s="28"/>
    </row>
    <row r="262" spans="4:24" x14ac:dyDescent="0.25">
      <c r="D262" s="5"/>
      <c r="E262" s="28"/>
      <c r="F262" s="28"/>
      <c r="G262" s="28"/>
      <c r="H262" s="28"/>
      <c r="J262" s="5"/>
      <c r="K262" s="5"/>
      <c r="L262" s="28"/>
      <c r="M262" s="28"/>
      <c r="N262" s="28"/>
      <c r="T262" s="5"/>
      <c r="U262" s="28"/>
      <c r="V262" s="28"/>
      <c r="W262" s="28"/>
      <c r="X262" s="28"/>
    </row>
    <row r="263" spans="4:24" x14ac:dyDescent="0.25">
      <c r="D263" s="5"/>
      <c r="E263" s="28"/>
      <c r="F263" s="28"/>
      <c r="G263" s="28"/>
      <c r="H263" s="28"/>
      <c r="J263" s="5"/>
      <c r="K263" s="5"/>
      <c r="L263" s="28"/>
      <c r="M263" s="28"/>
      <c r="N263" s="28"/>
      <c r="T263" s="5"/>
      <c r="U263" s="28"/>
      <c r="V263" s="28"/>
      <c r="W263" s="28"/>
      <c r="X263" s="28"/>
    </row>
    <row r="264" spans="4:24" x14ac:dyDescent="0.25">
      <c r="D264" s="5"/>
      <c r="E264" s="28"/>
      <c r="F264" s="28"/>
      <c r="G264" s="28"/>
      <c r="H264" s="28"/>
      <c r="J264" s="5"/>
      <c r="K264" s="5"/>
      <c r="L264" s="28"/>
      <c r="M264" s="28"/>
      <c r="N264" s="28"/>
      <c r="T264" s="26"/>
      <c r="U264" s="28"/>
      <c r="V264" s="28"/>
      <c r="W264" s="28"/>
      <c r="X264" s="28"/>
    </row>
    <row r="265" spans="4:24" x14ac:dyDescent="0.25">
      <c r="D265" s="5"/>
      <c r="E265" s="28"/>
      <c r="F265" s="28"/>
      <c r="G265" s="28"/>
      <c r="H265" s="28"/>
      <c r="J265" s="5"/>
      <c r="K265" s="5"/>
      <c r="L265" s="28"/>
      <c r="M265" s="28"/>
      <c r="N265" s="28"/>
      <c r="T265" s="26"/>
      <c r="U265" s="28"/>
      <c r="V265" s="28"/>
      <c r="W265" s="28"/>
      <c r="X265" s="28"/>
    </row>
    <row r="266" spans="4:24" x14ac:dyDescent="0.25">
      <c r="D266" s="5"/>
      <c r="E266" s="28"/>
      <c r="F266" s="28"/>
      <c r="G266" s="28"/>
      <c r="H266" s="28"/>
      <c r="J266" s="5"/>
      <c r="K266" s="5"/>
      <c r="L266" s="28"/>
      <c r="M266" s="28"/>
      <c r="N266" s="28"/>
      <c r="T266" s="26"/>
      <c r="U266" s="28"/>
      <c r="V266" s="28"/>
      <c r="W266" s="28"/>
      <c r="X266" s="28"/>
    </row>
    <row r="267" spans="4:24" x14ac:dyDescent="0.25">
      <c r="D267" s="116"/>
      <c r="E267" s="134"/>
      <c r="F267" s="134"/>
      <c r="G267" s="134"/>
      <c r="H267" s="134"/>
      <c r="J267" s="116"/>
      <c r="K267" s="116"/>
      <c r="L267" s="134"/>
      <c r="M267" s="134"/>
      <c r="N267" s="134"/>
    </row>
    <row r="269" spans="4:24" x14ac:dyDescent="0.25">
      <c r="D269" s="33"/>
    </row>
    <row r="271" spans="4:24" x14ac:dyDescent="0.25">
      <c r="D271" s="33"/>
    </row>
    <row r="272" spans="4:24" x14ac:dyDescent="0.25">
      <c r="D272" s="33"/>
    </row>
    <row r="273" spans="4:5" x14ac:dyDescent="0.25">
      <c r="D273" s="33"/>
    </row>
    <row r="274" spans="4:5" x14ac:dyDescent="0.25">
      <c r="D274" s="33"/>
      <c r="E274" s="92"/>
    </row>
    <row r="276" spans="4:5" x14ac:dyDescent="0.25">
      <c r="D276" s="94"/>
    </row>
  </sheetData>
  <mergeCells count="3">
    <mergeCell ref="D46:H46"/>
    <mergeCell ref="D54:H54"/>
    <mergeCell ref="D68:I6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2F43736E84F41BD4B3E7ABAD1B9F8" ma:contentTypeVersion="0" ma:contentTypeDescription="Create a new document." ma:contentTypeScope="" ma:versionID="6d41e9362d2f52e62f002b8bc1f10a2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9CAC59-AF7B-4667-A9DE-B61697C554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3F385080-AA43-47B1-B5FC-DE683234294C}">
  <ds:schemaRefs>
    <ds:schemaRef ds:uri="http://schemas.microsoft.com/sharepoint/v3/contenttype/forms"/>
  </ds:schemaRefs>
</ds:datastoreItem>
</file>

<file path=customXml/itemProps3.xml><?xml version="1.0" encoding="utf-8"?>
<ds:datastoreItem xmlns:ds="http://schemas.openxmlformats.org/officeDocument/2006/customXml" ds:itemID="{24F9DA69-AC46-4980-8991-D5FD33AE93E3}">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117</vt:i4>
      </vt:variant>
    </vt:vector>
  </HeadingPairs>
  <TitlesOfParts>
    <vt:vector size="121" baseType="lpstr">
      <vt:lpstr>Instructions</vt:lpstr>
      <vt:lpstr>Design Calculator</vt:lpstr>
      <vt:lpstr>Device Parameters</vt:lpstr>
      <vt:lpstr>Equations</vt:lpstr>
      <vt:lpstr>BBFET</vt:lpstr>
      <vt:lpstr>CONE</vt:lpstr>
      <vt:lpstr>COUTMAX</vt:lpstr>
      <vt:lpstr>CTMR</vt:lpstr>
      <vt:lpstr>DINRUSH</vt:lpstr>
      <vt:lpstr>GVTHHI</vt:lpstr>
      <vt:lpstr>I_Cout_ss</vt:lpstr>
      <vt:lpstr>IGATEFLTMAX</vt:lpstr>
      <vt:lpstr>IGATEFLTMIN</vt:lpstr>
      <vt:lpstr>IGATEFLTTYP</vt:lpstr>
      <vt:lpstr>IGATEMAX</vt:lpstr>
      <vt:lpstr>IGATEMIN</vt:lpstr>
      <vt:lpstr>IGATEOFFMAX</vt:lpstr>
      <vt:lpstr>IGATEOFFMIN</vt:lpstr>
      <vt:lpstr>IGATEOFFTYP</vt:lpstr>
      <vt:lpstr>IGATETYP</vt:lpstr>
      <vt:lpstr>INRUSH</vt:lpstr>
      <vt:lpstr>IOUTMAX</vt:lpstr>
      <vt:lpstr>IRATIOMAX</vt:lpstr>
      <vt:lpstr>IRATIOMIN</vt:lpstr>
      <vt:lpstr>IRATIOTYP</vt:lpstr>
      <vt:lpstr>ISNSMAX</vt:lpstr>
      <vt:lpstr>ISNSMIN</vt:lpstr>
      <vt:lpstr>ISNSTYP</vt:lpstr>
      <vt:lpstr>ITMRHMAX</vt:lpstr>
      <vt:lpstr>ITMRHMIN</vt:lpstr>
      <vt:lpstr>ITMRHTYP</vt:lpstr>
      <vt:lpstr>ITMRLMAX</vt:lpstr>
      <vt:lpstr>ITMRLMIN</vt:lpstr>
      <vt:lpstr>ITMRLTYP</vt:lpstr>
      <vt:lpstr>ITMRMAX</vt:lpstr>
      <vt:lpstr>ITMRRMAX</vt:lpstr>
      <vt:lpstr>ITMRRMIN</vt:lpstr>
      <vt:lpstr>ITMRRTYP</vt:lpstr>
      <vt:lpstr>MINCTMR</vt:lpstr>
      <vt:lpstr>MOSFET</vt:lpstr>
      <vt:lpstr>NUMFETS</vt:lpstr>
      <vt:lpstr>OCMAX</vt:lpstr>
      <vt:lpstr>OCMIN</vt:lpstr>
      <vt:lpstr>OCTYP</vt:lpstr>
      <vt:lpstr>OPTION</vt:lpstr>
      <vt:lpstr>OVPHYSTYP</vt:lpstr>
      <vt:lpstr>OVPTHMAX</vt:lpstr>
      <vt:lpstr>OVPTHMIN</vt:lpstr>
      <vt:lpstr>OVPTHTYP</vt:lpstr>
      <vt:lpstr>'Design Calculator'!Print_Area</vt:lpstr>
      <vt:lpstr>RDSMAX</vt:lpstr>
      <vt:lpstr>RDSMIN</vt:lpstr>
      <vt:lpstr>RDSTYP</vt:lpstr>
      <vt:lpstr>REIGHT</vt:lpstr>
      <vt:lpstr>RELEVEN</vt:lpstr>
      <vt:lpstr>REVPOL</vt:lpstr>
      <vt:lpstr>RNINE</vt:lpstr>
      <vt:lpstr>RO</vt:lpstr>
      <vt:lpstr>RONE</vt:lpstr>
      <vt:lpstr>RREIGHT</vt:lpstr>
      <vt:lpstr>RREIGHTHYS</vt:lpstr>
      <vt:lpstr>RRELEVEN</vt:lpstr>
      <vt:lpstr>RRELEVENHYS</vt:lpstr>
      <vt:lpstr>RRNINE</vt:lpstr>
      <vt:lpstr>RRNINEHYS</vt:lpstr>
      <vt:lpstr>RRONE</vt:lpstr>
      <vt:lpstr>RRONEHYS</vt:lpstr>
      <vt:lpstr>RRTEN</vt:lpstr>
      <vt:lpstr>RRTENHYS</vt:lpstr>
      <vt:lpstr>RRTHREE</vt:lpstr>
      <vt:lpstr>RRTHREEHYS</vt:lpstr>
      <vt:lpstr>RRTWO</vt:lpstr>
      <vt:lpstr>RRTWOHYS</vt:lpstr>
      <vt:lpstr>RS</vt:lpstr>
      <vt:lpstr>RSMIN</vt:lpstr>
      <vt:lpstr>RTEN</vt:lpstr>
      <vt:lpstr>RTHREE</vt:lpstr>
      <vt:lpstr>RTWO</vt:lpstr>
      <vt:lpstr>ss_rate</vt:lpstr>
      <vt:lpstr>TAMB</vt:lpstr>
      <vt:lpstr>Tfault</vt:lpstr>
      <vt:lpstr>TFLTTYP</vt:lpstr>
      <vt:lpstr>ThetaJA</vt:lpstr>
      <vt:lpstr>TINSERTMAX</vt:lpstr>
      <vt:lpstr>TINSERTMIN</vt:lpstr>
      <vt:lpstr>TJMAX</vt:lpstr>
      <vt:lpstr>TRDSMAX</vt:lpstr>
      <vt:lpstr>TRDSMIN</vt:lpstr>
      <vt:lpstr>TSTARTMAX</vt:lpstr>
      <vt:lpstr>TSTARTMIN</vt:lpstr>
      <vt:lpstr>TSTARTNOM</vt:lpstr>
      <vt:lpstr>TVINMAX</vt:lpstr>
      <vt:lpstr>TVINMIN</vt:lpstr>
      <vt:lpstr>UVLOBIASMAX</vt:lpstr>
      <vt:lpstr>UVLOBIASMIN</vt:lpstr>
      <vt:lpstr>UVLOBIASTYP</vt:lpstr>
      <vt:lpstr>UVLOHYSMAX</vt:lpstr>
      <vt:lpstr>UVLOHYSMIN</vt:lpstr>
      <vt:lpstr>UVLOHYSTYP</vt:lpstr>
      <vt:lpstr>UVLOTHMAX</vt:lpstr>
      <vt:lpstr>UVLOTHMIN</vt:lpstr>
      <vt:lpstr>UVLOTHTYP</vt:lpstr>
      <vt:lpstr>VDSFLTTMEMIN</vt:lpstr>
      <vt:lpstr>VGATEMAX</vt:lpstr>
      <vt:lpstr>VGATEMIN</vt:lpstr>
      <vt:lpstr>VGATETHMAX</vt:lpstr>
      <vt:lpstr>VGATETHMIN</vt:lpstr>
      <vt:lpstr>VGATETHTYP</vt:lpstr>
      <vt:lpstr>VGATETYP</vt:lpstr>
      <vt:lpstr>VINMAX</vt:lpstr>
      <vt:lpstr>VINMIN</vt:lpstr>
      <vt:lpstr>VINNOM</vt:lpstr>
      <vt:lpstr>VOFFSETMAX</vt:lpstr>
      <vt:lpstr>VOFFSETMIN</vt:lpstr>
      <vt:lpstr>VOFFSETTYP</vt:lpstr>
      <vt:lpstr>VREVPOL</vt:lpstr>
      <vt:lpstr>VTHHI</vt:lpstr>
      <vt:lpstr>VTMRHMAX</vt:lpstr>
      <vt:lpstr>VTMRHMIN</vt:lpstr>
      <vt:lpstr>VTMRHTYP</vt:lpstr>
      <vt:lpstr>VTMRLTYP</vt:lpstr>
    </vt:vector>
  </TitlesOfParts>
  <Company>NSC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LM5066 Design Calculator</dc:title>
  <dc:creator>a-rogachev@ti.com</dc:creator>
  <cp:lastModifiedBy>andrew</cp:lastModifiedBy>
  <cp:lastPrinted>2013-08-26T22:42:43Z</cp:lastPrinted>
  <dcterms:created xsi:type="dcterms:W3CDTF">2009-04-21T16:00:33Z</dcterms:created>
  <dcterms:modified xsi:type="dcterms:W3CDTF">2023-10-31T21:15:29Z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0x010100CF72F43736E84F41BD4B3E7ABAD1B9F8</vt:lpwstr>
  </property>
</Properties>
</file>