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640" windowHeight="11160" tabRatio="500"/>
  </bookViews>
  <sheets>
    <sheet name="Graphical Representation" sheetId="1" r:id="rId1"/>
    <sheet name="Central Tendency" sheetId="2" r:id="rId2"/>
    <sheet name="Dispersion" sheetId="3" r:id="rId3"/>
    <sheet name="Skewness &amp; Kurtosis" sheetId="4" r:id="rId4"/>
    <sheet name="Correlation &amp; Regression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L33" i="1" l="1"/>
  <c r="L32" i="1"/>
  <c r="L31" i="1"/>
  <c r="L30" i="1"/>
  <c r="L29" i="1"/>
  <c r="M8" i="3" l="1"/>
  <c r="M7" i="3"/>
  <c r="M6" i="3"/>
  <c r="M5" i="3"/>
  <c r="M4" i="3"/>
  <c r="H4" i="3"/>
  <c r="G8" i="3"/>
  <c r="G7" i="3"/>
  <c r="G6" i="3"/>
  <c r="G5" i="3"/>
  <c r="G4" i="3"/>
  <c r="F8" i="3"/>
  <c r="F7" i="3"/>
  <c r="F6" i="3"/>
  <c r="F5" i="3"/>
  <c r="F4" i="3"/>
  <c r="E8" i="3"/>
  <c r="E7" i="3"/>
  <c r="E6" i="3"/>
  <c r="E5" i="3"/>
  <c r="E4" i="3"/>
  <c r="K33" i="1"/>
  <c r="K32" i="1"/>
  <c r="K31" i="1"/>
  <c r="K30" i="1"/>
  <c r="K29" i="1"/>
  <c r="N26" i="2"/>
  <c r="J26" i="2"/>
  <c r="F25" i="2"/>
  <c r="J20" i="2"/>
  <c r="F19" i="2"/>
  <c r="K4" i="2"/>
  <c r="H4" i="2"/>
  <c r="I4" i="3" l="1"/>
  <c r="M4" i="2" l="1"/>
  <c r="L4" i="2"/>
  <c r="I4" i="2"/>
  <c r="J4" i="2" s="1"/>
  <c r="L39" i="5" l="1"/>
  <c r="M29" i="5"/>
  <c r="L36" i="5"/>
  <c r="L35" i="5"/>
  <c r="M27" i="5"/>
  <c r="M26" i="5"/>
  <c r="K8" i="2"/>
  <c r="K7" i="2"/>
  <c r="K6" i="2"/>
  <c r="K5" i="2"/>
  <c r="I8" i="2"/>
  <c r="I7" i="2"/>
  <c r="I6" i="2"/>
  <c r="I5" i="2"/>
  <c r="H8" i="2"/>
  <c r="H7" i="2"/>
  <c r="H6" i="2"/>
  <c r="H5" i="2"/>
  <c r="G5" i="5"/>
  <c r="C18" i="5"/>
  <c r="C30" i="5" s="1"/>
  <c r="B18" i="5"/>
  <c r="C29" i="5" s="1"/>
  <c r="H10" i="2" l="1"/>
  <c r="I5" i="5"/>
  <c r="E10" i="3"/>
  <c r="F5" i="5"/>
  <c r="D5" i="5"/>
  <c r="D4" i="4" l="1"/>
  <c r="F4" i="4" s="1"/>
  <c r="D5" i="4"/>
  <c r="E5" i="4" s="1"/>
  <c r="D6" i="4"/>
  <c r="H6" i="4" s="1"/>
  <c r="D7" i="4"/>
  <c r="D8" i="4"/>
  <c r="H8" i="4" s="1"/>
  <c r="F5" i="4"/>
  <c r="E7" i="4"/>
  <c r="F7" i="4"/>
  <c r="F6" i="4" l="1"/>
  <c r="E4" i="4"/>
  <c r="G6" i="4"/>
  <c r="E6" i="4"/>
  <c r="E8" i="4"/>
  <c r="G4" i="4"/>
  <c r="G8" i="4"/>
  <c r="F8" i="4"/>
  <c r="H5" i="4"/>
  <c r="G7" i="4"/>
  <c r="H7" i="4"/>
  <c r="G5" i="4"/>
  <c r="H4" i="4"/>
  <c r="I8" i="3"/>
  <c r="I7" i="3"/>
  <c r="I6" i="3"/>
  <c r="I5" i="3"/>
  <c r="F10" i="3" l="1"/>
  <c r="I10" i="3"/>
  <c r="F10" i="2" l="1"/>
  <c r="F12" i="2" l="1"/>
  <c r="M8" i="2"/>
  <c r="M7" i="2"/>
  <c r="M6" i="2"/>
  <c r="M5" i="2"/>
  <c r="M10" i="2" l="1"/>
  <c r="I13" i="2" s="1"/>
  <c r="H5" i="5"/>
  <c r="J5" i="5" l="1"/>
  <c r="K5" i="5"/>
  <c r="E5" i="5"/>
  <c r="L8" i="2" l="1"/>
  <c r="D10" i="3" l="1"/>
  <c r="C15" i="3" l="1"/>
  <c r="D18" i="3" s="1"/>
  <c r="C16" i="3"/>
  <c r="D19" i="3" s="1"/>
  <c r="H16" i="5"/>
  <c r="J16" i="5" s="1"/>
  <c r="G16" i="5"/>
  <c r="F16" i="5"/>
  <c r="E16" i="5"/>
  <c r="D16" i="5"/>
  <c r="H15" i="5"/>
  <c r="J15" i="5" s="1"/>
  <c r="G15" i="5"/>
  <c r="I15" i="5" s="1"/>
  <c r="F15" i="5"/>
  <c r="E15" i="5"/>
  <c r="D15" i="5"/>
  <c r="P14" i="5"/>
  <c r="Q14" i="5" s="1"/>
  <c r="H14" i="5"/>
  <c r="J14" i="5" s="1"/>
  <c r="G14" i="5"/>
  <c r="I14" i="5" s="1"/>
  <c r="F14" i="5"/>
  <c r="E14" i="5"/>
  <c r="D14" i="5"/>
  <c r="P13" i="5"/>
  <c r="Q13" i="5" s="1"/>
  <c r="H13" i="5"/>
  <c r="J13" i="5" s="1"/>
  <c r="G13" i="5"/>
  <c r="F13" i="5"/>
  <c r="E13" i="5"/>
  <c r="D13" i="5"/>
  <c r="P12" i="5"/>
  <c r="Q12" i="5" s="1"/>
  <c r="H12" i="5"/>
  <c r="J12" i="5" s="1"/>
  <c r="G12" i="5"/>
  <c r="I12" i="5" s="1"/>
  <c r="F12" i="5"/>
  <c r="E12" i="5"/>
  <c r="D12" i="5"/>
  <c r="P11" i="5"/>
  <c r="Q11" i="5" s="1"/>
  <c r="H11" i="5"/>
  <c r="J11" i="5" s="1"/>
  <c r="G11" i="5"/>
  <c r="I11" i="5" s="1"/>
  <c r="F11" i="5"/>
  <c r="E11" i="5"/>
  <c r="D11" i="5"/>
  <c r="P10" i="5"/>
  <c r="Q10" i="5" s="1"/>
  <c r="H10" i="5"/>
  <c r="J10" i="5" s="1"/>
  <c r="G10" i="5"/>
  <c r="I10" i="5" s="1"/>
  <c r="F10" i="5"/>
  <c r="E10" i="5"/>
  <c r="D10" i="5"/>
  <c r="P9" i="5"/>
  <c r="Q9" i="5" s="1"/>
  <c r="H9" i="5"/>
  <c r="J9" i="5" s="1"/>
  <c r="G9" i="5"/>
  <c r="F9" i="5"/>
  <c r="E9" i="5"/>
  <c r="D9" i="5"/>
  <c r="P8" i="5"/>
  <c r="Q8" i="5" s="1"/>
  <c r="H8" i="5"/>
  <c r="J8" i="5" s="1"/>
  <c r="G8" i="5"/>
  <c r="I8" i="5" s="1"/>
  <c r="F8" i="5"/>
  <c r="E8" i="5"/>
  <c r="D8" i="5"/>
  <c r="P7" i="5"/>
  <c r="Q7" i="5" s="1"/>
  <c r="H7" i="5"/>
  <c r="J7" i="5" s="1"/>
  <c r="G7" i="5"/>
  <c r="I7" i="5" s="1"/>
  <c r="F7" i="5"/>
  <c r="E7" i="5"/>
  <c r="D7" i="5"/>
  <c r="P6" i="5"/>
  <c r="Q6" i="5" s="1"/>
  <c r="H6" i="5"/>
  <c r="G6" i="5"/>
  <c r="F6" i="5"/>
  <c r="E6" i="5"/>
  <c r="D6" i="5"/>
  <c r="P5" i="5"/>
  <c r="Q5" i="5" s="1"/>
  <c r="C10" i="4"/>
  <c r="J8" i="3"/>
  <c r="L8" i="3" s="1"/>
  <c r="H8" i="3"/>
  <c r="J7" i="3"/>
  <c r="L7" i="3" s="1"/>
  <c r="H7" i="3"/>
  <c r="J6" i="3"/>
  <c r="L6" i="3" s="1"/>
  <c r="H6" i="3"/>
  <c r="J5" i="3"/>
  <c r="H5" i="3"/>
  <c r="H10" i="3" s="1"/>
  <c r="C22" i="3" s="1"/>
  <c r="D27" i="3" s="1"/>
  <c r="J4" i="3"/>
  <c r="L4" i="3" s="1"/>
  <c r="J8" i="2"/>
  <c r="L7" i="2"/>
  <c r="J7" i="2"/>
  <c r="L6" i="2"/>
  <c r="J6" i="2"/>
  <c r="L5" i="2"/>
  <c r="J5" i="2"/>
  <c r="G4" i="2"/>
  <c r="J3" i="1"/>
  <c r="J4" i="1" s="1"/>
  <c r="J5" i="1" s="1"/>
  <c r="J6" i="1" s="1"/>
  <c r="J7" i="1" s="1"/>
  <c r="K9" i="5" l="1"/>
  <c r="E18" i="5"/>
  <c r="F18" i="5"/>
  <c r="C21" i="5" s="1"/>
  <c r="K5" i="3"/>
  <c r="L5" i="3"/>
  <c r="D18" i="5"/>
  <c r="J10" i="2"/>
  <c r="F13" i="2" s="1"/>
  <c r="K16" i="5"/>
  <c r="G5" i="2"/>
  <c r="G6" i="2" s="1"/>
  <c r="G7" i="2" s="1"/>
  <c r="G8" i="2" s="1"/>
  <c r="L10" i="2"/>
  <c r="I12" i="2" s="1"/>
  <c r="K4" i="3"/>
  <c r="K8" i="3"/>
  <c r="G10" i="3"/>
  <c r="C17" i="3" s="1"/>
  <c r="D20" i="3" s="1"/>
  <c r="I6" i="5"/>
  <c r="G18" i="5"/>
  <c r="J6" i="5"/>
  <c r="H18" i="5"/>
  <c r="K13" i="5"/>
  <c r="K6" i="3"/>
  <c r="K7" i="5"/>
  <c r="I9" i="5"/>
  <c r="K11" i="5"/>
  <c r="I13" i="5"/>
  <c r="K15" i="5"/>
  <c r="I16" i="5"/>
  <c r="Q16" i="5"/>
  <c r="Q19" i="5" s="1"/>
  <c r="K6" i="5"/>
  <c r="K8" i="5"/>
  <c r="K10" i="5"/>
  <c r="K12" i="5"/>
  <c r="K14" i="5"/>
  <c r="K7" i="3"/>
  <c r="C23" i="5" l="1"/>
  <c r="C22" i="5"/>
  <c r="I18" i="5"/>
  <c r="J18" i="5"/>
  <c r="K18" i="5"/>
  <c r="E10" i="4"/>
  <c r="C12" i="4" s="1"/>
  <c r="G10" i="4"/>
  <c r="C14" i="4" s="1"/>
  <c r="K10" i="3"/>
  <c r="F10" i="4"/>
  <c r="C13" i="4" s="1"/>
  <c r="H10" i="4"/>
  <c r="C15" i="4" s="1"/>
  <c r="L10" i="3"/>
  <c r="C23" i="3" l="1"/>
  <c r="C27" i="5"/>
  <c r="C25" i="5"/>
  <c r="C26" i="5"/>
  <c r="C19" i="4"/>
  <c r="C20" i="4"/>
  <c r="C18" i="4"/>
  <c r="C25" i="4" s="1"/>
  <c r="C23" i="4" l="1"/>
  <c r="C22" i="4"/>
  <c r="C26" i="4"/>
</calcChain>
</file>

<file path=xl/sharedStrings.xml><?xml version="1.0" encoding="utf-8"?>
<sst xmlns="http://schemas.openxmlformats.org/spreadsheetml/2006/main" count="174" uniqueCount="134">
  <si>
    <t>Class Marks (x)</t>
  </si>
  <si>
    <t>Frequency (f)</t>
  </si>
  <si>
    <t xml:space="preserve">Original Class </t>
  </si>
  <si>
    <t>53.5-57.5</t>
  </si>
  <si>
    <t>57.5-61.5</t>
  </si>
  <si>
    <t>61.5-65.5</t>
  </si>
  <si>
    <t>65.5-69.5</t>
  </si>
  <si>
    <t>69.5-73.5</t>
  </si>
  <si>
    <t>Angle (θ)</t>
  </si>
  <si>
    <t>Original Class</t>
  </si>
  <si>
    <t>log(x)</t>
  </si>
  <si>
    <t>f/x</t>
  </si>
  <si>
    <t>54-57</t>
  </si>
  <si>
    <t>58-61</t>
  </si>
  <si>
    <t>62-65</t>
  </si>
  <si>
    <t>66-69</t>
  </si>
  <si>
    <t>70-73</t>
  </si>
  <si>
    <t>SUM</t>
  </si>
  <si>
    <t>f*x</t>
  </si>
  <si>
    <t>f*x^2</t>
  </si>
  <si>
    <t>f*u</t>
  </si>
  <si>
    <t>f*u^2</t>
  </si>
  <si>
    <t>Sum</t>
  </si>
  <si>
    <t>&lt;0</t>
  </si>
  <si>
    <t>negatively skewed</t>
  </si>
  <si>
    <t>&lt;3</t>
  </si>
  <si>
    <t>platykurtic</t>
  </si>
  <si>
    <t>X</t>
  </si>
  <si>
    <t>Y</t>
  </si>
  <si>
    <t>X^2</t>
  </si>
  <si>
    <t>Y^2</t>
  </si>
  <si>
    <t>U^2</t>
  </si>
  <si>
    <t>V^2</t>
  </si>
  <si>
    <t>Serial</t>
  </si>
  <si>
    <t>X-rank</t>
  </si>
  <si>
    <t>Y-rank</t>
  </si>
  <si>
    <t>d^2</t>
  </si>
  <si>
    <t xml:space="preserve">Rank Correlation Coefficient = </t>
  </si>
  <si>
    <t>Direct</t>
  </si>
  <si>
    <t>Positively Correlated (Strong)</t>
  </si>
  <si>
    <t>Comment: Positively Correlated (Moderate)</t>
  </si>
  <si>
    <t>Code</t>
  </si>
  <si>
    <t>Regression line of y on x</t>
  </si>
  <si>
    <t>Regression line of x on y</t>
  </si>
  <si>
    <t>Class Interval (Class)</t>
  </si>
  <si>
    <t>Class Boundary (Original Class)</t>
  </si>
  <si>
    <t>Class Mark (Mid Value) (x)</t>
  </si>
  <si>
    <t>Cumulative Frequency (F)</t>
  </si>
  <si>
    <t>f*log(x)</t>
  </si>
  <si>
    <t>Class Mark (x)</t>
  </si>
  <si>
    <t>f*u^3</t>
  </si>
  <si>
    <t>f*u^4</t>
  </si>
  <si>
    <t>Arithmatic mean =</t>
  </si>
  <si>
    <t>Mode =</t>
  </si>
  <si>
    <t xml:space="preserve">Median = </t>
  </si>
  <si>
    <t>MD (Median) =</t>
  </si>
  <si>
    <t>Co-efficient of MD (AM) =</t>
  </si>
  <si>
    <t>Co-efficient of MD (Mode) =</t>
  </si>
  <si>
    <t>Co-efficient of MD (Median) =</t>
  </si>
  <si>
    <t>SD (Direct) =</t>
  </si>
  <si>
    <t>SD (Code) =</t>
  </si>
  <si>
    <t>a = 63.5, h = 4</t>
  </si>
  <si>
    <t>Co-efficient of SD =</t>
  </si>
  <si>
    <t>AM (Direct) =</t>
  </si>
  <si>
    <t>AM (Code) =</t>
  </si>
  <si>
    <t>GM =</t>
  </si>
  <si>
    <t>HM =</t>
  </si>
  <si>
    <t>L = 65.5</t>
  </si>
  <si>
    <t>del1 = 5</t>
  </si>
  <si>
    <t>Mode (Mo) =</t>
  </si>
  <si>
    <t>L = 57.5</t>
  </si>
  <si>
    <t>L = 61.5</t>
  </si>
  <si>
    <t>u = (x - 63.5)/4</t>
  </si>
  <si>
    <t>f*ABS(x - AM)</t>
  </si>
  <si>
    <t>f*ABS(x - Mode)</t>
  </si>
  <si>
    <t>f*ABS(x - Median)</t>
  </si>
  <si>
    <t>z = (x - AM)/SD</t>
  </si>
  <si>
    <t>u = (x - 65.5)/4</t>
  </si>
  <si>
    <t>m1 =</t>
  </si>
  <si>
    <t>m2 =</t>
  </si>
  <si>
    <t>m3 =</t>
  </si>
  <si>
    <t>m4 =</t>
  </si>
  <si>
    <t>M1 =</t>
  </si>
  <si>
    <t>M2 =</t>
  </si>
  <si>
    <t>M3 =</t>
  </si>
  <si>
    <t>M4 =</t>
  </si>
  <si>
    <t>corrected M2 =</t>
  </si>
  <si>
    <t>corrected M4 =</t>
  </si>
  <si>
    <t>U*V</t>
  </si>
  <si>
    <t>X*Y</t>
  </si>
  <si>
    <t>U = (X - 70)/10</t>
  </si>
  <si>
    <t>V = (Y - 65)/5</t>
  </si>
  <si>
    <t>a = 70, h = 10</t>
  </si>
  <si>
    <t>b = 65, k = 5</t>
  </si>
  <si>
    <t>d = X - Y</t>
  </si>
  <si>
    <t>Percentage</t>
  </si>
  <si>
    <t>gamma_3 =</t>
  </si>
  <si>
    <t>gamma_4 =</t>
  </si>
  <si>
    <t>N = 12</t>
  </si>
  <si>
    <t>N = 10</t>
  </si>
  <si>
    <t>Class Upper Boundary</t>
  </si>
  <si>
    <t>CF (F)</t>
  </si>
  <si>
    <t>Median(Me) =</t>
  </si>
  <si>
    <t>C = 4</t>
  </si>
  <si>
    <t xml:space="preserve">Quartile (Q3) = </t>
  </si>
  <si>
    <t xml:space="preserve">Decile (D2) = </t>
  </si>
  <si>
    <t>MD (AM) =</t>
  </si>
  <si>
    <t>MD (Mode) =</t>
  </si>
  <si>
    <t>A = 65.5</t>
  </si>
  <si>
    <t>h = 4</t>
  </si>
  <si>
    <t>Weight</t>
  </si>
  <si>
    <t>Height</t>
  </si>
  <si>
    <t>Y is more depending on X</t>
  </si>
  <si>
    <t>X is less depending on Y</t>
  </si>
  <si>
    <t>y = 0.14(X - 68) + 65.67</t>
  </si>
  <si>
    <t>y = 0.14 X  + 56.15</t>
  </si>
  <si>
    <t>x = 2.31(Y - 65.67) + 68</t>
  </si>
  <si>
    <t>x = 2.31 Y  - 83.70</t>
  </si>
  <si>
    <t>del2 = 8</t>
  </si>
  <si>
    <t>50/2 = 25</t>
  </si>
  <si>
    <t>F_(m - 1) = 15</t>
  </si>
  <si>
    <t>f_m = 11</t>
  </si>
  <si>
    <t>3*50/4 =  37.5</t>
  </si>
  <si>
    <t>F_(q - 1) = 26</t>
  </si>
  <si>
    <t>f_q = 16</t>
  </si>
  <si>
    <t>2*50/10 = 10</t>
  </si>
  <si>
    <t>F_(d - 1) = 6</t>
  </si>
  <si>
    <t>f_d = 9</t>
  </si>
  <si>
    <t>95*50/100 = 47.5</t>
  </si>
  <si>
    <t>L = 69.5</t>
  </si>
  <si>
    <t>F_(p - 1) = 42</t>
  </si>
  <si>
    <t>f_p = 8</t>
  </si>
  <si>
    <t xml:space="preserve">Percentile (P95) = </t>
  </si>
  <si>
    <t>N =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</si>
</sst>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002060"/>
      <name val="Times New Roman"/>
      <family val="1"/>
    </font>
    <font>
      <sz val="12"/>
      <color theme="3"/>
      <name val="Times New Roman"/>
      <family val="1"/>
    </font>
    <font>
      <sz val="12"/>
      <color theme="4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top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A7EBB"/>
      <rgbColor rgb="FF4BACC6"/>
      <rgbColor rgb="FF9BBB59"/>
      <rgbColor rgb="FFFFCC00"/>
      <rgbColor rgb="FFFF9900"/>
      <rgbColor rgb="FFFF6600"/>
      <rgbColor rgb="FF8064A2"/>
      <rgbColor rgb="FF969696"/>
      <rgbColor rgb="FF003366"/>
      <rgbColor rgb="FF4F81BD"/>
      <rgbColor rgb="FF003300"/>
      <rgbColor rgb="FF333300"/>
      <rgbColor rgb="FF993300"/>
      <rgbColor rgb="FF993366"/>
      <rgbColor rgb="FF333399"/>
      <rgbColor rgb="FF59595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'Graphical Representation'!$B$3:$B$7</c:f>
              <c:numCache>
                <c:formatCode>General</c:formatCode>
                <c:ptCount val="5"/>
                <c:pt idx="0">
                  <c:v>55.5</c:v>
                </c:pt>
                <c:pt idx="1">
                  <c:v>59.5</c:v>
                </c:pt>
                <c:pt idx="2">
                  <c:v>63.5</c:v>
                </c:pt>
                <c:pt idx="3">
                  <c:v>67.5</c:v>
                </c:pt>
                <c:pt idx="4">
                  <c:v>71.5</c:v>
                </c:pt>
              </c:numCache>
            </c:numRef>
          </c:cat>
          <c:val>
            <c:numRef>
              <c:f>'Graphical Representation'!$C$3:$C$7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16</c:v>
                </c:pt>
                <c:pt idx="4">
                  <c:v>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D1F-4FAA-80DD-A09E82C2CE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3513600"/>
        <c:axId val="113515520"/>
      </c:lineChart>
      <c:catAx>
        <c:axId val="113513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mark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5520"/>
        <c:crosses val="autoZero"/>
        <c:auto val="1"/>
        <c:lblAlgn val="ctr"/>
        <c:lblOffset val="100"/>
        <c:noMultiLvlLbl val="0"/>
      </c:catAx>
      <c:valAx>
        <c:axId val="1135155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3600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'Graphical Representation'!$I$3:$I$7</c:f>
              <c:numCache>
                <c:formatCode>General</c:formatCode>
                <c:ptCount val="5"/>
                <c:pt idx="0">
                  <c:v>57.5</c:v>
                </c:pt>
                <c:pt idx="1">
                  <c:v>61.5</c:v>
                </c:pt>
                <c:pt idx="2">
                  <c:v>65.5</c:v>
                </c:pt>
                <c:pt idx="3">
                  <c:v>69.5</c:v>
                </c:pt>
                <c:pt idx="4">
                  <c:v>73.5</c:v>
                </c:pt>
              </c:numCache>
            </c:numRef>
          </c:cat>
          <c:val>
            <c:numRef>
              <c:f>'Graphical Representation'!$J$3:$J$7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26</c:v>
                </c:pt>
                <c:pt idx="3">
                  <c:v>42</c:v>
                </c:pt>
                <c:pt idx="4">
                  <c:v>50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02F-46A1-99BF-5902245FF9F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113557504"/>
        <c:axId val="113559424"/>
      </c:lineChart>
      <c:catAx>
        <c:axId val="113557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upper boundary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59424"/>
        <c:crosses val="autoZero"/>
        <c:auto val="1"/>
        <c:lblAlgn val="ctr"/>
        <c:lblOffset val="100"/>
        <c:noMultiLvlLbl val="0"/>
      </c:catAx>
      <c:valAx>
        <c:axId val="1135594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57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'Graphical Representation'!$B$29</c:f>
              <c:strCache>
                <c:ptCount val="1"/>
                <c:pt idx="0">
                  <c:v>53.5-57.5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'Graphical Representation'!$C$29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B1D-4986-890F-DA2CEFE11ECB}"/>
            </c:ext>
          </c:extLst>
        </c:ser>
        <c:ser>
          <c:idx val="1"/>
          <c:order val="1"/>
          <c:tx>
            <c:strRef>
              <c:f>'Graphical Representation'!$B$30</c:f>
              <c:strCache>
                <c:ptCount val="1"/>
                <c:pt idx="0">
                  <c:v>57.5-61.5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'Graphical Representation'!$C$30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B1D-4986-890F-DA2CEFE11ECB}"/>
            </c:ext>
          </c:extLst>
        </c:ser>
        <c:ser>
          <c:idx val="2"/>
          <c:order val="2"/>
          <c:tx>
            <c:strRef>
              <c:f>'Graphical Representation'!$B$31</c:f>
              <c:strCache>
                <c:ptCount val="1"/>
                <c:pt idx="0">
                  <c:v>61.5-65.5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accent3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3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'Graphical Representation'!$C$31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B1D-4986-890F-DA2CEFE11ECB}"/>
            </c:ext>
          </c:extLst>
        </c:ser>
        <c:ser>
          <c:idx val="3"/>
          <c:order val="3"/>
          <c:tx>
            <c:strRef>
              <c:f>'Graphical Representation'!$B$32</c:f>
              <c:strCache>
                <c:ptCount val="1"/>
                <c:pt idx="0">
                  <c:v>65.5-69.5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'Graphical Representation'!$C$32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B1D-4986-890F-DA2CEFE11ECB}"/>
            </c:ext>
          </c:extLst>
        </c:ser>
        <c:ser>
          <c:idx val="4"/>
          <c:order val="4"/>
          <c:tx>
            <c:strRef>
              <c:f>'Graphical Representation'!$B$33</c:f>
              <c:strCache>
                <c:ptCount val="1"/>
                <c:pt idx="0">
                  <c:v>69.5-73.5</c:v>
                </c:pt>
              </c:strCache>
            </c:strRef>
          </c:tx>
          <c:spPr>
            <a:solidFill>
              <a:schemeClr val="accent5">
                <a:alpha val="85000"/>
              </a:schemeClr>
            </a:solidFill>
            <a:ln w="9525" cap="flat" cmpd="sng" algn="ctr">
              <a:solidFill>
                <a:schemeClr val="accent5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5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'Graphical Representation'!$C$33</c:f>
              <c:numCache>
                <c:formatCode>General</c:formatCode>
                <c:ptCount val="1"/>
                <c:pt idx="0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1B1D-4986-890F-DA2CEFE11EC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13767552"/>
        <c:axId val="113769472"/>
        <c:axId val="0"/>
      </c:bar3DChart>
      <c:catAx>
        <c:axId val="113767552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Class boundary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crossAx val="113769472"/>
        <c:crosses val="autoZero"/>
        <c:auto val="1"/>
        <c:lblAlgn val="ctr"/>
        <c:lblOffset val="100"/>
        <c:noMultiLvlLbl val="0"/>
      </c:catAx>
      <c:valAx>
        <c:axId val="1137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6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'Graphical Representation'!$I$29:$I$33</c:f>
              <c:strCache>
                <c:ptCount val="5"/>
                <c:pt idx="0">
                  <c:v>53.5-57.5</c:v>
                </c:pt>
                <c:pt idx="1">
                  <c:v>57.5-61.5</c:v>
                </c:pt>
                <c:pt idx="2">
                  <c:v>61.5-65.5</c:v>
                </c:pt>
                <c:pt idx="3">
                  <c:v>65.5-69.5</c:v>
                </c:pt>
                <c:pt idx="4">
                  <c:v>69.5-73.5</c:v>
                </c:pt>
              </c:strCache>
            </c:strRef>
          </c:cat>
          <c:val>
            <c:numRef>
              <c:f>'Graphical Representation'!$L$29:$L$33</c:f>
              <c:numCache>
                <c:formatCode>General</c:formatCode>
                <c:ptCount val="5"/>
                <c:pt idx="0">
                  <c:v>43.199999999999996</c:v>
                </c:pt>
                <c:pt idx="1">
                  <c:v>64.8</c:v>
                </c:pt>
                <c:pt idx="2">
                  <c:v>79.2</c:v>
                </c:pt>
                <c:pt idx="3">
                  <c:v>115.2</c:v>
                </c:pt>
                <c:pt idx="4">
                  <c:v>57.6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85A-419B-8850-A44B30881F0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  <c:spPr>
        <a:noFill/>
      </c:spPr>
    </c:plotArea>
    <c:plotVisOnly val="1"/>
    <c:dispBlanksAs val="gap"/>
    <c:showDLblsOverMax val="0"/>
  </c:chart>
  <c:spPr>
    <a:solidFill>
      <a:schemeClr val="bg2"/>
    </a:solidFill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Regression line of Y on 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Regression'!$L$26:$L$27</c:f>
              <c:numCache>
                <c:formatCode>General</c:formatCode>
                <c:ptCount val="2"/>
                <c:pt idx="0">
                  <c:v>70</c:v>
                </c:pt>
                <c:pt idx="1">
                  <c:v>80</c:v>
                </c:pt>
              </c:numCache>
            </c:numRef>
          </c:xVal>
          <c:yVal>
            <c:numRef>
              <c:f>'Correlation &amp; Regression'!$M$26:$M$27</c:f>
              <c:numCache>
                <c:formatCode>General</c:formatCode>
                <c:ptCount val="2"/>
                <c:pt idx="0">
                  <c:v>65.95</c:v>
                </c:pt>
                <c:pt idx="1">
                  <c:v>67.349999999999994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9D7-46E4-BA21-2E0016A44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6992"/>
        <c:axId val="114286976"/>
      </c:scatterChart>
      <c:valAx>
        <c:axId val="114276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286976"/>
        <c:crosses val="autoZero"/>
        <c:crossBetween val="midCat"/>
      </c:valAx>
      <c:valAx>
        <c:axId val="1142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276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Regression line of X on Y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'Correlation &amp; Regression'!$L$35:$L$36</c:f>
              <c:numCache>
                <c:formatCode>General</c:formatCode>
                <c:ptCount val="2"/>
                <c:pt idx="0">
                  <c:v>54.899999999999991</c:v>
                </c:pt>
                <c:pt idx="1">
                  <c:v>66.45</c:v>
                </c:pt>
              </c:numCache>
            </c:numRef>
          </c:xVal>
          <c:yVal>
            <c:numRef>
              <c:f>'Correlation &amp; Regression'!$M$35:$M$36</c:f>
              <c:numCache>
                <c:formatCode>General</c:formatCode>
                <c:ptCount val="2"/>
                <c:pt idx="0">
                  <c:v>60</c:v>
                </c:pt>
                <c:pt idx="1">
                  <c:v>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BDD-4062-A42A-B9B6BDBFC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603136"/>
        <c:axId val="114604672"/>
      </c:scatterChart>
      <c:valAx>
        <c:axId val="114603136"/>
        <c:scaling>
          <c:orientation val="minMax"/>
          <c:max val="68"/>
          <c:min val="5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04672"/>
        <c:crosses val="autoZero"/>
        <c:crossBetween val="midCat"/>
      </c:valAx>
      <c:valAx>
        <c:axId val="11460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1460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7</xdr:col>
      <xdr:colOff>323022</xdr:colOff>
      <xdr:row>22</xdr:row>
      <xdr:rowOff>76200</xdr:rowOff>
    </xdr:to>
    <xdr:graphicFrame macro="">
      <xdr:nvGraphicFramePr>
        <xdr:cNvPr id="12" name="Chart 11" title="Frequency Polygon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8</xdr:row>
      <xdr:rowOff>0</xdr:rowOff>
    </xdr:from>
    <xdr:to>
      <xdr:col>14</xdr:col>
      <xdr:colOff>435628</xdr:colOff>
      <xdr:row>22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942974</xdr:colOff>
      <xdr:row>34</xdr:row>
      <xdr:rowOff>0</xdr:rowOff>
    </xdr:from>
    <xdr:to>
      <xdr:col>7</xdr:col>
      <xdr:colOff>9524</xdr:colOff>
      <xdr:row>47</xdr:row>
      <xdr:rowOff>190500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742950</xdr:colOff>
      <xdr:row>34</xdr:row>
      <xdr:rowOff>7844</xdr:rowOff>
    </xdr:from>
    <xdr:to>
      <xdr:col>14</xdr:col>
      <xdr:colOff>0</xdr:colOff>
      <xdr:row>47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171450</xdr:colOff>
      <xdr:row>7</xdr:row>
      <xdr:rowOff>90487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 txBox="1"/>
      </xdr:nvSpPr>
      <xdr:spPr>
        <a:xfrm>
          <a:off x="5943600" y="18716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586408</xdr:colOff>
      <xdr:row>10</xdr:row>
      <xdr:rowOff>6626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SpPr txBox="1"/>
      </xdr:nvSpPr>
      <xdr:spPr>
        <a:xfrm>
          <a:off x="4967908" y="1977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485775</xdr:colOff>
      <xdr:row>27</xdr:row>
      <xdr:rowOff>195262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xmlns="" id="{00000000-0008-0000-0400-000002000000}"/>
            </a:ext>
          </a:extLst>
        </xdr:cNvPr>
        <xdr:cNvSpPr txBox="1"/>
      </xdr:nvSpPr>
      <xdr:spPr>
        <a:xfrm>
          <a:off x="485775" y="556736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266700</xdr:colOff>
      <xdr:row>28</xdr:row>
      <xdr:rowOff>33337</xdr:rowOff>
    </xdr:from>
    <xdr:ext cx="255839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xmlns="" id="{00000000-0008-0000-0400-000003000000}"/>
                </a:ext>
              </a:extLst>
            </xdr:cNvPr>
            <xdr:cNvSpPr txBox="1"/>
          </xdr:nvSpPr>
          <xdr:spPr>
            <a:xfrm>
              <a:off x="876300" y="5605462"/>
              <a:ext cx="255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876300" y="5605462"/>
              <a:ext cx="2558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276225</xdr:colOff>
      <xdr:row>29</xdr:row>
      <xdr:rowOff>0</xdr:rowOff>
    </xdr:from>
    <xdr:ext cx="25782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xmlns="" id="{00000000-0008-0000-0400-000005000000}"/>
                </a:ext>
              </a:extLst>
            </xdr:cNvPr>
            <xdr:cNvSpPr txBox="1"/>
          </xdr:nvSpPr>
          <xdr:spPr>
            <a:xfrm>
              <a:off x="885825" y="5772150"/>
              <a:ext cx="257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𝑦</m:t>
                        </m:r>
                      </m:e>
                    </m:acc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885825" y="5772150"/>
              <a:ext cx="2578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𝑦 ̅=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200025</xdr:colOff>
      <xdr:row>24</xdr:row>
      <xdr:rowOff>23812</xdr:rowOff>
    </xdr:from>
    <xdr:ext cx="3740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xmlns="" id="{00000000-0008-0000-0400-000006000000}"/>
                </a:ext>
              </a:extLst>
            </xdr:cNvPr>
            <xdr:cNvSpPr txBox="1"/>
          </xdr:nvSpPr>
          <xdr:spPr>
            <a:xfrm>
              <a:off x="809625" y="4795837"/>
              <a:ext cx="374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    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𝑟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809625" y="4795837"/>
              <a:ext cx="374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     </a:t>
              </a:r>
              <a:r>
                <a:rPr lang="en-US" sz="1100" b="0" i="0">
                  <a:latin typeface="Cambria Math" panose="02040503050406030204" pitchFamily="18" charset="0"/>
                </a:rPr>
                <a:t>𝑟=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161925</xdr:colOff>
      <xdr:row>25</xdr:row>
      <xdr:rowOff>4762</xdr:rowOff>
    </xdr:from>
    <xdr:ext cx="429733" cy="2121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00000000-0008-0000-0400-000007000000}"/>
                </a:ext>
              </a:extLst>
            </xdr:cNvPr>
            <xdr:cNvSpPr txBox="1"/>
          </xdr:nvSpPr>
          <xdr:spPr>
            <a:xfrm>
              <a:off x="771525" y="4976812"/>
              <a:ext cx="429733" cy="212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771525" y="4976812"/>
              <a:ext cx="429733" cy="212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𝑏_(𝑦⁄𝑥)=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161925</xdr:colOff>
      <xdr:row>26</xdr:row>
      <xdr:rowOff>0</xdr:rowOff>
    </xdr:from>
    <xdr:ext cx="429733" cy="2121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00000000-0008-0000-0400-000008000000}"/>
                </a:ext>
              </a:extLst>
            </xdr:cNvPr>
            <xdr:cNvSpPr txBox="1"/>
          </xdr:nvSpPr>
          <xdr:spPr>
            <a:xfrm>
              <a:off x="771525" y="5172075"/>
              <a:ext cx="429733" cy="212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den>
                        </m:f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771525" y="5172075"/>
              <a:ext cx="429733" cy="212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𝑏_(𝑥⁄𝑦)=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171450</xdr:colOff>
      <xdr:row>20</xdr:row>
      <xdr:rowOff>0</xdr:rowOff>
    </xdr:from>
    <xdr:ext cx="3740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xmlns="" id="{00000000-0008-0000-0400-000009000000}"/>
                </a:ext>
              </a:extLst>
            </xdr:cNvPr>
            <xdr:cNvSpPr txBox="1"/>
          </xdr:nvSpPr>
          <xdr:spPr>
            <a:xfrm>
              <a:off x="781050" y="3971925"/>
              <a:ext cx="374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    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𝑟</m:t>
                  </m:r>
                  <m:r>
                    <a:rPr lang="en-US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endParaRPr lang="en-US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781050" y="3971925"/>
              <a:ext cx="3740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/>
                <a:t>     </a:t>
              </a:r>
              <a:r>
                <a:rPr lang="en-US" sz="1100" b="0" i="0">
                  <a:latin typeface="Cambria Math" panose="02040503050406030204" pitchFamily="18" charset="0"/>
                </a:rPr>
                <a:t>𝑟=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142875</xdr:colOff>
      <xdr:row>21</xdr:row>
      <xdr:rowOff>0</xdr:rowOff>
    </xdr:from>
    <xdr:ext cx="429733" cy="2121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xmlns="" id="{00000000-0008-0000-0400-00000A000000}"/>
                </a:ext>
              </a:extLst>
            </xdr:cNvPr>
            <xdr:cNvSpPr txBox="1"/>
          </xdr:nvSpPr>
          <xdr:spPr>
            <a:xfrm>
              <a:off x="752475" y="4171950"/>
              <a:ext cx="429733" cy="212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den>
                        </m:f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752475" y="4171950"/>
              <a:ext cx="429733" cy="212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𝑏_(𝑦⁄𝑥)=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1</xdr:col>
      <xdr:colOff>152400</xdr:colOff>
      <xdr:row>22</xdr:row>
      <xdr:rowOff>0</xdr:rowOff>
    </xdr:from>
    <xdr:ext cx="429733" cy="21210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xmlns="" id="{00000000-0008-0000-0400-00000B000000}"/>
                </a:ext>
              </a:extLst>
            </xdr:cNvPr>
            <xdr:cNvSpPr txBox="1"/>
          </xdr:nvSpPr>
          <xdr:spPr>
            <a:xfrm>
              <a:off x="762000" y="4371975"/>
              <a:ext cx="429733" cy="212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  <m:sub>
                        <m:f>
                          <m:fPr>
                            <m:type m:val="skw"/>
                            <m:ctrlPr>
                              <a:rPr lang="en-US" sz="1100" i="1">
                                <a:latin typeface="Cambria Math"/>
                              </a:rPr>
                            </m:ctrlPr>
                          </m:fPr>
                          <m:num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num>
                          <m:den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𝑦</m:t>
                            </m:r>
                          </m:den>
                        </m:f>
                      </m:sub>
                    </m:sSub>
                    <m:r>
                      <a:rPr lang="en-US" sz="1100" b="0" i="0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n-US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762000" y="4371975"/>
              <a:ext cx="429733" cy="21210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𝑏_(𝑥⁄𝑦)=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608134</xdr:colOff>
      <xdr:row>24</xdr:row>
      <xdr:rowOff>3313</xdr:rowOff>
    </xdr:from>
    <xdr:to>
      <xdr:col>10</xdr:col>
      <xdr:colOff>0</xdr:colOff>
      <xdr:row>32</xdr:row>
      <xdr:rowOff>8282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xmlns="" id="{00000000-0008-0000-04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375047</xdr:colOff>
      <xdr:row>27</xdr:row>
      <xdr:rowOff>124558</xdr:rowOff>
    </xdr:from>
    <xdr:to>
      <xdr:col>7</xdr:col>
      <xdr:colOff>375047</xdr:colOff>
      <xdr:row>30</xdr:row>
      <xdr:rowOff>102577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xmlns="" id="{00000000-0008-0000-0400-00002C000000}"/>
            </a:ext>
          </a:extLst>
        </xdr:cNvPr>
        <xdr:cNvCxnSpPr/>
      </xdr:nvCxnSpPr>
      <xdr:spPr>
        <a:xfrm flipV="1">
          <a:off x="4970860" y="5553808"/>
          <a:ext cx="0" cy="58523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600808</xdr:colOff>
      <xdr:row>32</xdr:row>
      <xdr:rowOff>190500</xdr:rowOff>
    </xdr:from>
    <xdr:to>
      <xdr:col>9</xdr:col>
      <xdr:colOff>591965</xdr:colOff>
      <xdr:row>41</xdr:row>
      <xdr:rowOff>0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xmlns="" id="{00000000-0008-0000-0400-00003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293077</xdr:colOff>
      <xdr:row>37</xdr:row>
      <xdr:rowOff>49091</xdr:rowOff>
    </xdr:from>
    <xdr:to>
      <xdr:col>6</xdr:col>
      <xdr:colOff>652096</xdr:colOff>
      <xdr:row>37</xdr:row>
      <xdr:rowOff>49091</xdr:rowOff>
    </xdr:to>
    <xdr:cxnSp macro="">
      <xdr:nvCxnSpPr>
        <xdr:cNvPr id="53" name="Straight Arrow Connector 52">
          <a:extLst>
            <a:ext uri="{FF2B5EF4-FFF2-40B4-BE49-F238E27FC236}">
              <a16:creationId xmlns:a16="http://schemas.microsoft.com/office/drawing/2014/main" xmlns="" id="{00000000-0008-0000-0400-000035000000}"/>
            </a:ext>
          </a:extLst>
        </xdr:cNvPr>
        <xdr:cNvCxnSpPr/>
      </xdr:nvCxnSpPr>
      <xdr:spPr>
        <a:xfrm>
          <a:off x="2731477" y="7421441"/>
          <a:ext cx="157821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637728</xdr:colOff>
      <xdr:row>37</xdr:row>
      <xdr:rowOff>51289</xdr:rowOff>
    </xdr:from>
    <xdr:to>
      <xdr:col>6</xdr:col>
      <xdr:colOff>637728</xdr:colOff>
      <xdr:row>39</xdr:row>
      <xdr:rowOff>87923</xdr:rowOff>
    </xdr:to>
    <xdr:cxnSp macro="">
      <xdr:nvCxnSpPr>
        <xdr:cNvPr id="56" name="Straight Arrow Connector 55">
          <a:extLst>
            <a:ext uri="{FF2B5EF4-FFF2-40B4-BE49-F238E27FC236}">
              <a16:creationId xmlns:a16="http://schemas.microsoft.com/office/drawing/2014/main" xmlns="" id="{00000000-0008-0000-0400-000038000000}"/>
            </a:ext>
          </a:extLst>
        </xdr:cNvPr>
        <xdr:cNvCxnSpPr/>
      </xdr:nvCxnSpPr>
      <xdr:spPr>
        <a:xfrm>
          <a:off x="4295328" y="7423639"/>
          <a:ext cx="0" cy="43668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394138</xdr:colOff>
      <xdr:row>27</xdr:row>
      <xdr:rowOff>124811</xdr:rowOff>
    </xdr:from>
    <xdr:to>
      <xdr:col>7</xdr:col>
      <xdr:colOff>381000</xdr:colOff>
      <xdr:row>27</xdr:row>
      <xdr:rowOff>131379</xdr:rowOff>
    </xdr:to>
    <xdr:cxnSp macro="">
      <xdr:nvCxnSpPr>
        <xdr:cNvPr id="64" name="Straight Arrow Connector 63">
          <a:extLst>
            <a:ext uri="{FF2B5EF4-FFF2-40B4-BE49-F238E27FC236}">
              <a16:creationId xmlns:a16="http://schemas.microsoft.com/office/drawing/2014/main" xmlns="" id="{00000000-0008-0000-0400-000040000000}"/>
            </a:ext>
          </a:extLst>
        </xdr:cNvPr>
        <xdr:cNvCxnSpPr/>
      </xdr:nvCxnSpPr>
      <xdr:spPr>
        <a:xfrm flipH="1">
          <a:off x="2837793" y="5425966"/>
          <a:ext cx="2161190" cy="656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K33"/>
  <sheetViews>
    <sheetView tabSelected="1" topLeftCell="B22" zoomScale="130" zoomScaleNormal="130" workbookViewId="0">
      <selection activeCell="H26" sqref="H26"/>
    </sheetView>
  </sheetViews>
  <sheetFormatPr defaultRowHeight="15.75" x14ac:dyDescent="0.25"/>
  <cols>
    <col min="1" max="1" width="14.140625" style="6" customWidth="1"/>
    <col min="2" max="2" width="13.5703125" style="6" customWidth="1"/>
    <col min="3" max="3" width="12.7109375" style="6" customWidth="1"/>
    <col min="4" max="7" width="9.140625" style="6" customWidth="1"/>
    <col min="8" max="8" width="11.28515625" style="6" customWidth="1"/>
    <col min="9" max="9" width="11" style="6" customWidth="1"/>
    <col min="10" max="10" width="10.85546875" style="6" customWidth="1"/>
    <col min="11" max="11" width="11.42578125" style="6" customWidth="1"/>
    <col min="12" max="13" width="9.140625" style="6" customWidth="1"/>
    <col min="14" max="14" width="13.5703125" style="6" customWidth="1"/>
    <col min="15" max="15" width="12.42578125" style="6" customWidth="1"/>
    <col min="16" max="1025" width="9.140625" style="6" customWidth="1"/>
    <col min="1026" max="16384" width="9.140625" style="3"/>
  </cols>
  <sheetData>
    <row r="2" spans="2:10" ht="47.25" x14ac:dyDescent="0.25">
      <c r="B2" s="5" t="s">
        <v>0</v>
      </c>
      <c r="C2" s="5" t="s">
        <v>1</v>
      </c>
      <c r="D2" s="4"/>
      <c r="E2" s="4"/>
      <c r="F2" s="4"/>
      <c r="G2" s="4"/>
      <c r="H2" s="4"/>
      <c r="I2" s="5" t="s">
        <v>100</v>
      </c>
      <c r="J2" s="5" t="s">
        <v>101</v>
      </c>
    </row>
    <row r="3" spans="2:10" x14ac:dyDescent="0.25">
      <c r="B3" s="13">
        <v>55.5</v>
      </c>
      <c r="C3" s="13">
        <v>6</v>
      </c>
      <c r="D3" s="13"/>
      <c r="E3" s="13"/>
      <c r="F3" s="13"/>
      <c r="G3" s="13"/>
      <c r="H3" s="13"/>
      <c r="I3" s="13">
        <v>57.5</v>
      </c>
      <c r="J3" s="13">
        <f>C3</f>
        <v>6</v>
      </c>
    </row>
    <row r="4" spans="2:10" x14ac:dyDescent="0.25">
      <c r="B4" s="13">
        <v>59.5</v>
      </c>
      <c r="C4" s="13">
        <v>9</v>
      </c>
      <c r="D4" s="13"/>
      <c r="E4" s="13"/>
      <c r="F4" s="13"/>
      <c r="G4" s="13"/>
      <c r="H4" s="13"/>
      <c r="I4" s="13">
        <v>61.5</v>
      </c>
      <c r="J4" s="13">
        <f>J3+C4</f>
        <v>15</v>
      </c>
    </row>
    <row r="5" spans="2:10" x14ac:dyDescent="0.25">
      <c r="B5" s="13">
        <v>63.5</v>
      </c>
      <c r="C5" s="13">
        <v>11</v>
      </c>
      <c r="D5" s="13"/>
      <c r="E5" s="13"/>
      <c r="F5" s="13"/>
      <c r="G5" s="13"/>
      <c r="H5" s="13"/>
      <c r="I5" s="13">
        <v>65.5</v>
      </c>
      <c r="J5" s="13">
        <f>J4+C5</f>
        <v>26</v>
      </c>
    </row>
    <row r="6" spans="2:10" x14ac:dyDescent="0.25">
      <c r="B6" s="13">
        <v>67.5</v>
      </c>
      <c r="C6" s="13">
        <v>16</v>
      </c>
      <c r="D6" s="13"/>
      <c r="E6" s="13"/>
      <c r="F6" s="13"/>
      <c r="G6" s="13"/>
      <c r="H6" s="13"/>
      <c r="I6" s="13">
        <v>69.5</v>
      </c>
      <c r="J6" s="13">
        <f>J5+C6</f>
        <v>42</v>
      </c>
    </row>
    <row r="7" spans="2:10" x14ac:dyDescent="0.25">
      <c r="B7" s="13">
        <v>71.5</v>
      </c>
      <c r="C7" s="13">
        <v>8</v>
      </c>
      <c r="D7" s="13"/>
      <c r="E7" s="13"/>
      <c r="F7" s="13"/>
      <c r="G7" s="13"/>
      <c r="H7" s="13"/>
      <c r="I7" s="13">
        <v>73.5</v>
      </c>
      <c r="J7" s="13">
        <f>J6+C7</f>
        <v>50</v>
      </c>
    </row>
    <row r="28" spans="2:12" ht="31.5" x14ac:dyDescent="0.25">
      <c r="B28" s="5" t="s">
        <v>2</v>
      </c>
      <c r="C28" s="5" t="s">
        <v>1</v>
      </c>
      <c r="D28" s="4"/>
      <c r="E28" s="4"/>
      <c r="F28" s="4"/>
      <c r="G28" s="4"/>
      <c r="H28" s="4"/>
      <c r="I28" s="5" t="s">
        <v>2</v>
      </c>
      <c r="J28" s="5" t="s">
        <v>1</v>
      </c>
      <c r="K28" s="6" t="s">
        <v>95</v>
      </c>
      <c r="L28" s="5" t="s">
        <v>8</v>
      </c>
    </row>
    <row r="29" spans="2:12" x14ac:dyDescent="0.25">
      <c r="B29" s="6" t="s">
        <v>3</v>
      </c>
      <c r="C29" s="13">
        <v>6</v>
      </c>
      <c r="H29" s="13"/>
      <c r="I29" s="13" t="s">
        <v>3</v>
      </c>
      <c r="J29" s="13">
        <v>6</v>
      </c>
      <c r="K29" s="27">
        <f>J29/50</f>
        <v>0.12</v>
      </c>
      <c r="L29" s="13">
        <f>(J29/50)*360</f>
        <v>43.199999999999996</v>
      </c>
    </row>
    <row r="30" spans="2:12" x14ac:dyDescent="0.25">
      <c r="B30" s="13" t="s">
        <v>4</v>
      </c>
      <c r="C30" s="13">
        <v>9</v>
      </c>
      <c r="H30" s="13"/>
      <c r="I30" s="13" t="s">
        <v>4</v>
      </c>
      <c r="J30" s="13">
        <v>9</v>
      </c>
      <c r="K30" s="27">
        <f t="shared" ref="K30:K33" si="0">J30/50</f>
        <v>0.18</v>
      </c>
      <c r="L30" s="13">
        <f t="shared" ref="L30:L33" si="1">(J30/50)*360</f>
        <v>64.8</v>
      </c>
    </row>
    <row r="31" spans="2:12" x14ac:dyDescent="0.25">
      <c r="B31" s="6" t="s">
        <v>5</v>
      </c>
      <c r="C31" s="13">
        <v>11</v>
      </c>
      <c r="H31" s="13" t="s">
        <v>133</v>
      </c>
      <c r="I31" s="13" t="s">
        <v>5</v>
      </c>
      <c r="J31" s="13">
        <v>11</v>
      </c>
      <c r="K31" s="27">
        <f t="shared" si="0"/>
        <v>0.22</v>
      </c>
      <c r="L31" s="13">
        <f t="shared" si="1"/>
        <v>79.2</v>
      </c>
    </row>
    <row r="32" spans="2:12" x14ac:dyDescent="0.25">
      <c r="B32" s="6" t="s">
        <v>6</v>
      </c>
      <c r="C32" s="13">
        <v>16</v>
      </c>
      <c r="H32" s="13"/>
      <c r="I32" s="13" t="s">
        <v>6</v>
      </c>
      <c r="J32" s="13">
        <v>16</v>
      </c>
      <c r="K32" s="27">
        <f t="shared" si="0"/>
        <v>0.32</v>
      </c>
      <c r="L32" s="13">
        <f t="shared" si="1"/>
        <v>115.2</v>
      </c>
    </row>
    <row r="33" spans="2:12" x14ac:dyDescent="0.25">
      <c r="B33" s="6" t="s">
        <v>7</v>
      </c>
      <c r="C33" s="13">
        <v>8</v>
      </c>
      <c r="H33" s="13"/>
      <c r="I33" s="13" t="s">
        <v>7</v>
      </c>
      <c r="J33" s="13">
        <v>8</v>
      </c>
      <c r="K33" s="27">
        <f t="shared" si="0"/>
        <v>0.16</v>
      </c>
      <c r="L33" s="13">
        <f t="shared" si="1"/>
        <v>57.6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M29"/>
  <sheetViews>
    <sheetView topLeftCell="B1" zoomScaleNormal="100" workbookViewId="0">
      <selection activeCell="D4" sqref="D4:D8"/>
    </sheetView>
  </sheetViews>
  <sheetFormatPr defaultRowHeight="15" x14ac:dyDescent="0.25"/>
  <cols>
    <col min="1" max="1" width="12.7109375" style="1" customWidth="1"/>
    <col min="2" max="2" width="7" style="1" customWidth="1"/>
    <col min="3" max="3" width="15" style="1" customWidth="1"/>
    <col min="4" max="4" width="16.28515625" style="1" customWidth="1"/>
    <col min="5" max="5" width="14.7109375" style="1" customWidth="1"/>
    <col min="6" max="6" width="11" style="1" customWidth="1"/>
    <col min="7" max="7" width="11.85546875" style="1" customWidth="1"/>
    <col min="8" max="8" width="14.140625" style="1" customWidth="1"/>
    <col min="9" max="9" width="14.7109375" style="1" customWidth="1"/>
    <col min="10" max="11" width="9.140625" style="1" customWidth="1"/>
    <col min="12" max="12" width="13.85546875" style="1" customWidth="1"/>
    <col min="13" max="13" width="17.7109375" style="1" customWidth="1"/>
    <col min="14" max="1027" width="9.140625" style="1" customWidth="1"/>
  </cols>
  <sheetData>
    <row r="3" spans="1:14" ht="47.25" x14ac:dyDescent="0.25">
      <c r="A3" s="9"/>
      <c r="B3" s="9"/>
      <c r="C3" s="28" t="s">
        <v>44</v>
      </c>
      <c r="D3" s="19" t="s">
        <v>45</v>
      </c>
      <c r="E3" s="20" t="s">
        <v>46</v>
      </c>
      <c r="F3" s="17" t="s">
        <v>1</v>
      </c>
      <c r="G3" s="22" t="s">
        <v>47</v>
      </c>
      <c r="H3" s="4" t="s">
        <v>18</v>
      </c>
      <c r="I3" s="4" t="s">
        <v>72</v>
      </c>
      <c r="J3" s="4" t="s">
        <v>20</v>
      </c>
      <c r="K3" s="4" t="s">
        <v>10</v>
      </c>
      <c r="L3" s="4" t="s">
        <v>48</v>
      </c>
      <c r="M3" s="4" t="s">
        <v>11</v>
      </c>
    </row>
    <row r="4" spans="1:14" ht="15.75" x14ac:dyDescent="0.25">
      <c r="A4" s="6"/>
      <c r="B4" s="6"/>
      <c r="C4" s="13" t="s">
        <v>12</v>
      </c>
      <c r="D4" s="18" t="s">
        <v>3</v>
      </c>
      <c r="E4" s="18">
        <v>55.5</v>
      </c>
      <c r="F4" s="8">
        <v>6</v>
      </c>
      <c r="G4" s="21">
        <f>F4</f>
        <v>6</v>
      </c>
      <c r="H4" s="6">
        <f>F4*E4</f>
        <v>333</v>
      </c>
      <c r="I4" s="6">
        <f>(E4-63.5)/4</f>
        <v>-2</v>
      </c>
      <c r="J4" s="6">
        <f>F4*I4</f>
        <v>-12</v>
      </c>
      <c r="K4" s="6">
        <f>LOG10(E4)</f>
        <v>1.7442929831226763</v>
      </c>
      <c r="L4" s="6">
        <f>F4*K4</f>
        <v>10.465757898736058</v>
      </c>
      <c r="M4" s="6">
        <f>F4/E4</f>
        <v>0.10810810810810811</v>
      </c>
    </row>
    <row r="5" spans="1:14" ht="15.75" x14ac:dyDescent="0.25">
      <c r="A5" s="6"/>
      <c r="B5" s="6"/>
      <c r="C5" s="13" t="s">
        <v>13</v>
      </c>
      <c r="D5" s="18" t="s">
        <v>4</v>
      </c>
      <c r="E5" s="18">
        <v>59.5</v>
      </c>
      <c r="F5" s="8">
        <v>9</v>
      </c>
      <c r="G5" s="21">
        <f>G4+F5</f>
        <v>15</v>
      </c>
      <c r="H5" s="6">
        <f t="shared" ref="H5:H8" si="0">F5*E5</f>
        <v>535.5</v>
      </c>
      <c r="I5" s="6">
        <f t="shared" ref="I5:I8" si="1">(E5-63.5)/4</f>
        <v>-1</v>
      </c>
      <c r="J5" s="7">
        <f>F5*I5</f>
        <v>-9</v>
      </c>
      <c r="K5" s="6">
        <f t="shared" ref="K5:K8" si="2">LOG10(E5)</f>
        <v>1.7745169657285496</v>
      </c>
      <c r="L5" s="7">
        <f>F5*K5</f>
        <v>15.970652691556946</v>
      </c>
      <c r="M5" s="6">
        <f t="shared" ref="M5:M8" si="3">F5/E5</f>
        <v>0.15126050420168066</v>
      </c>
    </row>
    <row r="6" spans="1:14" ht="15.75" x14ac:dyDescent="0.25">
      <c r="A6" s="6"/>
      <c r="B6" s="6"/>
      <c r="C6" s="13" t="s">
        <v>14</v>
      </c>
      <c r="D6" s="18" t="s">
        <v>5</v>
      </c>
      <c r="E6" s="18">
        <v>63.5</v>
      </c>
      <c r="F6" s="8">
        <v>11</v>
      </c>
      <c r="G6" s="21">
        <f>G5+F6</f>
        <v>26</v>
      </c>
      <c r="H6" s="6">
        <f t="shared" si="0"/>
        <v>698.5</v>
      </c>
      <c r="I6" s="6">
        <f t="shared" si="1"/>
        <v>0</v>
      </c>
      <c r="J6" s="13">
        <f>F6*I6</f>
        <v>0</v>
      </c>
      <c r="K6" s="6">
        <f t="shared" si="2"/>
        <v>1.8027737252919758</v>
      </c>
      <c r="L6" s="13">
        <f>F6*K6</f>
        <v>19.830510978211734</v>
      </c>
      <c r="M6" s="6">
        <f t="shared" si="3"/>
        <v>0.17322834645669291</v>
      </c>
    </row>
    <row r="7" spans="1:14" ht="15.75" x14ac:dyDescent="0.25">
      <c r="A7" s="6"/>
      <c r="B7" s="6"/>
      <c r="C7" s="13" t="s">
        <v>15</v>
      </c>
      <c r="D7" s="21" t="s">
        <v>6</v>
      </c>
      <c r="E7" s="21">
        <v>67.5</v>
      </c>
      <c r="F7" s="8">
        <v>16</v>
      </c>
      <c r="G7" s="23">
        <f>G6+F7</f>
        <v>42</v>
      </c>
      <c r="H7" s="6">
        <f t="shared" si="0"/>
        <v>1080</v>
      </c>
      <c r="I7" s="6">
        <f t="shared" si="1"/>
        <v>1</v>
      </c>
      <c r="J7" s="7">
        <f>F7*I7</f>
        <v>16</v>
      </c>
      <c r="K7" s="6">
        <f t="shared" si="2"/>
        <v>1.8293037728310249</v>
      </c>
      <c r="L7" s="7">
        <f>F7*K7</f>
        <v>29.268860365296398</v>
      </c>
      <c r="M7" s="7">
        <f t="shared" si="3"/>
        <v>0.23703703703703705</v>
      </c>
    </row>
    <row r="8" spans="1:14" ht="15.75" x14ac:dyDescent="0.25">
      <c r="A8" s="6"/>
      <c r="B8" s="6"/>
      <c r="C8" s="13" t="s">
        <v>16</v>
      </c>
      <c r="D8" s="18" t="s">
        <v>7</v>
      </c>
      <c r="E8" s="18">
        <v>71.5</v>
      </c>
      <c r="F8" s="8">
        <v>8</v>
      </c>
      <c r="G8" s="21">
        <f>G7+F8</f>
        <v>50</v>
      </c>
      <c r="H8" s="6">
        <f t="shared" si="0"/>
        <v>572</v>
      </c>
      <c r="I8" s="6">
        <f t="shared" si="1"/>
        <v>2</v>
      </c>
      <c r="J8" s="6">
        <f>F8*I8</f>
        <v>16</v>
      </c>
      <c r="K8" s="6">
        <f t="shared" si="2"/>
        <v>1.8543060418010806</v>
      </c>
      <c r="L8" s="6">
        <f>F8*K8</f>
        <v>14.834448334408645</v>
      </c>
      <c r="M8" s="6">
        <f t="shared" si="3"/>
        <v>0.11188811188811189</v>
      </c>
    </row>
    <row r="10" spans="1:14" ht="15.75" x14ac:dyDescent="0.25">
      <c r="D10" s="6" t="s">
        <v>17</v>
      </c>
      <c r="E10" s="6"/>
      <c r="F10" s="21">
        <f>SUM(F4:F8)</f>
        <v>50</v>
      </c>
      <c r="G10" s="6"/>
      <c r="H10" s="6">
        <f>SUM(H4:H8)</f>
        <v>3219</v>
      </c>
      <c r="I10" s="6"/>
      <c r="J10" s="6">
        <f>SUM(J4:J8)</f>
        <v>11</v>
      </c>
      <c r="K10" s="6"/>
      <c r="L10" s="6">
        <f>SUM(L4:L8)</f>
        <v>90.370230268209781</v>
      </c>
      <c r="M10" s="6">
        <f>SUM(M4:M8)</f>
        <v>0.78152210769163066</v>
      </c>
      <c r="N10" s="6"/>
    </row>
    <row r="11" spans="1:14" ht="15.75" x14ac:dyDescent="0.25"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ht="15.75" x14ac:dyDescent="0.25">
      <c r="D12" s="10"/>
      <c r="E12" s="10" t="s">
        <v>63</v>
      </c>
      <c r="F12" s="10">
        <f>H10/F10</f>
        <v>64.38</v>
      </c>
      <c r="G12" s="10"/>
      <c r="H12" s="10" t="s">
        <v>65</v>
      </c>
      <c r="I12" s="10">
        <f>10^(L10/F10)</f>
        <v>64.180723032762728</v>
      </c>
      <c r="J12" s="10"/>
      <c r="K12" s="10"/>
      <c r="L12" s="10"/>
      <c r="M12" s="10"/>
      <c r="N12" s="10"/>
    </row>
    <row r="13" spans="1:14" ht="15.75" x14ac:dyDescent="0.25">
      <c r="D13" s="10" t="s">
        <v>61</v>
      </c>
      <c r="E13" s="10" t="s">
        <v>64</v>
      </c>
      <c r="F13" s="10">
        <f>63.5+4*(J10/F10)</f>
        <v>64.38</v>
      </c>
      <c r="G13" s="10"/>
      <c r="H13" s="10" t="s">
        <v>66</v>
      </c>
      <c r="I13" s="10">
        <f>F10/M10</f>
        <v>63.977716699127299</v>
      </c>
      <c r="J13" s="10"/>
      <c r="K13" s="10"/>
      <c r="L13" s="10"/>
      <c r="M13" s="10"/>
      <c r="N13" s="10"/>
    </row>
    <row r="14" spans="1:14" ht="15.75" x14ac:dyDescent="0.25"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ht="15.75" x14ac:dyDescent="0.25"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5.75" x14ac:dyDescent="0.25"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4:14" ht="15.75" x14ac:dyDescent="0.25"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4:14" ht="15.75" x14ac:dyDescent="0.25">
      <c r="D18" s="10" t="s">
        <v>67</v>
      </c>
      <c r="E18" s="10"/>
      <c r="F18" s="10"/>
      <c r="G18" s="10"/>
      <c r="H18" s="10" t="s">
        <v>119</v>
      </c>
      <c r="I18" s="10"/>
      <c r="J18" s="10"/>
      <c r="K18" s="10"/>
      <c r="L18" s="10"/>
      <c r="M18" s="10"/>
      <c r="N18" s="10"/>
    </row>
    <row r="19" spans="4:14" ht="15.75" x14ac:dyDescent="0.25">
      <c r="D19" s="10" t="s">
        <v>68</v>
      </c>
      <c r="E19" s="10" t="s">
        <v>69</v>
      </c>
      <c r="F19" s="10">
        <f>65.5+(5*4)/(5+8)</f>
        <v>67.038461538461533</v>
      </c>
      <c r="G19" s="10"/>
      <c r="H19" s="10" t="s">
        <v>71</v>
      </c>
      <c r="I19" s="10"/>
      <c r="J19" s="10"/>
      <c r="K19" s="10"/>
      <c r="L19" s="10"/>
      <c r="M19" s="10"/>
      <c r="N19" s="10"/>
    </row>
    <row r="20" spans="4:14" ht="15.75" x14ac:dyDescent="0.25">
      <c r="D20" s="10" t="s">
        <v>118</v>
      </c>
      <c r="E20" s="10"/>
      <c r="F20" s="10"/>
      <c r="G20" s="10"/>
      <c r="H20" s="10" t="s">
        <v>120</v>
      </c>
      <c r="I20" s="10" t="s">
        <v>102</v>
      </c>
      <c r="J20" s="10">
        <f>61.5+(25-15)*4/11</f>
        <v>65.13636363636364</v>
      </c>
      <c r="K20" s="10"/>
      <c r="L20" s="10"/>
      <c r="M20" s="10"/>
      <c r="N20" s="10"/>
    </row>
    <row r="21" spans="4:14" ht="15.75" x14ac:dyDescent="0.25">
      <c r="D21" s="10" t="s">
        <v>103</v>
      </c>
      <c r="E21" s="10"/>
      <c r="F21" s="10"/>
      <c r="G21" s="10"/>
      <c r="H21" s="10" t="s">
        <v>121</v>
      </c>
      <c r="I21" s="10"/>
      <c r="J21" s="10"/>
      <c r="K21" s="10"/>
      <c r="L21" s="10"/>
      <c r="M21" s="10"/>
      <c r="N21" s="10"/>
    </row>
    <row r="22" spans="4:14" ht="15.75" x14ac:dyDescent="0.25">
      <c r="D22" s="10"/>
      <c r="E22" s="10"/>
      <c r="F22" s="10"/>
      <c r="G22" s="10"/>
      <c r="H22" s="10" t="s">
        <v>103</v>
      </c>
      <c r="I22" s="10"/>
      <c r="J22" s="10"/>
      <c r="K22" s="10"/>
      <c r="L22" s="10"/>
      <c r="M22" s="10"/>
      <c r="N22" s="10"/>
    </row>
    <row r="23" spans="4:14" ht="15.75" x14ac:dyDescent="0.25"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4:14" ht="15.75" x14ac:dyDescent="0.25">
      <c r="D24" s="10" t="s">
        <v>122</v>
      </c>
      <c r="E24" s="10"/>
      <c r="F24" s="10"/>
      <c r="G24" s="10"/>
      <c r="H24" s="10" t="s">
        <v>125</v>
      </c>
      <c r="I24" s="10"/>
      <c r="J24" s="10"/>
      <c r="K24" s="10"/>
      <c r="L24" s="10" t="s">
        <v>128</v>
      </c>
      <c r="M24" s="10"/>
      <c r="N24" s="10"/>
    </row>
    <row r="25" spans="4:14" ht="15.75" x14ac:dyDescent="0.25">
      <c r="D25" s="10" t="s">
        <v>67</v>
      </c>
      <c r="E25" s="10" t="s">
        <v>104</v>
      </c>
      <c r="F25" s="10">
        <f>65.5+(37.5-26)*4/16</f>
        <v>68.375</v>
      </c>
      <c r="G25" s="10"/>
      <c r="H25" s="10" t="s">
        <v>70</v>
      </c>
      <c r="I25" s="10"/>
      <c r="J25" s="10"/>
      <c r="K25" s="10"/>
      <c r="L25" s="10" t="s">
        <v>129</v>
      </c>
      <c r="M25" s="10"/>
      <c r="N25" s="10"/>
    </row>
    <row r="26" spans="4:14" ht="15.75" x14ac:dyDescent="0.25">
      <c r="D26" s="10" t="s">
        <v>123</v>
      </c>
      <c r="E26" s="10"/>
      <c r="F26" s="10"/>
      <c r="G26" s="10"/>
      <c r="H26" s="10" t="s">
        <v>126</v>
      </c>
      <c r="I26" s="10" t="s">
        <v>105</v>
      </c>
      <c r="J26" s="10">
        <f>57.5+(10-6)*4/9</f>
        <v>59.277777777777779</v>
      </c>
      <c r="K26" s="10"/>
      <c r="L26" s="10" t="s">
        <v>130</v>
      </c>
      <c r="M26" s="10" t="s">
        <v>132</v>
      </c>
      <c r="N26" s="10">
        <f>69.5+(47.5-42)*4/8</f>
        <v>72.25</v>
      </c>
    </row>
    <row r="27" spans="4:14" ht="15.75" x14ac:dyDescent="0.25">
      <c r="D27" s="10" t="s">
        <v>124</v>
      </c>
      <c r="E27" s="10"/>
      <c r="F27" s="10"/>
      <c r="G27" s="10"/>
      <c r="H27" s="10" t="s">
        <v>127</v>
      </c>
      <c r="I27" s="10"/>
      <c r="J27" s="10"/>
      <c r="K27" s="10"/>
      <c r="L27" s="10" t="s">
        <v>131</v>
      </c>
      <c r="M27" s="10"/>
      <c r="N27" s="16"/>
    </row>
    <row r="28" spans="4:14" ht="15.75" x14ac:dyDescent="0.25">
      <c r="D28" s="10" t="s">
        <v>103</v>
      </c>
      <c r="E28" s="10"/>
      <c r="F28" s="10"/>
      <c r="G28" s="10"/>
      <c r="H28" s="10" t="s">
        <v>103</v>
      </c>
      <c r="I28" s="10"/>
      <c r="J28" s="10"/>
      <c r="K28" s="10"/>
      <c r="L28" s="10" t="s">
        <v>103</v>
      </c>
      <c r="M28" s="10"/>
      <c r="N28" s="10"/>
    </row>
    <row r="29" spans="4:14" ht="15.75" x14ac:dyDescent="0.25"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27"/>
  <sheetViews>
    <sheetView topLeftCell="A13" zoomScaleNormal="100" workbookViewId="0">
      <selection activeCell="E18" sqref="E18"/>
    </sheetView>
  </sheetViews>
  <sheetFormatPr defaultRowHeight="15" x14ac:dyDescent="0.25"/>
  <cols>
    <col min="1" max="1" width="9.140625" style="1" customWidth="1"/>
    <col min="2" max="2" width="17.28515625" style="1" customWidth="1"/>
    <col min="3" max="3" width="17" style="1" customWidth="1"/>
    <col min="4" max="4" width="14.28515625" style="1" customWidth="1"/>
    <col min="5" max="5" width="14.140625" style="1" customWidth="1"/>
    <col min="6" max="6" width="18.7109375" style="1" customWidth="1"/>
    <col min="7" max="7" width="18" style="1" customWidth="1"/>
    <col min="8" max="9" width="9.140625" style="1" customWidth="1"/>
    <col min="10" max="10" width="14.85546875" style="1" customWidth="1"/>
    <col min="11" max="12" width="9.140625" style="1" customWidth="1"/>
    <col min="13" max="13" width="16.28515625" style="1" customWidth="1"/>
    <col min="14" max="1025" width="9.140625" style="1" customWidth="1"/>
  </cols>
  <sheetData>
    <row r="3" spans="1:14" ht="15.75" x14ac:dyDescent="0.25">
      <c r="A3" s="6"/>
      <c r="B3" s="6" t="s">
        <v>9</v>
      </c>
      <c r="C3" s="6" t="s">
        <v>0</v>
      </c>
      <c r="D3" s="6" t="s">
        <v>1</v>
      </c>
      <c r="E3" s="6" t="s">
        <v>73</v>
      </c>
      <c r="F3" s="6" t="s">
        <v>74</v>
      </c>
      <c r="G3" s="6" t="s">
        <v>75</v>
      </c>
      <c r="H3" s="6" t="s">
        <v>18</v>
      </c>
      <c r="I3" s="6" t="s">
        <v>19</v>
      </c>
      <c r="J3" s="6" t="s">
        <v>72</v>
      </c>
      <c r="K3" s="6" t="s">
        <v>20</v>
      </c>
      <c r="L3" s="6" t="s">
        <v>21</v>
      </c>
      <c r="M3" s="6" t="s">
        <v>76</v>
      </c>
      <c r="N3" s="6"/>
    </row>
    <row r="4" spans="1:14" ht="15.75" x14ac:dyDescent="0.25">
      <c r="A4" s="6"/>
      <c r="B4" s="6" t="s">
        <v>3</v>
      </c>
      <c r="C4" s="6">
        <v>55.5</v>
      </c>
      <c r="D4" s="6">
        <v>6</v>
      </c>
      <c r="E4" s="6">
        <f>D4*ABS(C4-64.38)</f>
        <v>53.279999999999973</v>
      </c>
      <c r="F4" s="6">
        <f>D4*ABS(C4-67.04)</f>
        <v>69.240000000000038</v>
      </c>
      <c r="G4" s="6">
        <f>D4*ABS(C4-65.14)</f>
        <v>57.84</v>
      </c>
      <c r="H4" s="6">
        <f>D4*C4</f>
        <v>333</v>
      </c>
      <c r="I4" s="6">
        <f>D4*C4^2</f>
        <v>18481.5</v>
      </c>
      <c r="J4" s="6">
        <f>(C4-63.5)/4</f>
        <v>-2</v>
      </c>
      <c r="K4" s="6">
        <f>D4*J4</f>
        <v>-12</v>
      </c>
      <c r="L4" s="6">
        <f>D4*J4^2</f>
        <v>24</v>
      </c>
      <c r="M4" s="6">
        <f>(C4-64.38)/5.0145</f>
        <v>-1.770864492970385</v>
      </c>
      <c r="N4" s="6"/>
    </row>
    <row r="5" spans="1:14" ht="15.75" x14ac:dyDescent="0.25">
      <c r="A5" s="6"/>
      <c r="B5" s="7" t="s">
        <v>4</v>
      </c>
      <c r="C5" s="7">
        <v>59.5</v>
      </c>
      <c r="D5" s="7">
        <v>9</v>
      </c>
      <c r="E5" s="6">
        <f t="shared" ref="E5:E8" si="0">D5*ABS(C5-64.38)</f>
        <v>43.919999999999959</v>
      </c>
      <c r="F5" s="6">
        <f t="shared" ref="F5:F8" si="1">D5*ABS(C5-67.04)</f>
        <v>67.860000000000056</v>
      </c>
      <c r="G5" s="6">
        <f t="shared" ref="G5:G8" si="2">D5*ABS(C5-65.14)</f>
        <v>50.760000000000005</v>
      </c>
      <c r="H5" s="6">
        <f>D5*C5</f>
        <v>535.5</v>
      </c>
      <c r="I5" s="6">
        <f t="shared" ref="I5:I8" si="3">D5*C5^2</f>
        <v>31862.25</v>
      </c>
      <c r="J5" s="6">
        <f>(C5-63.5)/4</f>
        <v>-1</v>
      </c>
      <c r="K5" s="6">
        <f>D5*J5</f>
        <v>-9</v>
      </c>
      <c r="L5" s="6">
        <f t="shared" ref="L5:L8" si="4">D5*J5^2</f>
        <v>9</v>
      </c>
      <c r="M5" s="6">
        <f t="shared" ref="M5:M8" si="5">(C5-64.38)/5.0145</f>
        <v>-0.97317778442516611</v>
      </c>
      <c r="N5" s="6"/>
    </row>
    <row r="6" spans="1:14" ht="15.75" x14ac:dyDescent="0.25">
      <c r="A6" s="6"/>
      <c r="B6" s="6" t="s">
        <v>5</v>
      </c>
      <c r="C6" s="6">
        <v>63.5</v>
      </c>
      <c r="D6" s="6">
        <v>11</v>
      </c>
      <c r="E6" s="6">
        <f t="shared" si="0"/>
        <v>9.67999999999995</v>
      </c>
      <c r="F6" s="6">
        <f t="shared" si="1"/>
        <v>38.940000000000069</v>
      </c>
      <c r="G6" s="6">
        <f t="shared" si="2"/>
        <v>18.040000000000006</v>
      </c>
      <c r="H6" s="6">
        <f>D6*C6</f>
        <v>698.5</v>
      </c>
      <c r="I6" s="6">
        <f t="shared" si="3"/>
        <v>44354.75</v>
      </c>
      <c r="J6" s="6">
        <f>(C6-63.5)/4</f>
        <v>0</v>
      </c>
      <c r="K6" s="6">
        <f>D6*J6</f>
        <v>0</v>
      </c>
      <c r="L6" s="6">
        <f t="shared" si="4"/>
        <v>0</v>
      </c>
      <c r="M6" s="6">
        <f t="shared" si="5"/>
        <v>-0.17549107587994725</v>
      </c>
      <c r="N6" s="6"/>
    </row>
    <row r="7" spans="1:14" ht="15.75" x14ac:dyDescent="0.25">
      <c r="A7" s="6"/>
      <c r="B7" s="13" t="s">
        <v>6</v>
      </c>
      <c r="C7" s="13">
        <v>67.5</v>
      </c>
      <c r="D7" s="7">
        <v>16</v>
      </c>
      <c r="E7" s="6">
        <f t="shared" si="0"/>
        <v>49.920000000000073</v>
      </c>
      <c r="F7" s="6">
        <f t="shared" si="1"/>
        <v>7.3599999999999</v>
      </c>
      <c r="G7" s="6">
        <f t="shared" si="2"/>
        <v>37.759999999999991</v>
      </c>
      <c r="H7" s="6">
        <f>D7*C7</f>
        <v>1080</v>
      </c>
      <c r="I7" s="6">
        <f t="shared" si="3"/>
        <v>72900</v>
      </c>
      <c r="J7" s="6">
        <f>(C7-63.5)/4</f>
        <v>1</v>
      </c>
      <c r="K7" s="6">
        <f>D7*J7</f>
        <v>16</v>
      </c>
      <c r="L7" s="6">
        <f t="shared" si="4"/>
        <v>16</v>
      </c>
      <c r="M7" s="6">
        <f t="shared" si="5"/>
        <v>0.62219563266527167</v>
      </c>
      <c r="N7" s="6"/>
    </row>
    <row r="8" spans="1:14" ht="15.75" x14ac:dyDescent="0.25">
      <c r="A8" s="6"/>
      <c r="B8" s="6" t="s">
        <v>7</v>
      </c>
      <c r="C8" s="6">
        <v>71.5</v>
      </c>
      <c r="D8" s="6">
        <v>8</v>
      </c>
      <c r="E8" s="6">
        <f t="shared" si="0"/>
        <v>56.960000000000036</v>
      </c>
      <c r="F8" s="6">
        <f t="shared" si="1"/>
        <v>35.67999999999995</v>
      </c>
      <c r="G8" s="6">
        <f t="shared" si="2"/>
        <v>50.879999999999995</v>
      </c>
      <c r="H8" s="6">
        <f>D8*C8</f>
        <v>572</v>
      </c>
      <c r="I8" s="6">
        <f t="shared" si="3"/>
        <v>40898</v>
      </c>
      <c r="J8" s="6">
        <f>(C8-63.5)/4</f>
        <v>2</v>
      </c>
      <c r="K8" s="6">
        <f>D8*J8</f>
        <v>16</v>
      </c>
      <c r="L8" s="6">
        <f t="shared" si="4"/>
        <v>32</v>
      </c>
      <c r="M8" s="6">
        <f t="shared" si="5"/>
        <v>1.4198823412104904</v>
      </c>
      <c r="N8" s="6"/>
    </row>
    <row r="9" spans="1:14" ht="15.75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</row>
    <row r="10" spans="1:14" ht="15.75" x14ac:dyDescent="0.25">
      <c r="A10" s="6"/>
      <c r="B10" s="6"/>
      <c r="C10" s="6" t="s">
        <v>22</v>
      </c>
      <c r="D10" s="6">
        <f t="shared" ref="D10:G10" si="6">SUM(D4:D8)</f>
        <v>50</v>
      </c>
      <c r="E10" s="6">
        <f>SUM(E4:E8)</f>
        <v>213.76</v>
      </c>
      <c r="F10" s="6">
        <f>SUM(F4:F8)</f>
        <v>219.07999999999998</v>
      </c>
      <c r="G10" s="6">
        <f t="shared" si="6"/>
        <v>215.28</v>
      </c>
      <c r="H10" s="6">
        <f>SUM(H4:H8)</f>
        <v>3219</v>
      </c>
      <c r="I10" s="6">
        <f>SUM(I4:I8)</f>
        <v>208496.5</v>
      </c>
      <c r="J10" s="6"/>
      <c r="K10" s="6">
        <f>SUM(K4:K8)</f>
        <v>11</v>
      </c>
      <c r="L10" s="6">
        <f>SUM(L4:L8)</f>
        <v>81</v>
      </c>
      <c r="M10" s="6"/>
      <c r="N10" s="6"/>
    </row>
    <row r="11" spans="1:14" ht="15.75" x14ac:dyDescent="0.25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</row>
    <row r="12" spans="1:14" ht="15.75" x14ac:dyDescent="0.25">
      <c r="B12" s="10" t="s">
        <v>52</v>
      </c>
      <c r="C12" s="16">
        <v>64.38</v>
      </c>
      <c r="D12" s="6"/>
      <c r="E12" s="6"/>
      <c r="F12" s="6"/>
    </row>
    <row r="13" spans="1:14" ht="15.75" x14ac:dyDescent="0.25">
      <c r="B13" s="10" t="s">
        <v>53</v>
      </c>
      <c r="C13" s="16">
        <v>67.040000000000006</v>
      </c>
      <c r="D13" s="6"/>
      <c r="E13" s="6"/>
      <c r="F13" s="6"/>
    </row>
    <row r="14" spans="1:14" ht="15.75" x14ac:dyDescent="0.25">
      <c r="B14" s="10" t="s">
        <v>54</v>
      </c>
      <c r="C14" s="24">
        <v>65.14</v>
      </c>
      <c r="D14" s="6"/>
      <c r="E14" s="10"/>
      <c r="F14" s="6"/>
    </row>
    <row r="15" spans="1:14" ht="15.75" x14ac:dyDescent="0.25">
      <c r="B15" s="10" t="s">
        <v>106</v>
      </c>
      <c r="C15" s="10">
        <f>E10/D10</f>
        <v>4.2751999999999999</v>
      </c>
      <c r="D15" s="6"/>
      <c r="E15" s="10"/>
      <c r="F15" s="6"/>
    </row>
    <row r="16" spans="1:14" ht="15.75" x14ac:dyDescent="0.25">
      <c r="B16" s="10" t="s">
        <v>107</v>
      </c>
      <c r="C16" s="10">
        <f>F10/D10</f>
        <v>4.3815999999999997</v>
      </c>
      <c r="D16" s="6"/>
      <c r="E16" s="6"/>
      <c r="F16" s="6"/>
    </row>
    <row r="17" spans="2:9" ht="15.75" x14ac:dyDescent="0.25">
      <c r="B17" s="10" t="s">
        <v>55</v>
      </c>
      <c r="C17" s="10">
        <f>G10/D10</f>
        <v>4.3056000000000001</v>
      </c>
      <c r="D17" s="6"/>
      <c r="E17" s="6"/>
      <c r="F17" s="6"/>
    </row>
    <row r="18" spans="2:9" ht="15.75" x14ac:dyDescent="0.25">
      <c r="B18" s="10" t="s">
        <v>56</v>
      </c>
      <c r="C18" s="10"/>
      <c r="D18" s="14">
        <f>C15/64.38</f>
        <v>6.6405716060888478E-2</v>
      </c>
      <c r="E18" s="10"/>
      <c r="F18" s="10"/>
    </row>
    <row r="19" spans="2:9" ht="15.75" x14ac:dyDescent="0.25">
      <c r="B19" s="10" t="s">
        <v>57</v>
      </c>
      <c r="C19" s="10"/>
      <c r="D19" s="14">
        <f>C16/67.04</f>
        <v>6.5357995226730303E-2</v>
      </c>
      <c r="E19" s="10"/>
      <c r="F19" s="10"/>
    </row>
    <row r="20" spans="2:9" ht="15.75" x14ac:dyDescent="0.25">
      <c r="B20" s="10" t="s">
        <v>58</v>
      </c>
      <c r="C20" s="10"/>
      <c r="D20" s="14">
        <f>C17/65.14</f>
        <v>6.6097635861221984E-2</v>
      </c>
      <c r="E20" s="10"/>
      <c r="F20" s="10"/>
    </row>
    <row r="21" spans="2:9" ht="15.75" x14ac:dyDescent="0.25">
      <c r="B21" s="10"/>
      <c r="C21" s="10"/>
      <c r="D21" s="6"/>
      <c r="E21" s="10"/>
      <c r="F21" s="10"/>
    </row>
    <row r="22" spans="2:9" ht="15.75" x14ac:dyDescent="0.25">
      <c r="B22" s="10" t="s">
        <v>59</v>
      </c>
      <c r="C22" s="10">
        <f>SQRT((I10/D10)-(H10/D10)^2)</f>
        <v>5.0145388621488163</v>
      </c>
      <c r="D22" s="6"/>
      <c r="E22" s="10"/>
      <c r="F22" s="10"/>
      <c r="H22" s="2"/>
      <c r="I22" s="2"/>
    </row>
    <row r="23" spans="2:9" ht="15.75" x14ac:dyDescent="0.25">
      <c r="B23" s="10" t="s">
        <v>60</v>
      </c>
      <c r="C23" s="10">
        <f>4*SQRT((L10/D10)-(K10/D10)^2)</f>
        <v>5.0145388621487426</v>
      </c>
      <c r="D23" s="6"/>
      <c r="E23" s="10"/>
      <c r="F23" s="10"/>
    </row>
    <row r="24" spans="2:9" ht="15.75" x14ac:dyDescent="0.25">
      <c r="B24" s="10"/>
      <c r="C24" s="10"/>
      <c r="D24" s="6"/>
      <c r="E24" s="10"/>
      <c r="F24" s="10"/>
    </row>
    <row r="25" spans="2:9" ht="15.75" x14ac:dyDescent="0.25">
      <c r="B25" s="10" t="s">
        <v>61</v>
      </c>
      <c r="C25" s="10"/>
      <c r="D25" s="6"/>
      <c r="E25" s="10"/>
      <c r="F25" s="10"/>
    </row>
    <row r="26" spans="2:9" ht="15.75" x14ac:dyDescent="0.25">
      <c r="B26" s="10"/>
      <c r="C26" s="10"/>
      <c r="D26" s="6"/>
      <c r="E26" s="10"/>
      <c r="F26" s="10"/>
    </row>
    <row r="27" spans="2:9" ht="15.75" x14ac:dyDescent="0.25">
      <c r="B27" s="10" t="s">
        <v>62</v>
      </c>
      <c r="C27" s="10"/>
      <c r="D27" s="14">
        <f>C22/64.38</f>
        <v>7.7889699629524953E-2</v>
      </c>
      <c r="E27" s="10"/>
      <c r="F27" s="10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26"/>
  <sheetViews>
    <sheetView topLeftCell="A4" zoomScaleNormal="100" workbookViewId="0">
      <selection activeCell="E18" sqref="E18"/>
    </sheetView>
  </sheetViews>
  <sheetFormatPr defaultRowHeight="15" x14ac:dyDescent="0.25"/>
  <cols>
    <col min="1" max="1" width="9.140625" style="1" customWidth="1"/>
    <col min="2" max="2" width="15.5703125" style="1" customWidth="1"/>
    <col min="3" max="3" width="15.28515625" style="1" customWidth="1"/>
    <col min="4" max="4" width="14.42578125" style="1" customWidth="1"/>
    <col min="5" max="5" width="11.28515625" style="1" customWidth="1"/>
    <col min="6" max="1025" width="9.140625" style="1" customWidth="1"/>
  </cols>
  <sheetData>
    <row r="3" spans="1:8" ht="15.75" x14ac:dyDescent="0.25">
      <c r="B3" s="6" t="s">
        <v>49</v>
      </c>
      <c r="C3" s="6" t="s">
        <v>1</v>
      </c>
      <c r="D3" s="6" t="s">
        <v>77</v>
      </c>
      <c r="E3" s="6" t="s">
        <v>20</v>
      </c>
      <c r="F3" s="6" t="s">
        <v>21</v>
      </c>
      <c r="G3" s="6" t="s">
        <v>50</v>
      </c>
      <c r="H3" s="6" t="s">
        <v>51</v>
      </c>
    </row>
    <row r="4" spans="1:8" ht="15.75" x14ac:dyDescent="0.25">
      <c r="B4" s="6">
        <v>55.5</v>
      </c>
      <c r="C4" s="6">
        <v>6</v>
      </c>
      <c r="D4" s="6">
        <f>(B4-65.5)/4</f>
        <v>-2.5</v>
      </c>
      <c r="E4" s="6">
        <f>C4*D4</f>
        <v>-15</v>
      </c>
      <c r="F4" s="6">
        <f>C4*D4^2</f>
        <v>37.5</v>
      </c>
      <c r="G4" s="6">
        <f>C4*D4^3</f>
        <v>-93.75</v>
      </c>
      <c r="H4" s="6">
        <f>C4*D4^4</f>
        <v>234.375</v>
      </c>
    </row>
    <row r="5" spans="1:8" ht="15.75" x14ac:dyDescent="0.25">
      <c r="B5" s="7">
        <v>59.5</v>
      </c>
      <c r="C5" s="7">
        <v>9</v>
      </c>
      <c r="D5" s="6">
        <f>(B5-65.5)/4</f>
        <v>-1.5</v>
      </c>
      <c r="E5" s="6">
        <f t="shared" ref="E5:E8" si="0">C5*D5</f>
        <v>-13.5</v>
      </c>
      <c r="F5" s="6">
        <f t="shared" ref="F5:F8" si="1">C5*D5^2</f>
        <v>20.25</v>
      </c>
      <c r="G5" s="6">
        <f t="shared" ref="G5:G8" si="2">C5*D5^3</f>
        <v>-30.375</v>
      </c>
      <c r="H5" s="6">
        <f t="shared" ref="H5:H8" si="3">C5*D5^4</f>
        <v>45.5625</v>
      </c>
    </row>
    <row r="6" spans="1:8" ht="15.75" x14ac:dyDescent="0.25">
      <c r="A6" s="25" t="s">
        <v>108</v>
      </c>
      <c r="B6" s="6">
        <v>63.5</v>
      </c>
      <c r="C6" s="6">
        <v>11</v>
      </c>
      <c r="D6" s="6">
        <f>(B6-65.5)/4</f>
        <v>-0.5</v>
      </c>
      <c r="E6" s="6">
        <f t="shared" si="0"/>
        <v>-5.5</v>
      </c>
      <c r="F6" s="6">
        <f t="shared" si="1"/>
        <v>2.75</v>
      </c>
      <c r="G6" s="6">
        <f t="shared" si="2"/>
        <v>-1.375</v>
      </c>
      <c r="H6" s="6">
        <f t="shared" si="3"/>
        <v>0.6875</v>
      </c>
    </row>
    <row r="7" spans="1:8" ht="15.75" x14ac:dyDescent="0.25">
      <c r="A7" s="25" t="s">
        <v>109</v>
      </c>
      <c r="B7" s="13">
        <v>67.5</v>
      </c>
      <c r="C7" s="7">
        <v>16</v>
      </c>
      <c r="D7" s="6">
        <f>(B7-65.5)/4</f>
        <v>0.5</v>
      </c>
      <c r="E7" s="6">
        <f t="shared" si="0"/>
        <v>8</v>
      </c>
      <c r="F7" s="6">
        <f t="shared" si="1"/>
        <v>4</v>
      </c>
      <c r="G7" s="6">
        <f t="shared" si="2"/>
        <v>2</v>
      </c>
      <c r="H7" s="6">
        <f t="shared" si="3"/>
        <v>1</v>
      </c>
    </row>
    <row r="8" spans="1:8" ht="15.75" x14ac:dyDescent="0.25">
      <c r="B8" s="6">
        <v>71.5</v>
      </c>
      <c r="C8" s="6">
        <v>8</v>
      </c>
      <c r="D8" s="6">
        <f>(B8-65.5)/4</f>
        <v>1.5</v>
      </c>
      <c r="E8" s="6">
        <f t="shared" si="0"/>
        <v>12</v>
      </c>
      <c r="F8" s="6">
        <f t="shared" si="1"/>
        <v>18</v>
      </c>
      <c r="G8" s="6">
        <f t="shared" si="2"/>
        <v>27</v>
      </c>
      <c r="H8" s="6">
        <f t="shared" si="3"/>
        <v>40.5</v>
      </c>
    </row>
    <row r="9" spans="1:8" ht="15.75" x14ac:dyDescent="0.25">
      <c r="B9" s="6"/>
      <c r="C9" s="6"/>
      <c r="D9" s="6"/>
      <c r="E9" s="6"/>
      <c r="F9" s="6"/>
      <c r="G9" s="6"/>
      <c r="H9" s="6"/>
    </row>
    <row r="10" spans="1:8" ht="15.75" x14ac:dyDescent="0.25">
      <c r="B10" s="6" t="s">
        <v>17</v>
      </c>
      <c r="C10" s="6">
        <f>SUM(C4:C8)</f>
        <v>50</v>
      </c>
      <c r="D10" s="6"/>
      <c r="E10" s="6">
        <f>SUM(E4:E8)</f>
        <v>-14</v>
      </c>
      <c r="F10" s="6">
        <f>SUM(F4:F8)</f>
        <v>82.5</v>
      </c>
      <c r="G10" s="6">
        <f>SUM(G4:G8)</f>
        <v>-96.5</v>
      </c>
      <c r="H10" s="6">
        <f>SUM(H4:H8)</f>
        <v>322.125</v>
      </c>
    </row>
    <row r="11" spans="1:8" ht="15.75" x14ac:dyDescent="0.25">
      <c r="B11" s="6"/>
      <c r="C11" s="6"/>
      <c r="D11" s="6"/>
      <c r="E11" s="6"/>
      <c r="F11" s="6"/>
      <c r="G11" s="6"/>
      <c r="H11" s="6"/>
    </row>
    <row r="12" spans="1:8" ht="15.75" x14ac:dyDescent="0.25">
      <c r="B12" s="6" t="s">
        <v>78</v>
      </c>
      <c r="C12" s="6">
        <f>4*E10/C10</f>
        <v>-1.1200000000000001</v>
      </c>
      <c r="D12" s="6"/>
      <c r="E12" s="6"/>
      <c r="F12" s="6"/>
      <c r="G12" s="6"/>
      <c r="H12" s="6"/>
    </row>
    <row r="13" spans="1:8" ht="15.75" x14ac:dyDescent="0.25">
      <c r="B13" s="6" t="s">
        <v>79</v>
      </c>
      <c r="C13" s="6">
        <f>(4^2)*F10/C10</f>
        <v>26.4</v>
      </c>
      <c r="D13" s="6"/>
      <c r="E13" s="6"/>
      <c r="F13" s="6"/>
      <c r="G13" s="6"/>
      <c r="H13" s="6"/>
    </row>
    <row r="14" spans="1:8" ht="15.75" x14ac:dyDescent="0.25">
      <c r="B14" s="6" t="s">
        <v>80</v>
      </c>
      <c r="C14" s="6">
        <f>(4^3)*G10/C10</f>
        <v>-123.52</v>
      </c>
      <c r="D14" s="6"/>
      <c r="E14" s="6"/>
      <c r="F14" s="6"/>
      <c r="G14" s="6"/>
      <c r="H14" s="6"/>
    </row>
    <row r="15" spans="1:8" ht="15.75" x14ac:dyDescent="0.25">
      <c r="B15" s="6" t="s">
        <v>81</v>
      </c>
      <c r="C15" s="6">
        <f>(4^4)*H10/C10</f>
        <v>1649.28</v>
      </c>
      <c r="D15" s="6"/>
      <c r="E15" s="6"/>
      <c r="F15" s="6"/>
      <c r="G15" s="6"/>
      <c r="H15" s="6"/>
    </row>
    <row r="16" spans="1:8" ht="15.75" x14ac:dyDescent="0.25">
      <c r="B16" s="6"/>
      <c r="C16" s="6"/>
      <c r="D16" s="6"/>
      <c r="E16" s="6"/>
      <c r="F16" s="6"/>
      <c r="G16" s="6"/>
      <c r="H16" s="6"/>
    </row>
    <row r="17" spans="2:8" ht="15.75" x14ac:dyDescent="0.25">
      <c r="B17" s="6" t="s">
        <v>82</v>
      </c>
      <c r="C17" s="6">
        <v>0</v>
      </c>
      <c r="D17" s="6"/>
      <c r="E17" s="6"/>
      <c r="F17" s="6"/>
      <c r="G17" s="6"/>
      <c r="H17" s="6"/>
    </row>
    <row r="18" spans="2:8" ht="15.75" x14ac:dyDescent="0.25">
      <c r="B18" s="6" t="s">
        <v>83</v>
      </c>
      <c r="C18" s="6">
        <f>C13-(C12^2)</f>
        <v>25.145599999999998</v>
      </c>
      <c r="D18" s="6"/>
      <c r="E18" s="6"/>
      <c r="F18" s="6"/>
      <c r="G18" s="6"/>
      <c r="H18" s="6"/>
    </row>
    <row r="19" spans="2:8" ht="15.75" x14ac:dyDescent="0.25">
      <c r="B19" s="6" t="s">
        <v>84</v>
      </c>
      <c r="C19" s="6">
        <f>C14-3*C12*C13+2*(C12^3)</f>
        <v>-37.625855999999992</v>
      </c>
      <c r="D19" s="6"/>
      <c r="E19" s="6"/>
      <c r="F19" s="6"/>
      <c r="G19" s="6"/>
      <c r="H19" s="6"/>
    </row>
    <row r="20" spans="2:8" ht="15.75" x14ac:dyDescent="0.25">
      <c r="B20" s="6" t="s">
        <v>85</v>
      </c>
      <c r="C20" s="6">
        <f>C15-4*C12*C14+6*(C12^2)*C13-3*(C12^4)</f>
        <v>1289.8868019199999</v>
      </c>
      <c r="D20" s="6"/>
      <c r="E20" s="6"/>
      <c r="F20" s="6"/>
      <c r="G20" s="6"/>
      <c r="H20" s="6"/>
    </row>
    <row r="21" spans="2:8" ht="15.75" x14ac:dyDescent="0.25">
      <c r="B21" s="6"/>
      <c r="C21" s="6"/>
      <c r="D21" s="6"/>
      <c r="E21" s="6"/>
      <c r="F21" s="6"/>
      <c r="G21" s="6"/>
      <c r="H21" s="6"/>
    </row>
    <row r="22" spans="2:8" ht="31.5" x14ac:dyDescent="0.25">
      <c r="B22" s="4" t="s">
        <v>96</v>
      </c>
      <c r="C22" s="4">
        <f>C19/((SQRT(C18))^3)</f>
        <v>-0.29839626640687383</v>
      </c>
      <c r="D22" s="4" t="s">
        <v>23</v>
      </c>
      <c r="E22" s="5" t="s">
        <v>24</v>
      </c>
      <c r="F22" s="6"/>
      <c r="G22" s="6"/>
      <c r="H22" s="6"/>
    </row>
    <row r="23" spans="2:8" ht="15.75" x14ac:dyDescent="0.25">
      <c r="B23" s="4" t="s">
        <v>97</v>
      </c>
      <c r="C23" s="4">
        <f>C20/(C18^2)</f>
        <v>2.0399879096000331</v>
      </c>
      <c r="D23" s="4" t="s">
        <v>25</v>
      </c>
      <c r="E23" s="4" t="s">
        <v>26</v>
      </c>
      <c r="F23" s="6"/>
      <c r="G23" s="6"/>
      <c r="H23" s="6"/>
    </row>
    <row r="24" spans="2:8" ht="15.75" x14ac:dyDescent="0.25">
      <c r="B24" s="6"/>
      <c r="C24" s="6"/>
      <c r="D24" s="6"/>
      <c r="E24" s="6"/>
      <c r="F24" s="6"/>
      <c r="G24" s="6"/>
      <c r="H24" s="6"/>
    </row>
    <row r="25" spans="2:8" ht="15.75" x14ac:dyDescent="0.25">
      <c r="B25" s="6" t="s">
        <v>86</v>
      </c>
      <c r="C25" s="6">
        <f>C18-16/12</f>
        <v>23.812266666666666</v>
      </c>
      <c r="D25" s="6"/>
      <c r="E25" s="6"/>
      <c r="F25" s="6"/>
      <c r="G25" s="6"/>
      <c r="H25" s="6"/>
    </row>
    <row r="26" spans="2:8" ht="15.75" x14ac:dyDescent="0.25">
      <c r="B26" s="6" t="s">
        <v>87</v>
      </c>
      <c r="C26" s="6">
        <f>C20-0.5*16*C18+7*256/240</f>
        <v>1096.1886685866666</v>
      </c>
      <c r="D26" s="6"/>
      <c r="E26" s="6"/>
      <c r="F26" s="6"/>
      <c r="G26" s="6"/>
      <c r="H26" s="6"/>
    </row>
  </sheetData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MK40"/>
  <sheetViews>
    <sheetView topLeftCell="A16" zoomScaleNormal="100" workbookViewId="0">
      <selection activeCell="L38" sqref="L38"/>
    </sheetView>
  </sheetViews>
  <sheetFormatPr defaultRowHeight="15" x14ac:dyDescent="0.25"/>
  <cols>
    <col min="1" max="6" width="9.140625" style="1" customWidth="1"/>
    <col min="7" max="7" width="14.28515625" style="1" customWidth="1"/>
    <col min="8" max="8" width="15.140625" style="1" customWidth="1"/>
    <col min="9" max="11" width="8.85546875" style="1" customWidth="1"/>
    <col min="12" max="12" width="21.85546875" style="1" customWidth="1"/>
    <col min="13" max="13" width="20.28515625" style="1" customWidth="1"/>
    <col min="14" max="14" width="9" style="1" customWidth="1"/>
    <col min="15" max="1025" width="9.140625" style="1" customWidth="1"/>
  </cols>
  <sheetData>
    <row r="3" spans="1:17" x14ac:dyDescent="0.25">
      <c r="B3" s="1" t="s">
        <v>110</v>
      </c>
      <c r="C3" s="1" t="s">
        <v>111</v>
      </c>
    </row>
    <row r="4" spans="1:17" ht="15.75" x14ac:dyDescent="0.25">
      <c r="A4" s="6"/>
      <c r="B4" s="6" t="s">
        <v>27</v>
      </c>
      <c r="C4" s="6" t="s">
        <v>28</v>
      </c>
      <c r="D4" s="6" t="s">
        <v>29</v>
      </c>
      <c r="E4" s="6" t="s">
        <v>30</v>
      </c>
      <c r="F4" s="6" t="s">
        <v>89</v>
      </c>
      <c r="G4" s="6" t="s">
        <v>90</v>
      </c>
      <c r="H4" s="6" t="s">
        <v>91</v>
      </c>
      <c r="I4" s="6" t="s">
        <v>31</v>
      </c>
      <c r="J4" s="6" t="s">
        <v>32</v>
      </c>
      <c r="K4" s="6" t="s">
        <v>88</v>
      </c>
      <c r="L4" s="6"/>
      <c r="M4" s="6" t="s">
        <v>33</v>
      </c>
      <c r="N4" s="6" t="s">
        <v>34</v>
      </c>
      <c r="O4" s="6" t="s">
        <v>35</v>
      </c>
      <c r="P4" s="6" t="s">
        <v>94</v>
      </c>
      <c r="Q4" s="6" t="s">
        <v>36</v>
      </c>
    </row>
    <row r="5" spans="1:17" ht="15.75" x14ac:dyDescent="0.25">
      <c r="A5" s="6"/>
      <c r="B5" s="6">
        <v>75</v>
      </c>
      <c r="C5" s="6">
        <v>69</v>
      </c>
      <c r="D5" s="6">
        <f>B5^2</f>
        <v>5625</v>
      </c>
      <c r="E5" s="6">
        <f>C5^2</f>
        <v>4761</v>
      </c>
      <c r="F5" s="6">
        <f>B5*C5</f>
        <v>5175</v>
      </c>
      <c r="G5" s="6">
        <f>(B5-70)/10</f>
        <v>0.5</v>
      </c>
      <c r="H5" s="6">
        <f>(C5-65)/5</f>
        <v>0.8</v>
      </c>
      <c r="I5" s="6">
        <f>G5^2</f>
        <v>0.25</v>
      </c>
      <c r="J5" s="6">
        <f>H5^2</f>
        <v>0.64000000000000012</v>
      </c>
      <c r="K5" s="6">
        <f>G5*H5</f>
        <v>0.4</v>
      </c>
      <c r="L5" s="6"/>
      <c r="M5" s="6">
        <v>1</v>
      </c>
      <c r="N5" s="6">
        <v>1</v>
      </c>
      <c r="O5" s="6">
        <v>4</v>
      </c>
      <c r="P5" s="6">
        <f t="shared" ref="P5:P14" si="0">N5-O5</f>
        <v>-3</v>
      </c>
      <c r="Q5" s="6">
        <f t="shared" ref="Q5:Q14" si="1">P5^2</f>
        <v>9</v>
      </c>
    </row>
    <row r="6" spans="1:17" ht="15.75" x14ac:dyDescent="0.25">
      <c r="A6" s="6"/>
      <c r="B6" s="6">
        <v>70</v>
      </c>
      <c r="C6" s="6">
        <v>67</v>
      </c>
      <c r="D6" s="6">
        <f t="shared" ref="D6:D16" si="2">B6^2</f>
        <v>4900</v>
      </c>
      <c r="E6" s="6">
        <f t="shared" ref="E6:E16" si="3">C6^2</f>
        <v>4489</v>
      </c>
      <c r="F6" s="6">
        <f t="shared" ref="F6:F16" si="4">B6*C6</f>
        <v>4690</v>
      </c>
      <c r="G6" s="6">
        <f t="shared" ref="G6:G16" si="5">(B6-70)/10</f>
        <v>0</v>
      </c>
      <c r="H6" s="6">
        <f t="shared" ref="H6:H16" si="6">(C6-65)/5</f>
        <v>0.4</v>
      </c>
      <c r="I6" s="6">
        <f t="shared" ref="I6:I16" si="7">G6^2</f>
        <v>0</v>
      </c>
      <c r="J6" s="6">
        <f t="shared" ref="J6:J16" si="8">H6^2</f>
        <v>0.16000000000000003</v>
      </c>
      <c r="K6" s="6">
        <f t="shared" ref="K6:K16" si="9">G6*H6</f>
        <v>0</v>
      </c>
      <c r="L6" s="6"/>
      <c r="M6" s="6">
        <v>2</v>
      </c>
      <c r="N6" s="6">
        <v>5</v>
      </c>
      <c r="O6" s="6">
        <v>3</v>
      </c>
      <c r="P6" s="6">
        <f t="shared" si="0"/>
        <v>2</v>
      </c>
      <c r="Q6" s="6">
        <f t="shared" si="1"/>
        <v>4</v>
      </c>
    </row>
    <row r="7" spans="1:17" ht="15.75" x14ac:dyDescent="0.25">
      <c r="A7" s="6"/>
      <c r="B7" s="8">
        <v>80</v>
      </c>
      <c r="C7" s="8">
        <v>63</v>
      </c>
      <c r="D7" s="6">
        <f t="shared" si="2"/>
        <v>6400</v>
      </c>
      <c r="E7" s="6">
        <f t="shared" si="3"/>
        <v>3969</v>
      </c>
      <c r="F7" s="6">
        <f t="shared" si="4"/>
        <v>5040</v>
      </c>
      <c r="G7" s="6">
        <f t="shared" si="5"/>
        <v>1</v>
      </c>
      <c r="H7" s="6">
        <f t="shared" si="6"/>
        <v>-0.4</v>
      </c>
      <c r="I7" s="6">
        <f t="shared" si="7"/>
        <v>1</v>
      </c>
      <c r="J7" s="6">
        <f t="shared" si="8"/>
        <v>0.16000000000000003</v>
      </c>
      <c r="K7" s="6">
        <f t="shared" si="9"/>
        <v>-0.4</v>
      </c>
      <c r="L7" s="6"/>
      <c r="M7" s="6">
        <v>3</v>
      </c>
      <c r="N7" s="6">
        <v>2</v>
      </c>
      <c r="O7" s="6">
        <v>9</v>
      </c>
      <c r="P7" s="6">
        <f t="shared" si="0"/>
        <v>-7</v>
      </c>
      <c r="Q7" s="6">
        <f t="shared" si="1"/>
        <v>49</v>
      </c>
    </row>
    <row r="8" spans="1:17" ht="15.75" x14ac:dyDescent="0.25">
      <c r="A8" s="6"/>
      <c r="B8" s="6">
        <v>74</v>
      </c>
      <c r="C8" s="6">
        <v>68</v>
      </c>
      <c r="D8" s="6">
        <f t="shared" si="2"/>
        <v>5476</v>
      </c>
      <c r="E8" s="6">
        <f t="shared" si="3"/>
        <v>4624</v>
      </c>
      <c r="F8" s="6">
        <f t="shared" si="4"/>
        <v>5032</v>
      </c>
      <c r="G8" s="6">
        <f t="shared" si="5"/>
        <v>0.4</v>
      </c>
      <c r="H8" s="6">
        <f t="shared" si="6"/>
        <v>0.6</v>
      </c>
      <c r="I8" s="6">
        <f t="shared" si="7"/>
        <v>0.16000000000000003</v>
      </c>
      <c r="J8" s="6">
        <f t="shared" si="8"/>
        <v>0.36</v>
      </c>
      <c r="K8" s="6">
        <f t="shared" si="9"/>
        <v>0.24</v>
      </c>
      <c r="L8" s="6"/>
      <c r="M8" s="6">
        <v>4</v>
      </c>
      <c r="N8" s="6">
        <v>8</v>
      </c>
      <c r="O8" s="6">
        <v>6</v>
      </c>
      <c r="P8" s="6">
        <f t="shared" si="0"/>
        <v>2</v>
      </c>
      <c r="Q8" s="6">
        <f t="shared" si="1"/>
        <v>4</v>
      </c>
    </row>
    <row r="9" spans="1:17" ht="15.75" x14ac:dyDescent="0.25">
      <c r="A9" s="6"/>
      <c r="B9" s="6">
        <v>60</v>
      </c>
      <c r="C9" s="6">
        <v>65</v>
      </c>
      <c r="D9" s="6">
        <f t="shared" si="2"/>
        <v>3600</v>
      </c>
      <c r="E9" s="6">
        <f t="shared" si="3"/>
        <v>4225</v>
      </c>
      <c r="F9" s="6">
        <f t="shared" si="4"/>
        <v>3900</v>
      </c>
      <c r="G9" s="6">
        <f t="shared" si="5"/>
        <v>-1</v>
      </c>
      <c r="H9" s="6">
        <f t="shared" si="6"/>
        <v>0</v>
      </c>
      <c r="I9" s="6">
        <f t="shared" si="7"/>
        <v>1</v>
      </c>
      <c r="J9" s="6">
        <f t="shared" si="8"/>
        <v>0</v>
      </c>
      <c r="K9" s="6">
        <f t="shared" si="9"/>
        <v>0</v>
      </c>
      <c r="L9" s="6"/>
      <c r="M9" s="6">
        <v>5</v>
      </c>
      <c r="N9" s="6">
        <v>7</v>
      </c>
      <c r="O9" s="6">
        <v>5</v>
      </c>
      <c r="P9" s="6">
        <f t="shared" si="0"/>
        <v>2</v>
      </c>
      <c r="Q9" s="6">
        <f t="shared" si="1"/>
        <v>4</v>
      </c>
    </row>
    <row r="10" spans="1:17" ht="15.75" x14ac:dyDescent="0.25">
      <c r="A10" s="11" t="s">
        <v>98</v>
      </c>
      <c r="B10" s="6">
        <v>60</v>
      </c>
      <c r="C10" s="6">
        <v>63</v>
      </c>
      <c r="D10" s="6">
        <f t="shared" si="2"/>
        <v>3600</v>
      </c>
      <c r="E10" s="6">
        <f t="shared" si="3"/>
        <v>3969</v>
      </c>
      <c r="F10" s="6">
        <f t="shared" si="4"/>
        <v>3780</v>
      </c>
      <c r="G10" s="6">
        <f t="shared" si="5"/>
        <v>-1</v>
      </c>
      <c r="H10" s="6">
        <f t="shared" si="6"/>
        <v>-0.4</v>
      </c>
      <c r="I10" s="6">
        <f t="shared" si="7"/>
        <v>1</v>
      </c>
      <c r="J10" s="6">
        <f t="shared" si="8"/>
        <v>0.16000000000000003</v>
      </c>
      <c r="K10" s="6">
        <f t="shared" si="9"/>
        <v>0.4</v>
      </c>
      <c r="L10" s="6"/>
      <c r="M10" s="6">
        <v>6</v>
      </c>
      <c r="N10" s="6">
        <v>3</v>
      </c>
      <c r="O10" s="6">
        <v>1</v>
      </c>
      <c r="P10" s="6">
        <f t="shared" si="0"/>
        <v>2</v>
      </c>
      <c r="Q10" s="6">
        <f t="shared" si="1"/>
        <v>4</v>
      </c>
    </row>
    <row r="11" spans="1:17" ht="15.75" x14ac:dyDescent="0.25">
      <c r="A11" s="6"/>
      <c r="B11" s="8">
        <v>49</v>
      </c>
      <c r="C11" s="6">
        <v>63</v>
      </c>
      <c r="D11" s="6">
        <f t="shared" si="2"/>
        <v>2401</v>
      </c>
      <c r="E11" s="6">
        <f t="shared" si="3"/>
        <v>3969</v>
      </c>
      <c r="F11" s="6">
        <f t="shared" si="4"/>
        <v>3087</v>
      </c>
      <c r="G11" s="6">
        <f t="shared" si="5"/>
        <v>-2.1</v>
      </c>
      <c r="H11" s="6">
        <f t="shared" si="6"/>
        <v>-0.4</v>
      </c>
      <c r="I11" s="6">
        <f t="shared" si="7"/>
        <v>4.41</v>
      </c>
      <c r="J11" s="6">
        <f t="shared" si="8"/>
        <v>0.16000000000000003</v>
      </c>
      <c r="K11" s="6">
        <f t="shared" si="9"/>
        <v>0.84000000000000008</v>
      </c>
      <c r="L11" s="6"/>
      <c r="M11" s="6">
        <v>7</v>
      </c>
      <c r="N11" s="6">
        <v>9</v>
      </c>
      <c r="O11" s="6">
        <v>10</v>
      </c>
      <c r="P11" s="6">
        <f t="shared" si="0"/>
        <v>-1</v>
      </c>
      <c r="Q11" s="6">
        <f t="shared" si="1"/>
        <v>1</v>
      </c>
    </row>
    <row r="12" spans="1:17" ht="15.75" x14ac:dyDescent="0.25">
      <c r="A12" s="6"/>
      <c r="B12" s="6">
        <v>64</v>
      </c>
      <c r="C12" s="6">
        <v>65</v>
      </c>
      <c r="D12" s="6">
        <f t="shared" si="2"/>
        <v>4096</v>
      </c>
      <c r="E12" s="6">
        <f t="shared" si="3"/>
        <v>4225</v>
      </c>
      <c r="F12" s="6">
        <f t="shared" si="4"/>
        <v>4160</v>
      </c>
      <c r="G12" s="6">
        <f t="shared" si="5"/>
        <v>-0.6</v>
      </c>
      <c r="H12" s="6">
        <f t="shared" si="6"/>
        <v>0</v>
      </c>
      <c r="I12" s="6">
        <f t="shared" si="7"/>
        <v>0.36</v>
      </c>
      <c r="J12" s="6">
        <f t="shared" si="8"/>
        <v>0</v>
      </c>
      <c r="K12" s="6">
        <f t="shared" si="9"/>
        <v>0</v>
      </c>
      <c r="L12" s="6"/>
      <c r="M12" s="6">
        <v>8</v>
      </c>
      <c r="N12" s="6">
        <v>4</v>
      </c>
      <c r="O12" s="6">
        <v>2</v>
      </c>
      <c r="P12" s="6">
        <f t="shared" si="0"/>
        <v>2</v>
      </c>
      <c r="Q12" s="6">
        <f t="shared" si="1"/>
        <v>4</v>
      </c>
    </row>
    <row r="13" spans="1:17" ht="15.75" x14ac:dyDescent="0.25">
      <c r="A13" s="6"/>
      <c r="B13" s="6">
        <v>75</v>
      </c>
      <c r="C13" s="6">
        <v>65</v>
      </c>
      <c r="D13" s="6">
        <f t="shared" si="2"/>
        <v>5625</v>
      </c>
      <c r="E13" s="6">
        <f t="shared" si="3"/>
        <v>4225</v>
      </c>
      <c r="F13" s="6">
        <f t="shared" si="4"/>
        <v>4875</v>
      </c>
      <c r="G13" s="6">
        <f t="shared" si="5"/>
        <v>0.5</v>
      </c>
      <c r="H13" s="6">
        <f t="shared" si="6"/>
        <v>0</v>
      </c>
      <c r="I13" s="6">
        <f t="shared" si="7"/>
        <v>0.25</v>
      </c>
      <c r="J13" s="6">
        <f t="shared" si="8"/>
        <v>0</v>
      </c>
      <c r="K13" s="6">
        <f t="shared" si="9"/>
        <v>0</v>
      </c>
      <c r="L13" s="6"/>
      <c r="M13" s="6">
        <v>9</v>
      </c>
      <c r="N13" s="6">
        <v>10</v>
      </c>
      <c r="O13" s="6">
        <v>7</v>
      </c>
      <c r="P13" s="6">
        <f t="shared" si="0"/>
        <v>3</v>
      </c>
      <c r="Q13" s="6">
        <f t="shared" si="1"/>
        <v>9</v>
      </c>
    </row>
    <row r="14" spans="1:17" ht="15.75" x14ac:dyDescent="0.25">
      <c r="A14" s="6"/>
      <c r="B14" s="6">
        <v>80</v>
      </c>
      <c r="C14" s="8">
        <v>70</v>
      </c>
      <c r="D14" s="6">
        <f t="shared" si="2"/>
        <v>6400</v>
      </c>
      <c r="E14" s="6">
        <f t="shared" si="3"/>
        <v>4900</v>
      </c>
      <c r="F14" s="6">
        <f t="shared" si="4"/>
        <v>5600</v>
      </c>
      <c r="G14" s="6">
        <f t="shared" si="5"/>
        <v>1</v>
      </c>
      <c r="H14" s="6">
        <f t="shared" si="6"/>
        <v>1</v>
      </c>
      <c r="I14" s="6">
        <f t="shared" si="7"/>
        <v>1</v>
      </c>
      <c r="J14" s="6">
        <f t="shared" si="8"/>
        <v>1</v>
      </c>
      <c r="K14" s="6">
        <f t="shared" si="9"/>
        <v>1</v>
      </c>
      <c r="L14" s="6"/>
      <c r="M14" s="6">
        <v>10</v>
      </c>
      <c r="N14" s="6">
        <v>6</v>
      </c>
      <c r="O14" s="6">
        <v>8</v>
      </c>
      <c r="P14" s="6">
        <f t="shared" si="0"/>
        <v>-2</v>
      </c>
      <c r="Q14" s="6">
        <f t="shared" si="1"/>
        <v>4</v>
      </c>
    </row>
    <row r="15" spans="1:17" ht="15.75" x14ac:dyDescent="0.25">
      <c r="B15" s="6">
        <v>69</v>
      </c>
      <c r="C15" s="6">
        <v>65</v>
      </c>
      <c r="D15" s="6">
        <f t="shared" si="2"/>
        <v>4761</v>
      </c>
      <c r="E15" s="6">
        <f t="shared" si="3"/>
        <v>4225</v>
      </c>
      <c r="F15" s="6">
        <f t="shared" si="4"/>
        <v>4485</v>
      </c>
      <c r="G15" s="6">
        <f t="shared" si="5"/>
        <v>-0.1</v>
      </c>
      <c r="H15" s="6">
        <f t="shared" si="6"/>
        <v>0</v>
      </c>
      <c r="I15" s="6">
        <f t="shared" si="7"/>
        <v>1.0000000000000002E-2</v>
      </c>
      <c r="J15" s="6">
        <f t="shared" si="8"/>
        <v>0</v>
      </c>
      <c r="K15" s="6">
        <f t="shared" si="9"/>
        <v>0</v>
      </c>
      <c r="L15" s="6"/>
      <c r="M15" s="6"/>
      <c r="N15" s="6"/>
      <c r="O15" s="6"/>
      <c r="P15" s="6"/>
      <c r="Q15" s="6"/>
    </row>
    <row r="16" spans="1:17" ht="15.75" x14ac:dyDescent="0.25">
      <c r="A16" s="6"/>
      <c r="B16" s="6">
        <v>60</v>
      </c>
      <c r="C16" s="6">
        <v>65</v>
      </c>
      <c r="D16" s="6">
        <f t="shared" si="2"/>
        <v>3600</v>
      </c>
      <c r="E16" s="6">
        <f t="shared" si="3"/>
        <v>4225</v>
      </c>
      <c r="F16" s="6">
        <f t="shared" si="4"/>
        <v>3900</v>
      </c>
      <c r="G16" s="6">
        <f t="shared" si="5"/>
        <v>-1</v>
      </c>
      <c r="H16" s="6">
        <f t="shared" si="6"/>
        <v>0</v>
      </c>
      <c r="I16" s="6">
        <f t="shared" si="7"/>
        <v>1</v>
      </c>
      <c r="J16" s="6">
        <f t="shared" si="8"/>
        <v>0</v>
      </c>
      <c r="K16" s="6">
        <f t="shared" si="9"/>
        <v>0</v>
      </c>
      <c r="L16" s="6"/>
      <c r="M16" s="6" t="s">
        <v>17</v>
      </c>
      <c r="N16" s="6"/>
      <c r="O16" s="6" t="s">
        <v>99</v>
      </c>
      <c r="P16" s="6"/>
      <c r="Q16" s="6">
        <f>SUM(Q5:Q14)</f>
        <v>92</v>
      </c>
    </row>
    <row r="17" spans="1:17" ht="15.75" x14ac:dyDescent="0.25">
      <c r="A17" s="6"/>
      <c r="B17" s="6"/>
      <c r="C17" s="6"/>
      <c r="D17" s="6"/>
      <c r="E17" s="6"/>
      <c r="F17" s="6"/>
      <c r="G17" s="12" t="s">
        <v>92</v>
      </c>
      <c r="H17" s="12" t="s">
        <v>93</v>
      </c>
      <c r="I17" s="6"/>
      <c r="J17" s="6"/>
      <c r="K17" s="6"/>
      <c r="L17" s="6"/>
      <c r="M17" s="6"/>
      <c r="N17" s="6"/>
      <c r="O17" s="6"/>
      <c r="P17" s="6"/>
      <c r="Q17" s="6"/>
    </row>
    <row r="18" spans="1:17" ht="15.75" x14ac:dyDescent="0.25">
      <c r="A18" s="11" t="s">
        <v>17</v>
      </c>
      <c r="B18" s="6">
        <f>SUM(B5:B16)</f>
        <v>816</v>
      </c>
      <c r="C18" s="6">
        <f>SUM(C5:C16)</f>
        <v>788</v>
      </c>
      <c r="D18" s="6">
        <f>SUM(D5:D16)</f>
        <v>56484</v>
      </c>
      <c r="E18" s="6">
        <f>SUM(E5:E16)</f>
        <v>51806</v>
      </c>
      <c r="F18" s="6">
        <f>SUM(F5:F16)</f>
        <v>53724</v>
      </c>
      <c r="G18" s="6">
        <f t="shared" ref="G18:K18" si="10">SUM(G5:G16)</f>
        <v>-2.4000000000000004</v>
      </c>
      <c r="H18" s="6">
        <f t="shared" si="10"/>
        <v>1.6</v>
      </c>
      <c r="I18" s="6">
        <f t="shared" si="10"/>
        <v>10.44</v>
      </c>
      <c r="J18" s="6">
        <f t="shared" si="10"/>
        <v>2.6400000000000006</v>
      </c>
      <c r="K18" s="6">
        <f t="shared" si="10"/>
        <v>2.48</v>
      </c>
      <c r="L18" s="6"/>
      <c r="M18" s="6"/>
      <c r="N18" s="6"/>
      <c r="O18" s="6"/>
      <c r="P18" s="6"/>
      <c r="Q18" s="6"/>
    </row>
    <row r="19" spans="1:17" ht="15.7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10" t="s">
        <v>37</v>
      </c>
      <c r="O19" s="6"/>
      <c r="P19" s="6"/>
      <c r="Q19" s="6">
        <f>1-((6*Q16)/(10*(10^2-1)))</f>
        <v>0.44242424242424239</v>
      </c>
    </row>
    <row r="20" spans="1:17" ht="15.7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spans="1:17" ht="15.75" x14ac:dyDescent="0.25">
      <c r="A21" s="29" t="s">
        <v>38</v>
      </c>
      <c r="B21" s="15"/>
      <c r="C21" s="6">
        <f>((12*F18)-B18*C18)/SQRT((12*D18-B18^2)*(12*E18-C18^2))</f>
        <v>0.56953877897818594</v>
      </c>
      <c r="D21" s="6"/>
      <c r="E21" s="10" t="s">
        <v>39</v>
      </c>
      <c r="F21" s="6"/>
      <c r="G21" s="6"/>
      <c r="H21" s="6"/>
      <c r="I21" s="6"/>
      <c r="J21" s="6"/>
      <c r="K21" s="6"/>
      <c r="L21" s="6"/>
      <c r="M21" s="6"/>
      <c r="N21" s="10" t="s">
        <v>40</v>
      </c>
      <c r="O21" s="6"/>
      <c r="P21" s="6"/>
      <c r="Q21" s="6"/>
    </row>
    <row r="22" spans="1:17" ht="15.75" x14ac:dyDescent="0.25">
      <c r="A22" s="29"/>
      <c r="B22" s="6"/>
      <c r="C22" s="6">
        <f>(12*F18-B18*C18)/(12*D18-B18^2)</f>
        <v>0.14056224899598393</v>
      </c>
      <c r="D22" s="6"/>
      <c r="E22" s="10" t="s">
        <v>112</v>
      </c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spans="1:17" ht="15.75" x14ac:dyDescent="0.25">
      <c r="A23" s="29"/>
      <c r="B23" s="6"/>
      <c r="C23" s="6">
        <f>(12*F18-B18*C18)/(12*E18-C18^2)</f>
        <v>2.3076923076923075</v>
      </c>
      <c r="D23" s="6"/>
      <c r="E23" s="10" t="s">
        <v>113</v>
      </c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spans="1:17" ht="15.75" x14ac:dyDescent="0.2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spans="1:17" ht="15.75" x14ac:dyDescent="0.25">
      <c r="A25" s="29" t="s">
        <v>41</v>
      </c>
      <c r="B25" s="6"/>
      <c r="C25" s="6">
        <f>((12*K18)-G18*H18)/SQRT((12*I18-G18^2)*(12*J18-H18^2))</f>
        <v>0.56953877897818594</v>
      </c>
      <c r="D25" s="6"/>
      <c r="E25" s="6"/>
      <c r="F25" s="6"/>
      <c r="G25" s="6"/>
      <c r="H25" s="6"/>
      <c r="I25" s="6"/>
      <c r="J25" s="6"/>
      <c r="K25" s="6"/>
      <c r="L25" s="1" t="s">
        <v>27</v>
      </c>
      <c r="M25" s="6" t="s">
        <v>115</v>
      </c>
      <c r="N25" s="6"/>
      <c r="O25" s="6"/>
      <c r="P25" s="6"/>
      <c r="Q25" s="6"/>
    </row>
    <row r="26" spans="1:17" ht="15.75" x14ac:dyDescent="0.25">
      <c r="A26" s="29"/>
      <c r="B26" s="6"/>
      <c r="C26" s="6">
        <f>(5/10)*((12*K18)-G18*H18)/(12*I18-G18^2)</f>
        <v>0.14056224899598393</v>
      </c>
      <c r="D26" s="6"/>
      <c r="E26" s="6"/>
      <c r="F26" s="6"/>
      <c r="G26" s="6"/>
      <c r="H26" s="6"/>
      <c r="I26" s="6"/>
      <c r="J26" s="6"/>
      <c r="K26" s="6"/>
      <c r="L26" s="6">
        <v>70</v>
      </c>
      <c r="M26" s="6">
        <f>0.14*L26+56.15</f>
        <v>65.95</v>
      </c>
      <c r="N26" s="6"/>
      <c r="O26" s="6"/>
      <c r="P26" s="6"/>
      <c r="Q26" s="6"/>
    </row>
    <row r="27" spans="1:17" ht="15.75" x14ac:dyDescent="0.25">
      <c r="A27" s="29"/>
      <c r="B27" s="6"/>
      <c r="C27" s="6">
        <f>(10/5)*((12*K18)-G18*H18)/(12*J18-H18^2)</f>
        <v>2.3076923076923075</v>
      </c>
      <c r="D27" s="6"/>
      <c r="E27" s="6"/>
      <c r="F27" s="6"/>
      <c r="G27" s="6"/>
      <c r="H27" s="6"/>
      <c r="I27" s="6"/>
      <c r="J27" s="6"/>
      <c r="K27" s="6"/>
      <c r="L27" s="6">
        <v>80</v>
      </c>
      <c r="M27" s="6">
        <f>0.14*L27+56.15</f>
        <v>67.349999999999994</v>
      </c>
      <c r="N27" s="6"/>
      <c r="O27" s="6"/>
      <c r="P27" s="6"/>
      <c r="Q27" s="6"/>
    </row>
    <row r="28" spans="1:17" ht="15.75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spans="1:17" ht="15.75" x14ac:dyDescent="0.25">
      <c r="A29" s="6"/>
      <c r="B29" s="6"/>
      <c r="C29" s="6">
        <f>B18/12</f>
        <v>68</v>
      </c>
      <c r="D29" s="6"/>
      <c r="E29" s="6"/>
      <c r="F29" s="6"/>
      <c r="G29" s="6"/>
      <c r="H29" s="6"/>
      <c r="I29" s="6"/>
      <c r="J29" s="6"/>
      <c r="K29" s="6"/>
      <c r="L29" s="26">
        <v>76</v>
      </c>
      <c r="M29" s="8">
        <f>0.14*L29+56.15</f>
        <v>66.789999999999992</v>
      </c>
      <c r="N29" s="6"/>
      <c r="O29" s="6"/>
      <c r="P29" s="6"/>
      <c r="Q29" s="6"/>
    </row>
    <row r="30" spans="1:17" ht="15.75" x14ac:dyDescent="0.25">
      <c r="A30" s="6"/>
      <c r="B30" s="6"/>
      <c r="C30" s="6">
        <f>C18/12</f>
        <v>65.666666666666671</v>
      </c>
      <c r="D30" s="6"/>
      <c r="E30" s="6"/>
      <c r="F30" s="6"/>
      <c r="G30" s="6"/>
      <c r="H30" s="6"/>
      <c r="I30" s="6"/>
      <c r="J30" s="6"/>
      <c r="K30" s="6"/>
      <c r="N30" s="6"/>
      <c r="O30" s="6"/>
      <c r="P30" s="6"/>
      <c r="Q30" s="6"/>
    </row>
    <row r="31" spans="1:17" ht="15.7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N31" s="6"/>
      <c r="O31" s="6"/>
      <c r="P31" s="6"/>
      <c r="Q31" s="6"/>
    </row>
    <row r="32" spans="1:17" ht="15.75" x14ac:dyDescent="0.25">
      <c r="A32" s="6"/>
      <c r="C32" s="6" t="s">
        <v>42</v>
      </c>
      <c r="D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spans="1:17" ht="15.75" x14ac:dyDescent="0.25">
      <c r="A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spans="1:17" ht="15.75" x14ac:dyDescent="0.25">
      <c r="A34" s="6"/>
      <c r="B34" s="6"/>
      <c r="C34" s="6" t="s">
        <v>114</v>
      </c>
      <c r="D34" s="6"/>
      <c r="F34" s="6"/>
      <c r="G34" s="6"/>
      <c r="H34" s="6"/>
      <c r="I34" s="6"/>
      <c r="J34" s="6"/>
      <c r="K34" s="6"/>
      <c r="L34" s="6" t="s">
        <v>117</v>
      </c>
      <c r="M34" s="6" t="s">
        <v>28</v>
      </c>
      <c r="N34" s="6"/>
      <c r="O34" s="6"/>
      <c r="P34" s="6"/>
      <c r="Q34" s="6"/>
    </row>
    <row r="35" spans="1:17" ht="15.75" x14ac:dyDescent="0.25">
      <c r="A35" s="6"/>
      <c r="C35" s="6" t="s">
        <v>115</v>
      </c>
      <c r="D35" s="6"/>
      <c r="F35" s="6"/>
      <c r="G35" s="6"/>
      <c r="H35" s="6"/>
      <c r="I35" s="6"/>
      <c r="J35" s="6"/>
      <c r="K35" s="6"/>
      <c r="L35" s="6">
        <f>2.31*M35-83.7</f>
        <v>54.899999999999991</v>
      </c>
      <c r="M35" s="6">
        <v>60</v>
      </c>
      <c r="N35" s="6"/>
      <c r="O35" s="6"/>
      <c r="P35" s="6"/>
      <c r="Q35" s="6"/>
    </row>
    <row r="36" spans="1:17" ht="15.75" x14ac:dyDescent="0.25">
      <c r="A36" s="6"/>
      <c r="F36" s="6"/>
      <c r="G36" s="6"/>
      <c r="H36" s="6"/>
      <c r="I36" s="6"/>
      <c r="J36" s="6"/>
      <c r="K36" s="6"/>
      <c r="L36" s="6">
        <f>2.31*M36-83.7</f>
        <v>66.45</v>
      </c>
      <c r="M36" s="6">
        <v>65</v>
      </c>
      <c r="N36" s="6"/>
      <c r="O36" s="6"/>
      <c r="P36" s="6"/>
      <c r="Q36" s="6"/>
    </row>
    <row r="37" spans="1:17" ht="15.75" x14ac:dyDescent="0.25">
      <c r="A37" s="6"/>
      <c r="C37" s="6" t="s">
        <v>43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spans="1:17" ht="15.75" x14ac:dyDescent="0.25">
      <c r="A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spans="1:17" ht="15.75" x14ac:dyDescent="0.25">
      <c r="B39" s="6"/>
      <c r="C39" s="6" t="s">
        <v>116</v>
      </c>
      <c r="D39" s="6"/>
      <c r="L39" s="8">
        <f>2.31*M39-83.7</f>
        <v>59.519999999999996</v>
      </c>
      <c r="M39" s="26">
        <v>62</v>
      </c>
    </row>
    <row r="40" spans="1:17" ht="15.75" x14ac:dyDescent="0.25">
      <c r="B40" s="6"/>
      <c r="C40" s="6" t="s">
        <v>117</v>
      </c>
      <c r="D40" s="6"/>
    </row>
  </sheetData>
  <mergeCells count="2">
    <mergeCell ref="A21:A23"/>
    <mergeCell ref="A25:A27"/>
  </mergeCells>
  <pageMargins left="0.7" right="0.7" top="0.75" bottom="0.75" header="0.51180555555555496" footer="0.51180555555555496"/>
  <pageSetup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Graphical Representation</vt:lpstr>
      <vt:lpstr>Central Tendency</vt:lpstr>
      <vt:lpstr>Dispersion</vt:lpstr>
      <vt:lpstr>Skewness &amp; Kurtosis</vt:lpstr>
      <vt:lpstr>Correlation &amp; Regression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UIU</cp:lastModifiedBy>
  <cp:revision>1</cp:revision>
  <dcterms:created xsi:type="dcterms:W3CDTF">2006-09-16T00:00:00Z</dcterms:created>
  <dcterms:modified xsi:type="dcterms:W3CDTF">2025-02-28T04:33:14Z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