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rparnet30\doe\DDD\TED\__DOCS NUMERIQUE\06. Chantiers transversaux\2020 - Climat\Livrables EY\"/>
    </mc:Choice>
  </mc:AlternateContent>
  <bookViews>
    <workbookView xWindow="-105" yWindow="-105" windowWidth="19425" windowHeight="10425"/>
  </bookViews>
  <sheets>
    <sheet name="A LIRE" sheetId="8" r:id="rId1"/>
    <sheet name="Hypothèses_projet" sheetId="17" r:id="rId2"/>
    <sheet name="Resultats généraux" sheetId="9" r:id="rId3"/>
    <sheet name="Data_center" sheetId="3" r:id="rId4"/>
    <sheet name="Télétravail" sheetId="5" r:id="rId5"/>
    <sheet name="Fibre optique" sheetId="4" r:id="rId6"/>
    <sheet name="Terminaux_utilisateurs_IoT" sheetId="11" r:id="rId7"/>
    <sheet name="Extension 5G" sheetId="13" r:id="rId8"/>
    <sheet name="Pratiques agricoles" sheetId="14" r:id="rId9"/>
    <sheet name="Deforestation Imagerie Satellit" sheetId="16" r:id="rId10"/>
    <sheet name="Deforestation Drones" sheetId="15" r:id="rId11"/>
    <sheet name="BDD_sources" sheetId="7" r:id="rId12"/>
    <sheet name="FE_par_pays" sheetId="12" r:id="rId13"/>
    <sheet name="GLOSSAIRE" sheetId="10" r:id="rId14"/>
  </sheets>
  <calcPr calcId="162913"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0" i="9" l="1"/>
  <c r="B89" i="9"/>
  <c r="B88" i="9"/>
  <c r="B87" i="9"/>
  <c r="B98" i="9"/>
  <c r="B97" i="9"/>
  <c r="B96" i="9"/>
  <c r="B81" i="9"/>
  <c r="B80" i="9"/>
  <c r="B74" i="9"/>
  <c r="B73" i="9"/>
  <c r="B72" i="9"/>
  <c r="B71" i="9"/>
  <c r="B70" i="9"/>
  <c r="C18" i="14"/>
  <c r="C17" i="14"/>
  <c r="C6" i="17"/>
  <c r="C8" i="9"/>
  <c r="D8" i="9"/>
  <c r="E8" i="9"/>
  <c r="F8" i="9"/>
  <c r="G8" i="9"/>
  <c r="H8" i="9"/>
  <c r="I8" i="9"/>
  <c r="J8" i="9"/>
  <c r="K8" i="9"/>
  <c r="L8" i="9"/>
  <c r="M8" i="9"/>
  <c r="N8" i="9"/>
  <c r="O8" i="9"/>
  <c r="P8" i="9"/>
  <c r="Q8" i="9"/>
  <c r="R8" i="9"/>
  <c r="S8" i="9"/>
  <c r="T8" i="9"/>
  <c r="U8" i="9"/>
  <c r="V8" i="9"/>
  <c r="W8" i="9"/>
  <c r="X8" i="9"/>
  <c r="Y8" i="9"/>
  <c r="Z8" i="9"/>
  <c r="AA8" i="9"/>
  <c r="E121" i="3"/>
  <c r="E109" i="3"/>
  <c r="C163" i="3"/>
  <c r="D163" i="3"/>
  <c r="E163" i="3"/>
  <c r="F163" i="3"/>
  <c r="G163" i="3"/>
  <c r="H163" i="3"/>
  <c r="I163" i="3"/>
  <c r="J163" i="3"/>
  <c r="K163" i="3"/>
  <c r="L163" i="3"/>
  <c r="M163" i="3"/>
  <c r="N163" i="3"/>
  <c r="O163" i="3"/>
  <c r="P163" i="3"/>
  <c r="Q163" i="3"/>
  <c r="R163" i="3"/>
  <c r="S163" i="3"/>
  <c r="T163" i="3"/>
  <c r="U163" i="3"/>
  <c r="V163" i="3"/>
  <c r="W163" i="3"/>
  <c r="X163" i="3"/>
  <c r="Y163" i="3"/>
  <c r="Z163" i="3"/>
  <c r="AA163" i="3"/>
  <c r="AA165" i="3"/>
  <c r="Z165" i="3"/>
  <c r="Y165" i="3"/>
  <c r="X165" i="3"/>
  <c r="W165" i="3"/>
  <c r="E183" i="3"/>
  <c r="C26" i="3"/>
  <c r="E177" i="3"/>
  <c r="E180" i="3"/>
  <c r="C13" i="3"/>
  <c r="C16" i="3"/>
  <c r="V165" i="3"/>
  <c r="U165" i="3"/>
  <c r="T165" i="3"/>
  <c r="S165" i="3"/>
  <c r="R165" i="3"/>
  <c r="Q165" i="3"/>
  <c r="P165" i="3"/>
  <c r="O165" i="3"/>
  <c r="N165" i="3"/>
  <c r="M165" i="3"/>
  <c r="L165" i="3"/>
  <c r="K165" i="3"/>
  <c r="J165" i="3"/>
  <c r="I165" i="3"/>
  <c r="H165" i="3"/>
  <c r="G165" i="3"/>
  <c r="F165" i="3"/>
  <c r="E165" i="3"/>
  <c r="D165" i="3"/>
  <c r="AA164" i="3"/>
  <c r="Z164" i="3"/>
  <c r="Y164" i="3"/>
  <c r="X164" i="3"/>
  <c r="W164" i="3"/>
  <c r="E182" i="3"/>
  <c r="E174" i="3"/>
  <c r="E179" i="3"/>
  <c r="V164" i="3"/>
  <c r="U164" i="3"/>
  <c r="T164" i="3"/>
  <c r="S164" i="3"/>
  <c r="R164" i="3"/>
  <c r="Q164" i="3"/>
  <c r="P164" i="3"/>
  <c r="O164" i="3"/>
  <c r="N164" i="3"/>
  <c r="M164" i="3"/>
  <c r="L164" i="3"/>
  <c r="K164" i="3"/>
  <c r="J164" i="3"/>
  <c r="I164" i="3"/>
  <c r="H164" i="3"/>
  <c r="G164" i="3"/>
  <c r="F164" i="3"/>
  <c r="E164" i="3"/>
  <c r="D164" i="3"/>
  <c r="C164" i="3"/>
  <c r="C165" i="3"/>
  <c r="D8" i="16"/>
  <c r="E8" i="16"/>
  <c r="F8" i="16"/>
  <c r="G8" i="16"/>
  <c r="H8" i="16"/>
  <c r="I8" i="16"/>
  <c r="J8" i="16"/>
  <c r="K8" i="16"/>
  <c r="L8" i="16"/>
  <c r="M8" i="16"/>
  <c r="N8" i="16"/>
  <c r="O8" i="16"/>
  <c r="P8" i="16"/>
  <c r="Q8" i="16"/>
  <c r="R8" i="16"/>
  <c r="S8" i="16"/>
  <c r="T8" i="16"/>
  <c r="U8" i="16"/>
  <c r="V8" i="16"/>
  <c r="W8" i="16"/>
  <c r="X8" i="16"/>
  <c r="Y8" i="16"/>
  <c r="Z8" i="16"/>
  <c r="AA8" i="16"/>
  <c r="AB8" i="16"/>
  <c r="AA106" i="16"/>
  <c r="Z106" i="16"/>
  <c r="Y106" i="16"/>
  <c r="X106" i="16"/>
  <c r="W106" i="16"/>
  <c r="V106" i="16"/>
  <c r="U106" i="16"/>
  <c r="T106" i="16"/>
  <c r="S106" i="16"/>
  <c r="R106" i="16"/>
  <c r="Q106" i="16"/>
  <c r="P106" i="16"/>
  <c r="O106" i="16"/>
  <c r="N106" i="16"/>
  <c r="M106" i="16"/>
  <c r="L106" i="16"/>
  <c r="K106" i="16"/>
  <c r="J106" i="16"/>
  <c r="I106" i="16"/>
  <c r="H106" i="16"/>
  <c r="G106" i="16"/>
  <c r="F106" i="16"/>
  <c r="E106" i="16"/>
  <c r="D106" i="16"/>
  <c r="C106" i="16"/>
  <c r="AA88" i="16"/>
  <c r="Z88" i="16"/>
  <c r="Y88" i="16"/>
  <c r="X88" i="16"/>
  <c r="W88" i="16"/>
  <c r="V88" i="16"/>
  <c r="U88" i="16"/>
  <c r="T88" i="16"/>
  <c r="S88" i="16"/>
  <c r="R88" i="16"/>
  <c r="Q88" i="16"/>
  <c r="P88" i="16"/>
  <c r="O88" i="16"/>
  <c r="N88" i="16"/>
  <c r="M88" i="16"/>
  <c r="L88" i="16"/>
  <c r="K88" i="16"/>
  <c r="J88" i="16"/>
  <c r="I88" i="16"/>
  <c r="H88" i="16"/>
  <c r="G88" i="16"/>
  <c r="F88" i="16"/>
  <c r="E88" i="16"/>
  <c r="D88" i="16"/>
  <c r="C88" i="16"/>
  <c r="AA60" i="16"/>
  <c r="Z60" i="16"/>
  <c r="Y60" i="16"/>
  <c r="X60" i="16"/>
  <c r="W60" i="16"/>
  <c r="V60" i="16"/>
  <c r="U60" i="16"/>
  <c r="T60" i="16"/>
  <c r="S60" i="16"/>
  <c r="R60" i="16"/>
  <c r="Q60" i="16"/>
  <c r="P60" i="16"/>
  <c r="O60" i="16"/>
  <c r="N60" i="16"/>
  <c r="M60" i="16"/>
  <c r="L60" i="16"/>
  <c r="K60" i="16"/>
  <c r="J60" i="16"/>
  <c r="I60" i="16"/>
  <c r="H60" i="16"/>
  <c r="G60" i="16"/>
  <c r="F60" i="16"/>
  <c r="E60" i="16"/>
  <c r="D60" i="16"/>
  <c r="C60" i="16"/>
  <c r="AA28" i="16"/>
  <c r="Z28" i="16"/>
  <c r="Y28" i="16"/>
  <c r="X28" i="16"/>
  <c r="W28" i="16"/>
  <c r="V28" i="16"/>
  <c r="U28" i="16"/>
  <c r="T28" i="16"/>
  <c r="S28" i="16"/>
  <c r="R28" i="16"/>
  <c r="Q28" i="16"/>
  <c r="P28" i="16"/>
  <c r="O28" i="16"/>
  <c r="N28" i="16"/>
  <c r="M28" i="16"/>
  <c r="L28" i="16"/>
  <c r="K28" i="16"/>
  <c r="J28" i="16"/>
  <c r="I28" i="16"/>
  <c r="H28" i="16"/>
  <c r="G28" i="16"/>
  <c r="F28" i="16"/>
  <c r="E28" i="16"/>
  <c r="D28" i="16"/>
  <c r="C28" i="16"/>
  <c r="D14" i="15"/>
  <c r="E14" i="15"/>
  <c r="F14" i="15"/>
  <c r="G14" i="15"/>
  <c r="H14" i="15"/>
  <c r="I14" i="15"/>
  <c r="J14" i="15"/>
  <c r="K14" i="15"/>
  <c r="L14" i="15"/>
  <c r="M14" i="15"/>
  <c r="N14" i="15"/>
  <c r="O14" i="15"/>
  <c r="P14" i="15"/>
  <c r="Q14" i="15"/>
  <c r="R14" i="15"/>
  <c r="S14" i="15"/>
  <c r="T14" i="15"/>
  <c r="U14" i="15"/>
  <c r="V14" i="15"/>
  <c r="W14" i="15"/>
  <c r="X14" i="15"/>
  <c r="Y14" i="15"/>
  <c r="Z14" i="15"/>
  <c r="AA14" i="15"/>
  <c r="AB14" i="15"/>
  <c r="AA132" i="15"/>
  <c r="Z132" i="15"/>
  <c r="Y132" i="15"/>
  <c r="X132" i="15"/>
  <c r="W132" i="15"/>
  <c r="V132" i="15"/>
  <c r="U132" i="15"/>
  <c r="T132" i="15"/>
  <c r="S132" i="15"/>
  <c r="R132" i="15"/>
  <c r="Q132" i="15"/>
  <c r="P132" i="15"/>
  <c r="O132" i="15"/>
  <c r="N132" i="15"/>
  <c r="M132" i="15"/>
  <c r="L132" i="15"/>
  <c r="K132" i="15"/>
  <c r="J132" i="15"/>
  <c r="I132" i="15"/>
  <c r="H132" i="15"/>
  <c r="G132" i="15"/>
  <c r="F132" i="15"/>
  <c r="E132" i="15"/>
  <c r="D132" i="15"/>
  <c r="C132" i="15"/>
  <c r="AA80" i="15"/>
  <c r="Z80" i="15"/>
  <c r="Y80" i="15"/>
  <c r="X80" i="15"/>
  <c r="W80" i="15"/>
  <c r="V80" i="15"/>
  <c r="U80" i="15"/>
  <c r="T80" i="15"/>
  <c r="S80" i="15"/>
  <c r="R80" i="15"/>
  <c r="Q80" i="15"/>
  <c r="P80" i="15"/>
  <c r="O80" i="15"/>
  <c r="N80" i="15"/>
  <c r="M80" i="15"/>
  <c r="L80" i="15"/>
  <c r="K80" i="15"/>
  <c r="J80" i="15"/>
  <c r="I80" i="15"/>
  <c r="H80" i="15"/>
  <c r="G80" i="15"/>
  <c r="F80" i="15"/>
  <c r="E80" i="15"/>
  <c r="D80" i="15"/>
  <c r="C80" i="15"/>
  <c r="AA32" i="15"/>
  <c r="Z32" i="15"/>
  <c r="Y32" i="15"/>
  <c r="X32" i="15"/>
  <c r="W32" i="15"/>
  <c r="V32" i="15"/>
  <c r="U32" i="15"/>
  <c r="T32" i="15"/>
  <c r="S32" i="15"/>
  <c r="R32" i="15"/>
  <c r="Q32" i="15"/>
  <c r="P32" i="15"/>
  <c r="O32" i="15"/>
  <c r="N32" i="15"/>
  <c r="M32" i="15"/>
  <c r="L32" i="15"/>
  <c r="K32" i="15"/>
  <c r="J32" i="15"/>
  <c r="I32" i="15"/>
  <c r="H32" i="15"/>
  <c r="G32" i="15"/>
  <c r="F32" i="15"/>
  <c r="E32" i="15"/>
  <c r="D32" i="15"/>
  <c r="C32" i="15"/>
  <c r="D13" i="14"/>
  <c r="E13" i="14"/>
  <c r="F13" i="14"/>
  <c r="G13" i="14"/>
  <c r="H13" i="14"/>
  <c r="I13" i="14"/>
  <c r="J13" i="14"/>
  <c r="K13" i="14"/>
  <c r="L13" i="14"/>
  <c r="M13" i="14"/>
  <c r="N13" i="14"/>
  <c r="O13" i="14"/>
  <c r="P13" i="14"/>
  <c r="Q13" i="14"/>
  <c r="R13" i="14"/>
  <c r="S13" i="14"/>
  <c r="T13" i="14"/>
  <c r="U13" i="14"/>
  <c r="V13" i="14"/>
  <c r="W13" i="14"/>
  <c r="X13" i="14"/>
  <c r="Y13" i="14"/>
  <c r="Z13" i="14"/>
  <c r="AA13" i="14"/>
  <c r="AB13" i="14"/>
  <c r="AA21" i="14"/>
  <c r="AA120" i="14"/>
  <c r="Z21" i="14"/>
  <c r="Z120" i="14"/>
  <c r="Y21" i="14"/>
  <c r="Y120" i="14"/>
  <c r="X21" i="14"/>
  <c r="X120" i="14"/>
  <c r="W21" i="14"/>
  <c r="W120" i="14"/>
  <c r="V21" i="14"/>
  <c r="V120" i="14"/>
  <c r="U21" i="14"/>
  <c r="U120" i="14"/>
  <c r="T21" i="14"/>
  <c r="T120" i="14"/>
  <c r="S21" i="14"/>
  <c r="S120" i="14"/>
  <c r="R21" i="14"/>
  <c r="R120" i="14"/>
  <c r="Q21" i="14"/>
  <c r="Q120" i="14"/>
  <c r="P21" i="14"/>
  <c r="P120" i="14"/>
  <c r="O21" i="14"/>
  <c r="O120" i="14"/>
  <c r="N21" i="14"/>
  <c r="N120" i="14"/>
  <c r="M21" i="14"/>
  <c r="M120" i="14"/>
  <c r="L21" i="14"/>
  <c r="L120" i="14"/>
  <c r="K21" i="14"/>
  <c r="K120" i="14"/>
  <c r="J21" i="14"/>
  <c r="J120" i="14"/>
  <c r="I21" i="14"/>
  <c r="I120" i="14"/>
  <c r="H21" i="14"/>
  <c r="H120" i="14"/>
  <c r="G21" i="14"/>
  <c r="G120" i="14"/>
  <c r="F21" i="14"/>
  <c r="F120" i="14"/>
  <c r="E21" i="14"/>
  <c r="E120" i="14"/>
  <c r="D21" i="14"/>
  <c r="D120" i="14"/>
  <c r="C21" i="14"/>
  <c r="C120" i="14"/>
  <c r="AA99" i="14"/>
  <c r="Z99" i="14"/>
  <c r="Y99" i="14"/>
  <c r="X99" i="14"/>
  <c r="W99" i="14"/>
  <c r="V99" i="14"/>
  <c r="U99" i="14"/>
  <c r="T99" i="14"/>
  <c r="S99" i="14"/>
  <c r="R99" i="14"/>
  <c r="Q99" i="14"/>
  <c r="P99" i="14"/>
  <c r="O99" i="14"/>
  <c r="N99" i="14"/>
  <c r="M99" i="14"/>
  <c r="L99" i="14"/>
  <c r="K99" i="14"/>
  <c r="J99" i="14"/>
  <c r="I99" i="14"/>
  <c r="H99" i="14"/>
  <c r="G99" i="14"/>
  <c r="F99" i="14"/>
  <c r="E99" i="14"/>
  <c r="D99" i="14"/>
  <c r="C99" i="14"/>
  <c r="AA77" i="14"/>
  <c r="Z77" i="14"/>
  <c r="Y77" i="14"/>
  <c r="X77" i="14"/>
  <c r="W77" i="14"/>
  <c r="V77" i="14"/>
  <c r="U77" i="14"/>
  <c r="T77" i="14"/>
  <c r="S77" i="14"/>
  <c r="R77" i="14"/>
  <c r="Q77" i="14"/>
  <c r="P77" i="14"/>
  <c r="O77" i="14"/>
  <c r="N77" i="14"/>
  <c r="M77" i="14"/>
  <c r="L77" i="14"/>
  <c r="K77" i="14"/>
  <c r="J77" i="14"/>
  <c r="I77" i="14"/>
  <c r="H77" i="14"/>
  <c r="G77" i="14"/>
  <c r="F77" i="14"/>
  <c r="E77" i="14"/>
  <c r="D77" i="14"/>
  <c r="C77" i="14"/>
  <c r="B17" i="14"/>
  <c r="AA36" i="14"/>
  <c r="AA40" i="14"/>
  <c r="AB17" i="14"/>
  <c r="B18" i="14"/>
  <c r="AA101" i="14"/>
  <c r="AA103" i="14"/>
  <c r="AB18" i="14"/>
  <c r="AB14" i="14"/>
  <c r="AB36" i="14"/>
  <c r="C44" i="14"/>
  <c r="C48" i="14"/>
  <c r="C54" i="14"/>
  <c r="C58" i="14"/>
  <c r="C78" i="14"/>
  <c r="D78" i="14"/>
  <c r="E78" i="14"/>
  <c r="F78" i="14"/>
  <c r="G78" i="14"/>
  <c r="H78" i="14"/>
  <c r="I78" i="14"/>
  <c r="J78" i="14"/>
  <c r="K78" i="14"/>
  <c r="L78" i="14"/>
  <c r="M78" i="14"/>
  <c r="N78" i="14"/>
  <c r="O78" i="14"/>
  <c r="P78" i="14"/>
  <c r="Q78" i="14"/>
  <c r="R78" i="14"/>
  <c r="S78" i="14"/>
  <c r="T78" i="14"/>
  <c r="U78" i="14"/>
  <c r="V78" i="14"/>
  <c r="W78" i="14"/>
  <c r="X78" i="14"/>
  <c r="Y78" i="14"/>
  <c r="Z78" i="14"/>
  <c r="AA78" i="14"/>
  <c r="C55" i="14"/>
  <c r="C59" i="14"/>
  <c r="C79" i="14"/>
  <c r="D79" i="14"/>
  <c r="E79" i="14"/>
  <c r="F79" i="14"/>
  <c r="G79" i="14"/>
  <c r="H79" i="14"/>
  <c r="I79" i="14"/>
  <c r="J79" i="14"/>
  <c r="K79" i="14"/>
  <c r="L79" i="14"/>
  <c r="M79" i="14"/>
  <c r="N79" i="14"/>
  <c r="O79" i="14"/>
  <c r="P79" i="14"/>
  <c r="Q79" i="14"/>
  <c r="R79" i="14"/>
  <c r="S79" i="14"/>
  <c r="T79" i="14"/>
  <c r="U79" i="14"/>
  <c r="V79" i="14"/>
  <c r="W79" i="14"/>
  <c r="X79" i="14"/>
  <c r="Y79" i="14"/>
  <c r="Z79" i="14"/>
  <c r="AA79" i="14"/>
  <c r="C56" i="14"/>
  <c r="C60" i="14"/>
  <c r="C80" i="14"/>
  <c r="D80" i="14"/>
  <c r="E80" i="14"/>
  <c r="F80" i="14"/>
  <c r="G80" i="14"/>
  <c r="H80" i="14"/>
  <c r="I80" i="14"/>
  <c r="J80" i="14"/>
  <c r="K80" i="14"/>
  <c r="L80" i="14"/>
  <c r="M80" i="14"/>
  <c r="N80" i="14"/>
  <c r="O80" i="14"/>
  <c r="P80" i="14"/>
  <c r="Q80" i="14"/>
  <c r="R80" i="14"/>
  <c r="S80" i="14"/>
  <c r="T80" i="14"/>
  <c r="U80" i="14"/>
  <c r="V80" i="14"/>
  <c r="W80" i="14"/>
  <c r="X80" i="14"/>
  <c r="Y80" i="14"/>
  <c r="Z80" i="14"/>
  <c r="AA80" i="14"/>
  <c r="AB37" i="14"/>
  <c r="C82" i="14"/>
  <c r="D82" i="14"/>
  <c r="E82" i="14"/>
  <c r="F82" i="14"/>
  <c r="G82" i="14"/>
  <c r="H82" i="14"/>
  <c r="I82" i="14"/>
  <c r="J82" i="14"/>
  <c r="K82" i="14"/>
  <c r="L82" i="14"/>
  <c r="M82" i="14"/>
  <c r="N82" i="14"/>
  <c r="O82" i="14"/>
  <c r="P82" i="14"/>
  <c r="Q82" i="14"/>
  <c r="R82" i="14"/>
  <c r="S82" i="14"/>
  <c r="T82" i="14"/>
  <c r="U82" i="14"/>
  <c r="V82" i="14"/>
  <c r="W82" i="14"/>
  <c r="X82" i="14"/>
  <c r="Y82" i="14"/>
  <c r="Z82" i="14"/>
  <c r="AA82" i="14"/>
  <c r="C83" i="14"/>
  <c r="D83" i="14"/>
  <c r="E83" i="14"/>
  <c r="F83" i="14"/>
  <c r="G83" i="14"/>
  <c r="H83" i="14"/>
  <c r="I83" i="14"/>
  <c r="J83" i="14"/>
  <c r="K83" i="14"/>
  <c r="L83" i="14"/>
  <c r="M83" i="14"/>
  <c r="N83" i="14"/>
  <c r="O83" i="14"/>
  <c r="P83" i="14"/>
  <c r="Q83" i="14"/>
  <c r="R83" i="14"/>
  <c r="S83" i="14"/>
  <c r="T83" i="14"/>
  <c r="U83" i="14"/>
  <c r="V83" i="14"/>
  <c r="W83" i="14"/>
  <c r="X83" i="14"/>
  <c r="Y83" i="14"/>
  <c r="Z83" i="14"/>
  <c r="AA83" i="14"/>
  <c r="C84" i="14"/>
  <c r="D84" i="14"/>
  <c r="E84" i="14"/>
  <c r="F84" i="14"/>
  <c r="G84" i="14"/>
  <c r="H84" i="14"/>
  <c r="I84" i="14"/>
  <c r="J84" i="14"/>
  <c r="K84" i="14"/>
  <c r="L84" i="14"/>
  <c r="M84" i="14"/>
  <c r="N84" i="14"/>
  <c r="O84" i="14"/>
  <c r="P84" i="14"/>
  <c r="Q84" i="14"/>
  <c r="R84" i="14"/>
  <c r="S84" i="14"/>
  <c r="T84" i="14"/>
  <c r="U84" i="14"/>
  <c r="V84" i="14"/>
  <c r="W84" i="14"/>
  <c r="X84" i="14"/>
  <c r="Y84" i="14"/>
  <c r="Z84" i="14"/>
  <c r="AA84" i="14"/>
  <c r="AB38" i="14"/>
  <c r="C86" i="14"/>
  <c r="D86" i="14"/>
  <c r="E86" i="14"/>
  <c r="F86" i="14"/>
  <c r="G86" i="14"/>
  <c r="H86" i="14"/>
  <c r="I86" i="14"/>
  <c r="J86" i="14"/>
  <c r="K86" i="14"/>
  <c r="L86" i="14"/>
  <c r="M86" i="14"/>
  <c r="N86" i="14"/>
  <c r="O86" i="14"/>
  <c r="P86" i="14"/>
  <c r="Q86" i="14"/>
  <c r="R86" i="14"/>
  <c r="S86" i="14"/>
  <c r="T86" i="14"/>
  <c r="U86" i="14"/>
  <c r="V86" i="14"/>
  <c r="W86" i="14"/>
  <c r="X86" i="14"/>
  <c r="Y86" i="14"/>
  <c r="Z86" i="14"/>
  <c r="AA86" i="14"/>
  <c r="C87" i="14"/>
  <c r="D87" i="14"/>
  <c r="E87" i="14"/>
  <c r="F87" i="14"/>
  <c r="G87" i="14"/>
  <c r="H87" i="14"/>
  <c r="I87" i="14"/>
  <c r="J87" i="14"/>
  <c r="K87" i="14"/>
  <c r="L87" i="14"/>
  <c r="M87" i="14"/>
  <c r="N87" i="14"/>
  <c r="O87" i="14"/>
  <c r="P87" i="14"/>
  <c r="Q87" i="14"/>
  <c r="R87" i="14"/>
  <c r="S87" i="14"/>
  <c r="T87" i="14"/>
  <c r="U87" i="14"/>
  <c r="V87" i="14"/>
  <c r="W87" i="14"/>
  <c r="X87" i="14"/>
  <c r="Y87" i="14"/>
  <c r="Z87" i="14"/>
  <c r="AA87" i="14"/>
  <c r="C88" i="14"/>
  <c r="D88" i="14"/>
  <c r="E88" i="14"/>
  <c r="F88" i="14"/>
  <c r="G88" i="14"/>
  <c r="H88" i="14"/>
  <c r="I88" i="14"/>
  <c r="J88" i="14"/>
  <c r="K88" i="14"/>
  <c r="L88" i="14"/>
  <c r="M88" i="14"/>
  <c r="N88" i="14"/>
  <c r="O88" i="14"/>
  <c r="P88" i="14"/>
  <c r="Q88" i="14"/>
  <c r="R88" i="14"/>
  <c r="S88" i="14"/>
  <c r="T88" i="14"/>
  <c r="U88" i="14"/>
  <c r="V88" i="14"/>
  <c r="W88" i="14"/>
  <c r="X88" i="14"/>
  <c r="Y88" i="14"/>
  <c r="Z88" i="14"/>
  <c r="AA88" i="14"/>
  <c r="AB39" i="14"/>
  <c r="AB40" i="14"/>
  <c r="AB41" i="14"/>
  <c r="AA121" i="14"/>
  <c r="AA122" i="14"/>
  <c r="AA123" i="14"/>
  <c r="AA124" i="14"/>
  <c r="Z36" i="14"/>
  <c r="Y36" i="14"/>
  <c r="X36" i="14"/>
  <c r="W36" i="14"/>
  <c r="V36" i="14"/>
  <c r="U36" i="14"/>
  <c r="T36" i="14"/>
  <c r="S36" i="14"/>
  <c r="R36" i="14"/>
  <c r="Q36" i="14"/>
  <c r="P36" i="14"/>
  <c r="O36" i="14"/>
  <c r="N36" i="14"/>
  <c r="M36" i="14"/>
  <c r="L36" i="14"/>
  <c r="K36" i="14"/>
  <c r="J36" i="14"/>
  <c r="I36" i="14"/>
  <c r="H36" i="14"/>
  <c r="G36" i="14"/>
  <c r="F36" i="14"/>
  <c r="E36" i="14"/>
  <c r="D36" i="14"/>
  <c r="C36" i="14"/>
  <c r="D6" i="11"/>
  <c r="E6" i="11"/>
  <c r="F6" i="11"/>
  <c r="G6" i="11"/>
  <c r="H6" i="11"/>
  <c r="I6" i="11"/>
  <c r="J6" i="11"/>
  <c r="K6" i="11"/>
  <c r="L6" i="11"/>
  <c r="M6" i="11"/>
  <c r="N6" i="11"/>
  <c r="O6" i="11"/>
  <c r="P6" i="11"/>
  <c r="Q6" i="11"/>
  <c r="R6" i="11"/>
  <c r="S6" i="11"/>
  <c r="T6" i="11"/>
  <c r="U6" i="11"/>
  <c r="V6" i="11"/>
  <c r="W6" i="11"/>
  <c r="X6" i="11"/>
  <c r="Y6" i="11"/>
  <c r="Z6" i="11"/>
  <c r="AA6" i="11"/>
  <c r="AB6" i="11"/>
  <c r="AA147" i="11"/>
  <c r="Z147" i="11"/>
  <c r="Y147" i="11"/>
  <c r="X147" i="11"/>
  <c r="W147" i="11"/>
  <c r="V147" i="11"/>
  <c r="U147" i="11"/>
  <c r="T147" i="11"/>
  <c r="S147" i="11"/>
  <c r="R147" i="11"/>
  <c r="Q147" i="11"/>
  <c r="P147" i="11"/>
  <c r="O147" i="11"/>
  <c r="N147" i="11"/>
  <c r="M147" i="11"/>
  <c r="L147" i="11"/>
  <c r="K147" i="11"/>
  <c r="J147" i="11"/>
  <c r="I147" i="11"/>
  <c r="H147" i="11"/>
  <c r="G147" i="11"/>
  <c r="F147" i="11"/>
  <c r="E147" i="11"/>
  <c r="D147" i="11"/>
  <c r="C147" i="11"/>
  <c r="AA30" i="11"/>
  <c r="Z30" i="11"/>
  <c r="Y30" i="11"/>
  <c r="X30" i="11"/>
  <c r="W30" i="11"/>
  <c r="V30" i="11"/>
  <c r="U30" i="11"/>
  <c r="T30" i="11"/>
  <c r="S30" i="11"/>
  <c r="R30" i="11"/>
  <c r="Q30" i="11"/>
  <c r="P30" i="11"/>
  <c r="O30" i="11"/>
  <c r="N30" i="11"/>
  <c r="M30" i="11"/>
  <c r="L30" i="11"/>
  <c r="K30" i="11"/>
  <c r="J30" i="11"/>
  <c r="I30" i="11"/>
  <c r="H30" i="11"/>
  <c r="G30" i="11"/>
  <c r="F30" i="11"/>
  <c r="E30" i="11"/>
  <c r="D30" i="11"/>
  <c r="C140" i="3"/>
  <c r="D140" i="3"/>
  <c r="E140" i="3"/>
  <c r="F140" i="3"/>
  <c r="G140" i="3"/>
  <c r="H140" i="3"/>
  <c r="I140" i="3"/>
  <c r="J140" i="3"/>
  <c r="K140" i="3"/>
  <c r="L140" i="3"/>
  <c r="M140" i="3"/>
  <c r="N140" i="3"/>
  <c r="O140" i="3"/>
  <c r="P140" i="3"/>
  <c r="Q140" i="3"/>
  <c r="R140" i="3"/>
  <c r="S140" i="3"/>
  <c r="T140" i="3"/>
  <c r="U140" i="3"/>
  <c r="V140" i="3"/>
  <c r="W140" i="3"/>
  <c r="X140" i="3"/>
  <c r="Y140" i="3"/>
  <c r="Z140" i="3"/>
  <c r="AA140" i="3"/>
  <c r="C101" i="3"/>
  <c r="D101" i="3"/>
  <c r="E101" i="3"/>
  <c r="F101" i="3"/>
  <c r="G101" i="3"/>
  <c r="H101" i="3"/>
  <c r="I101" i="3"/>
  <c r="J101" i="3"/>
  <c r="K101" i="3"/>
  <c r="L101" i="3"/>
  <c r="M101" i="3"/>
  <c r="N101" i="3"/>
  <c r="O101" i="3"/>
  <c r="P101" i="3"/>
  <c r="Q101" i="3"/>
  <c r="R101" i="3"/>
  <c r="S101" i="3"/>
  <c r="T101" i="3"/>
  <c r="U101" i="3"/>
  <c r="V101" i="3"/>
  <c r="W101" i="3"/>
  <c r="X101" i="3"/>
  <c r="Y101" i="3"/>
  <c r="Z101" i="3"/>
  <c r="AA101" i="3"/>
  <c r="C82" i="3"/>
  <c r="D82" i="3"/>
  <c r="E82" i="3"/>
  <c r="F82" i="3"/>
  <c r="G82" i="3"/>
  <c r="H82" i="3"/>
  <c r="I82" i="3"/>
  <c r="J82" i="3"/>
  <c r="K82" i="3"/>
  <c r="L82" i="3"/>
  <c r="M82" i="3"/>
  <c r="N82" i="3"/>
  <c r="O82" i="3"/>
  <c r="P82" i="3"/>
  <c r="Q82" i="3"/>
  <c r="R82" i="3"/>
  <c r="S82" i="3"/>
  <c r="T82" i="3"/>
  <c r="U82" i="3"/>
  <c r="V82" i="3"/>
  <c r="W82" i="3"/>
  <c r="X82" i="3"/>
  <c r="Y82" i="3"/>
  <c r="Z82" i="3"/>
  <c r="AA82" i="3"/>
  <c r="D2" i="3"/>
  <c r="E2" i="3"/>
  <c r="F2" i="3"/>
  <c r="G2" i="3"/>
  <c r="H2" i="3"/>
  <c r="I2" i="3"/>
  <c r="J2" i="3"/>
  <c r="K2" i="3"/>
  <c r="L2" i="3"/>
  <c r="M2" i="3"/>
  <c r="N2" i="3"/>
  <c r="O2" i="3"/>
  <c r="P2" i="3"/>
  <c r="Q2" i="3"/>
  <c r="R2" i="3"/>
  <c r="S2" i="3"/>
  <c r="T2" i="3"/>
  <c r="U2" i="3"/>
  <c r="V2" i="3"/>
  <c r="W2" i="3"/>
  <c r="X2" i="3"/>
  <c r="Y2" i="3"/>
  <c r="Z2" i="3"/>
  <c r="AA2" i="3"/>
  <c r="AB2" i="3"/>
  <c r="AC2" i="3"/>
  <c r="AD2" i="3"/>
  <c r="AE2" i="3"/>
  <c r="D3" i="5"/>
  <c r="E3" i="5"/>
  <c r="F3" i="5"/>
  <c r="G3" i="5"/>
  <c r="H3" i="5"/>
  <c r="I3" i="5"/>
  <c r="J3" i="5"/>
  <c r="K3" i="5"/>
  <c r="L3" i="5"/>
  <c r="M3" i="5"/>
  <c r="N3" i="5"/>
  <c r="O3" i="5"/>
  <c r="P3" i="5"/>
  <c r="Q3" i="5"/>
  <c r="R3" i="5"/>
  <c r="S3" i="5"/>
  <c r="T3" i="5"/>
  <c r="U3" i="5"/>
  <c r="V3" i="5"/>
  <c r="W3" i="5"/>
  <c r="X3" i="5"/>
  <c r="Y3" i="5"/>
  <c r="Z3" i="5"/>
  <c r="AA3" i="5"/>
  <c r="AB3" i="5"/>
  <c r="C48" i="5"/>
  <c r="D48" i="5"/>
  <c r="E48" i="5"/>
  <c r="F48" i="5"/>
  <c r="G48" i="5"/>
  <c r="H48" i="5"/>
  <c r="I48" i="5"/>
  <c r="J48" i="5"/>
  <c r="K48" i="5"/>
  <c r="L48" i="5"/>
  <c r="M48" i="5"/>
  <c r="N48" i="5"/>
  <c r="O48" i="5"/>
  <c r="P48" i="5"/>
  <c r="Q48" i="5"/>
  <c r="R48" i="5"/>
  <c r="S48" i="5"/>
  <c r="T48" i="5"/>
  <c r="U48" i="5"/>
  <c r="V48" i="5"/>
  <c r="W48" i="5"/>
  <c r="X48" i="5"/>
  <c r="Y48" i="5"/>
  <c r="Z48" i="5"/>
  <c r="AA48" i="5"/>
  <c r="B230" i="4"/>
  <c r="B231" i="4"/>
  <c r="B232" i="4"/>
  <c r="B233" i="4"/>
  <c r="B234" i="4"/>
  <c r="B235" i="4"/>
  <c r="B236" i="4"/>
  <c r="B237" i="4"/>
  <c r="B238" i="4"/>
  <c r="B239" i="4"/>
  <c r="B240" i="4"/>
  <c r="B241" i="4"/>
  <c r="B242" i="4"/>
  <c r="B243" i="4"/>
  <c r="B244" i="4"/>
  <c r="B245" i="4"/>
  <c r="B246" i="4"/>
  <c r="B247" i="4"/>
  <c r="B248" i="4"/>
  <c r="B249" i="4"/>
  <c r="B250" i="4"/>
  <c r="B251" i="4"/>
  <c r="B252" i="4"/>
  <c r="B253" i="4"/>
  <c r="B254" i="4"/>
  <c r="C199" i="4"/>
  <c r="D199" i="4"/>
  <c r="E199" i="4"/>
  <c r="F199" i="4"/>
  <c r="G199" i="4"/>
  <c r="H199" i="4"/>
  <c r="I199" i="4"/>
  <c r="J199" i="4"/>
  <c r="K199" i="4"/>
  <c r="L199" i="4"/>
  <c r="M199" i="4"/>
  <c r="N199" i="4"/>
  <c r="O199" i="4"/>
  <c r="P199" i="4"/>
  <c r="Q199" i="4"/>
  <c r="R199" i="4"/>
  <c r="S199" i="4"/>
  <c r="T199" i="4"/>
  <c r="U199" i="4"/>
  <c r="V199" i="4"/>
  <c r="W199" i="4"/>
  <c r="X199" i="4"/>
  <c r="Y199" i="4"/>
  <c r="Z199" i="4"/>
  <c r="AA199" i="4"/>
  <c r="C136" i="4"/>
  <c r="D136" i="4"/>
  <c r="E136" i="4"/>
  <c r="F136" i="4"/>
  <c r="G136" i="4"/>
  <c r="H136" i="4"/>
  <c r="I136" i="4"/>
  <c r="J136" i="4"/>
  <c r="K136" i="4"/>
  <c r="L136" i="4"/>
  <c r="M136" i="4"/>
  <c r="N136" i="4"/>
  <c r="O136" i="4"/>
  <c r="P136" i="4"/>
  <c r="Q136" i="4"/>
  <c r="R136" i="4"/>
  <c r="S136" i="4"/>
  <c r="T136" i="4"/>
  <c r="U136" i="4"/>
  <c r="V136" i="4"/>
  <c r="W136" i="4"/>
  <c r="X136" i="4"/>
  <c r="Y136" i="4"/>
  <c r="Z136" i="4"/>
  <c r="AA136" i="4"/>
  <c r="C82" i="4"/>
  <c r="D82" i="4"/>
  <c r="E82" i="4"/>
  <c r="F82" i="4"/>
  <c r="G82" i="4"/>
  <c r="H82" i="4"/>
  <c r="I82" i="4"/>
  <c r="J82" i="4"/>
  <c r="K82" i="4"/>
  <c r="L82" i="4"/>
  <c r="M82" i="4"/>
  <c r="N82" i="4"/>
  <c r="O82" i="4"/>
  <c r="P82" i="4"/>
  <c r="Q82" i="4"/>
  <c r="R82" i="4"/>
  <c r="S82" i="4"/>
  <c r="T82" i="4"/>
  <c r="U82" i="4"/>
  <c r="V82" i="4"/>
  <c r="W82" i="4"/>
  <c r="X82" i="4"/>
  <c r="Y82" i="4"/>
  <c r="Z82" i="4"/>
  <c r="AA82" i="4"/>
  <c r="C57" i="4"/>
  <c r="D57" i="4"/>
  <c r="E57" i="4"/>
  <c r="F57" i="4"/>
  <c r="G57" i="4"/>
  <c r="H57" i="4"/>
  <c r="I57" i="4"/>
  <c r="J57" i="4"/>
  <c r="K57" i="4"/>
  <c r="L57" i="4"/>
  <c r="M57" i="4"/>
  <c r="N57" i="4"/>
  <c r="O57" i="4"/>
  <c r="P57" i="4"/>
  <c r="Q57" i="4"/>
  <c r="R57" i="4"/>
  <c r="S57" i="4"/>
  <c r="T57" i="4"/>
  <c r="U57" i="4"/>
  <c r="V57" i="4"/>
  <c r="W57" i="4"/>
  <c r="X57" i="4"/>
  <c r="Y57" i="4"/>
  <c r="Z57" i="4"/>
  <c r="AA57" i="4"/>
  <c r="C31" i="4"/>
  <c r="D31" i="4"/>
  <c r="E31" i="4"/>
  <c r="F31" i="4"/>
  <c r="G31" i="4"/>
  <c r="H31" i="4"/>
  <c r="I31" i="4"/>
  <c r="J31" i="4"/>
  <c r="K31" i="4"/>
  <c r="L31" i="4"/>
  <c r="M31" i="4"/>
  <c r="N31" i="4"/>
  <c r="O31" i="4"/>
  <c r="P31" i="4"/>
  <c r="Q31" i="4"/>
  <c r="R31" i="4"/>
  <c r="S31" i="4"/>
  <c r="T31" i="4"/>
  <c r="U31" i="4"/>
  <c r="V31" i="4"/>
  <c r="W31" i="4"/>
  <c r="X31" i="4"/>
  <c r="Y31" i="4"/>
  <c r="Z31" i="4"/>
  <c r="AA31" i="4"/>
  <c r="AA202" i="4"/>
  <c r="B12" i="4"/>
  <c r="AB12" i="4"/>
  <c r="Z202" i="4"/>
  <c r="AA12" i="4"/>
  <c r="Y202" i="4"/>
  <c r="Z12" i="4"/>
  <c r="X202" i="4"/>
  <c r="Y12" i="4"/>
  <c r="W59" i="4" a="1"/>
  <c r="W59" i="4"/>
  <c r="W203" i="4"/>
  <c r="W201" i="4"/>
  <c r="W200" i="4"/>
  <c r="W202" i="4"/>
  <c r="X12" i="4"/>
  <c r="N230" i="4"/>
  <c r="C257" i="4"/>
  <c r="N231" i="4"/>
  <c r="N232" i="4"/>
  <c r="N233" i="4"/>
  <c r="N234" i="4"/>
  <c r="N235" i="4"/>
  <c r="N236" i="4"/>
  <c r="N237" i="4"/>
  <c r="N238" i="4"/>
  <c r="N239" i="4"/>
  <c r="N240" i="4"/>
  <c r="N241" i="4"/>
  <c r="N242" i="4"/>
  <c r="N243" i="4"/>
  <c r="N244" i="4"/>
  <c r="N245" i="4"/>
  <c r="N246" i="4"/>
  <c r="N247" i="4"/>
  <c r="N248" i="4"/>
  <c r="N249" i="4"/>
  <c r="C249" i="4"/>
  <c r="H249" i="4"/>
  <c r="C230" i="4"/>
  <c r="H230" i="4"/>
  <c r="I249" i="4"/>
  <c r="C60" i="4"/>
  <c r="D60" i="4"/>
  <c r="E60" i="4"/>
  <c r="F60" i="4"/>
  <c r="G60" i="4"/>
  <c r="H60" i="4"/>
  <c r="I60" i="4"/>
  <c r="J60" i="4"/>
  <c r="K60" i="4"/>
  <c r="L60" i="4"/>
  <c r="M60" i="4"/>
  <c r="N60" i="4"/>
  <c r="O60" i="4"/>
  <c r="P60" i="4"/>
  <c r="Q60" i="4"/>
  <c r="R60" i="4"/>
  <c r="S60" i="4"/>
  <c r="T60" i="4"/>
  <c r="U60" i="4"/>
  <c r="V60" i="4"/>
  <c r="V59" i="4" a="1"/>
  <c r="V59" i="4"/>
  <c r="V203" i="4"/>
  <c r="E212" i="4"/>
  <c r="C16" i="4"/>
  <c r="C17" i="4"/>
  <c r="E207" i="4"/>
  <c r="E218" i="4"/>
  <c r="V201" i="4"/>
  <c r="V200" i="4"/>
  <c r="V202" i="4"/>
  <c r="W12" i="4"/>
  <c r="C248" i="4"/>
  <c r="H248" i="4"/>
  <c r="I248" i="4"/>
  <c r="U59" i="4" a="1"/>
  <c r="U59" i="4"/>
  <c r="U203" i="4"/>
  <c r="U201" i="4"/>
  <c r="U200" i="4"/>
  <c r="U202" i="4"/>
  <c r="V12" i="4"/>
  <c r="C247" i="4"/>
  <c r="H247" i="4"/>
  <c r="I247" i="4"/>
  <c r="T59" i="4" a="1"/>
  <c r="T59" i="4"/>
  <c r="T203" i="4"/>
  <c r="T201" i="4"/>
  <c r="T200" i="4"/>
  <c r="T202" i="4"/>
  <c r="U12" i="4"/>
  <c r="C246" i="4"/>
  <c r="H246" i="4"/>
  <c r="I246" i="4"/>
  <c r="S59" i="4" a="1"/>
  <c r="S59" i="4"/>
  <c r="S203" i="4"/>
  <c r="S201" i="4"/>
  <c r="S200" i="4"/>
  <c r="S202" i="4"/>
  <c r="T12" i="4"/>
  <c r="C245" i="4"/>
  <c r="H245" i="4"/>
  <c r="I245" i="4"/>
  <c r="R59" i="4" a="1"/>
  <c r="R59" i="4"/>
  <c r="R203" i="4"/>
  <c r="R201" i="4"/>
  <c r="R200" i="4"/>
  <c r="R202" i="4"/>
  <c r="S12" i="4"/>
  <c r="C244" i="4"/>
  <c r="H244" i="4"/>
  <c r="I244" i="4"/>
  <c r="Q59" i="4" a="1"/>
  <c r="Q59" i="4"/>
  <c r="Q203" i="4"/>
  <c r="Q201" i="4"/>
  <c r="Q200" i="4"/>
  <c r="Q202" i="4"/>
  <c r="R12" i="4"/>
  <c r="C243" i="4"/>
  <c r="H243" i="4"/>
  <c r="I243" i="4"/>
  <c r="P59" i="4" a="1"/>
  <c r="P59" i="4"/>
  <c r="P203" i="4"/>
  <c r="P201" i="4"/>
  <c r="P200" i="4"/>
  <c r="P202" i="4"/>
  <c r="Q12" i="4"/>
  <c r="C242" i="4"/>
  <c r="H242" i="4"/>
  <c r="I242" i="4"/>
  <c r="O59" i="4" a="1"/>
  <c r="O59" i="4"/>
  <c r="O203" i="4"/>
  <c r="O201" i="4"/>
  <c r="O200" i="4"/>
  <c r="O202" i="4"/>
  <c r="P12" i="4"/>
  <c r="C241" i="4"/>
  <c r="H241" i="4"/>
  <c r="I241" i="4"/>
  <c r="N59" i="4" a="1"/>
  <c r="N59" i="4"/>
  <c r="N203" i="4"/>
  <c r="N201" i="4"/>
  <c r="N200" i="4"/>
  <c r="N202" i="4"/>
  <c r="O12" i="4"/>
  <c r="C240" i="4"/>
  <c r="H240" i="4"/>
  <c r="I240" i="4"/>
  <c r="M59" i="4" a="1"/>
  <c r="M59" i="4"/>
  <c r="M203" i="4"/>
  <c r="M201" i="4"/>
  <c r="M200" i="4"/>
  <c r="M202" i="4"/>
  <c r="N12" i="4"/>
  <c r="C239" i="4"/>
  <c r="H239" i="4"/>
  <c r="I239" i="4"/>
  <c r="L59" i="4" a="1"/>
  <c r="L59" i="4"/>
  <c r="L203" i="4"/>
  <c r="L201" i="4"/>
  <c r="L200" i="4"/>
  <c r="L202" i="4"/>
  <c r="M12" i="4"/>
  <c r="C238" i="4"/>
  <c r="H238" i="4"/>
  <c r="I238" i="4"/>
  <c r="K59" i="4" a="1"/>
  <c r="K59" i="4"/>
  <c r="K203" i="4"/>
  <c r="K201" i="4"/>
  <c r="K200" i="4"/>
  <c r="K202" i="4"/>
  <c r="L12" i="4"/>
  <c r="C237" i="4"/>
  <c r="H237" i="4"/>
  <c r="I237" i="4"/>
  <c r="J59" i="4" a="1"/>
  <c r="J59" i="4"/>
  <c r="J203" i="4"/>
  <c r="J201" i="4"/>
  <c r="J200" i="4"/>
  <c r="J202" i="4"/>
  <c r="K12" i="4"/>
  <c r="C236" i="4"/>
  <c r="H236" i="4"/>
  <c r="I236" i="4"/>
  <c r="I59" i="4" a="1"/>
  <c r="I59" i="4"/>
  <c r="I203" i="4"/>
  <c r="I201" i="4"/>
  <c r="I200" i="4"/>
  <c r="I202" i="4"/>
  <c r="J12" i="4"/>
  <c r="C235" i="4"/>
  <c r="H235" i="4"/>
  <c r="I235" i="4"/>
  <c r="H59" i="4" a="1"/>
  <c r="H59" i="4"/>
  <c r="H203" i="4"/>
  <c r="H201" i="4"/>
  <c r="H200" i="4"/>
  <c r="H202" i="4"/>
  <c r="I12" i="4"/>
  <c r="C234" i="4"/>
  <c r="H234" i="4"/>
  <c r="I234" i="4"/>
  <c r="G59" i="4" a="1"/>
  <c r="G59" i="4"/>
  <c r="G203" i="4"/>
  <c r="G201" i="4"/>
  <c r="G200" i="4"/>
  <c r="G202" i="4"/>
  <c r="H12" i="4"/>
  <c r="C233" i="4"/>
  <c r="H233" i="4"/>
  <c r="I233" i="4"/>
  <c r="F59" i="4" a="1"/>
  <c r="F59" i="4"/>
  <c r="F203" i="4"/>
  <c r="F201" i="4"/>
  <c r="F200" i="4"/>
  <c r="F202" i="4"/>
  <c r="G12" i="4"/>
  <c r="C232" i="4"/>
  <c r="H232" i="4"/>
  <c r="I232" i="4"/>
  <c r="E59" i="4" a="1"/>
  <c r="E59" i="4"/>
  <c r="E203" i="4"/>
  <c r="E201" i="4"/>
  <c r="E200" i="4"/>
  <c r="E202" i="4"/>
  <c r="F12" i="4"/>
  <c r="AA142" i="4"/>
  <c r="B11" i="4"/>
  <c r="AB11" i="4"/>
  <c r="Z142" i="4"/>
  <c r="AA11" i="4"/>
  <c r="Y142" i="4"/>
  <c r="Z11" i="4"/>
  <c r="X142" i="4"/>
  <c r="Y11" i="4"/>
  <c r="W144" i="4"/>
  <c r="W137" i="4"/>
  <c r="W138" i="4"/>
  <c r="W139" i="4"/>
  <c r="W35" i="4" a="1"/>
  <c r="W35" i="4"/>
  <c r="W143" i="4"/>
  <c r="W140" i="4"/>
  <c r="W141" i="4"/>
  <c r="W142" i="4"/>
  <c r="X11" i="4"/>
  <c r="V144" i="4"/>
  <c r="E165" i="4"/>
  <c r="E167" i="4"/>
  <c r="E168" i="4"/>
  <c r="V137" i="4"/>
  <c r="E174" i="4"/>
  <c r="E175" i="4"/>
  <c r="E176" i="4"/>
  <c r="E177" i="4"/>
  <c r="V138" i="4"/>
  <c r="E170" i="4"/>
  <c r="E171" i="4"/>
  <c r="E172" i="4"/>
  <c r="V139" i="4"/>
  <c r="L230" i="4"/>
  <c r="L231" i="4"/>
  <c r="L232" i="4"/>
  <c r="L233" i="4"/>
  <c r="L234" i="4"/>
  <c r="L235" i="4"/>
  <c r="L236" i="4"/>
  <c r="L237" i="4"/>
  <c r="L238" i="4"/>
  <c r="L239" i="4"/>
  <c r="L240" i="4"/>
  <c r="L241" i="4"/>
  <c r="L242" i="4"/>
  <c r="L243" i="4"/>
  <c r="L244" i="4"/>
  <c r="L245" i="4"/>
  <c r="L246" i="4"/>
  <c r="L247" i="4"/>
  <c r="L248" i="4"/>
  <c r="L249" i="4"/>
  <c r="D249" i="4"/>
  <c r="D230" i="4"/>
  <c r="E249" i="4"/>
  <c r="C36" i="4"/>
  <c r="D36" i="4"/>
  <c r="E36" i="4"/>
  <c r="F36" i="4"/>
  <c r="G36" i="4"/>
  <c r="H36" i="4"/>
  <c r="I36" i="4"/>
  <c r="J36" i="4"/>
  <c r="K36" i="4"/>
  <c r="L36" i="4"/>
  <c r="M36" i="4"/>
  <c r="N36" i="4"/>
  <c r="O36" i="4"/>
  <c r="P36" i="4"/>
  <c r="Q36" i="4"/>
  <c r="R36" i="4"/>
  <c r="S36" i="4"/>
  <c r="T36" i="4"/>
  <c r="U36" i="4"/>
  <c r="V36" i="4"/>
  <c r="V35" i="4" a="1"/>
  <c r="V35" i="4"/>
  <c r="V143" i="4"/>
  <c r="E179" i="4"/>
  <c r="E181" i="4"/>
  <c r="E182" i="4"/>
  <c r="V140" i="4"/>
  <c r="E184" i="4"/>
  <c r="E185" i="4"/>
  <c r="E186" i="4"/>
  <c r="V141" i="4"/>
  <c r="V142" i="4"/>
  <c r="W11" i="4"/>
  <c r="U144" i="4"/>
  <c r="U137" i="4"/>
  <c r="U138" i="4"/>
  <c r="U139" i="4"/>
  <c r="D248" i="4"/>
  <c r="E248" i="4"/>
  <c r="U35" i="4" a="1"/>
  <c r="U35" i="4"/>
  <c r="U143" i="4"/>
  <c r="U140" i="4"/>
  <c r="U141" i="4"/>
  <c r="U142" i="4"/>
  <c r="V11" i="4"/>
  <c r="T144" i="4"/>
  <c r="T137" i="4"/>
  <c r="T138" i="4"/>
  <c r="T139" i="4"/>
  <c r="D247" i="4"/>
  <c r="E247" i="4"/>
  <c r="T35" i="4" a="1"/>
  <c r="T35" i="4"/>
  <c r="T143" i="4"/>
  <c r="T140" i="4"/>
  <c r="T141" i="4"/>
  <c r="T142" i="4"/>
  <c r="U11" i="4"/>
  <c r="S144" i="4"/>
  <c r="S137" i="4"/>
  <c r="S138" i="4"/>
  <c r="S139" i="4"/>
  <c r="D246" i="4"/>
  <c r="E246" i="4"/>
  <c r="S35" i="4" a="1"/>
  <c r="S35" i="4"/>
  <c r="S143" i="4"/>
  <c r="S140" i="4"/>
  <c r="S141" i="4"/>
  <c r="S142" i="4"/>
  <c r="T11" i="4"/>
  <c r="R144" i="4"/>
  <c r="R137" i="4"/>
  <c r="R138" i="4"/>
  <c r="R139" i="4"/>
  <c r="D245" i="4"/>
  <c r="E245" i="4"/>
  <c r="R35" i="4" a="1"/>
  <c r="R35" i="4"/>
  <c r="R143" i="4"/>
  <c r="R140" i="4"/>
  <c r="R141" i="4"/>
  <c r="R142" i="4"/>
  <c r="S11" i="4"/>
  <c r="Q144" i="4"/>
  <c r="Q137" i="4"/>
  <c r="Q138" i="4"/>
  <c r="Q139" i="4"/>
  <c r="D244" i="4"/>
  <c r="E244" i="4"/>
  <c r="Q35" i="4" a="1"/>
  <c r="Q35" i="4"/>
  <c r="Q143" i="4"/>
  <c r="Q140" i="4"/>
  <c r="Q141" i="4"/>
  <c r="Q142" i="4"/>
  <c r="R11" i="4"/>
  <c r="P144" i="4"/>
  <c r="P137" i="4"/>
  <c r="P138" i="4"/>
  <c r="P139" i="4"/>
  <c r="D243" i="4"/>
  <c r="E243" i="4"/>
  <c r="P35" i="4" a="1"/>
  <c r="P35" i="4"/>
  <c r="P143" i="4"/>
  <c r="P140" i="4"/>
  <c r="P141" i="4"/>
  <c r="P142" i="4"/>
  <c r="Q11" i="4"/>
  <c r="O144" i="4"/>
  <c r="O137" i="4"/>
  <c r="O138" i="4"/>
  <c r="O139" i="4"/>
  <c r="D242" i="4"/>
  <c r="E242" i="4"/>
  <c r="O35" i="4" a="1"/>
  <c r="O35" i="4"/>
  <c r="O143" i="4"/>
  <c r="O140" i="4"/>
  <c r="O141" i="4"/>
  <c r="O142" i="4"/>
  <c r="P11" i="4"/>
  <c r="N144" i="4"/>
  <c r="N137" i="4"/>
  <c r="N138" i="4"/>
  <c r="N139" i="4"/>
  <c r="D241" i="4"/>
  <c r="E241" i="4"/>
  <c r="N35" i="4" a="1"/>
  <c r="N35" i="4"/>
  <c r="N143" i="4"/>
  <c r="N140" i="4"/>
  <c r="N141" i="4"/>
  <c r="N142" i="4"/>
  <c r="O11" i="4"/>
  <c r="M144" i="4"/>
  <c r="M137" i="4"/>
  <c r="M138" i="4"/>
  <c r="M139" i="4"/>
  <c r="D240" i="4"/>
  <c r="E240" i="4"/>
  <c r="M35" i="4" a="1"/>
  <c r="M35" i="4"/>
  <c r="M143" i="4"/>
  <c r="M140" i="4"/>
  <c r="M141" i="4"/>
  <c r="M142" i="4"/>
  <c r="N11" i="4"/>
  <c r="L144" i="4"/>
  <c r="L137" i="4"/>
  <c r="L138" i="4"/>
  <c r="L139" i="4"/>
  <c r="D239" i="4"/>
  <c r="E239" i="4"/>
  <c r="L35" i="4" a="1"/>
  <c r="L35" i="4"/>
  <c r="L143" i="4"/>
  <c r="L140" i="4"/>
  <c r="L141" i="4"/>
  <c r="L142" i="4"/>
  <c r="M11" i="4"/>
  <c r="K144" i="4"/>
  <c r="K137" i="4"/>
  <c r="K138" i="4"/>
  <c r="K139" i="4"/>
  <c r="D238" i="4"/>
  <c r="E238" i="4"/>
  <c r="K35" i="4" a="1"/>
  <c r="K35" i="4"/>
  <c r="K143" i="4"/>
  <c r="K140" i="4"/>
  <c r="K141" i="4"/>
  <c r="K142" i="4"/>
  <c r="L11" i="4"/>
  <c r="J144" i="4"/>
  <c r="J137" i="4"/>
  <c r="J138" i="4"/>
  <c r="J139" i="4"/>
  <c r="D237" i="4"/>
  <c r="E237" i="4"/>
  <c r="J35" i="4" a="1"/>
  <c r="J35" i="4"/>
  <c r="J143" i="4"/>
  <c r="J140" i="4"/>
  <c r="J141" i="4"/>
  <c r="J142" i="4"/>
  <c r="K11" i="4"/>
  <c r="I144" i="4"/>
  <c r="I137" i="4"/>
  <c r="I138" i="4"/>
  <c r="I139" i="4"/>
  <c r="D236" i="4"/>
  <c r="E236" i="4"/>
  <c r="I35" i="4" a="1"/>
  <c r="I35" i="4"/>
  <c r="I143" i="4"/>
  <c r="I140" i="4"/>
  <c r="I141" i="4"/>
  <c r="I142" i="4"/>
  <c r="J11" i="4"/>
  <c r="H144" i="4"/>
  <c r="H137" i="4"/>
  <c r="H138" i="4"/>
  <c r="H139" i="4"/>
  <c r="D235" i="4"/>
  <c r="E235" i="4"/>
  <c r="H35" i="4" a="1"/>
  <c r="H35" i="4"/>
  <c r="H143" i="4"/>
  <c r="H140" i="4"/>
  <c r="H141" i="4"/>
  <c r="H142" i="4"/>
  <c r="I11" i="4"/>
  <c r="G144" i="4"/>
  <c r="G137" i="4"/>
  <c r="G138" i="4"/>
  <c r="G139" i="4"/>
  <c r="D234" i="4"/>
  <c r="E234" i="4"/>
  <c r="G35" i="4" a="1"/>
  <c r="G35" i="4"/>
  <c r="G143" i="4"/>
  <c r="G140" i="4"/>
  <c r="G141" i="4"/>
  <c r="G142" i="4"/>
  <c r="H11" i="4"/>
  <c r="F144" i="4"/>
  <c r="F137" i="4"/>
  <c r="F138" i="4"/>
  <c r="F139" i="4"/>
  <c r="D233" i="4"/>
  <c r="E233" i="4"/>
  <c r="F35" i="4" a="1"/>
  <c r="F35" i="4"/>
  <c r="F143" i="4"/>
  <c r="F140" i="4"/>
  <c r="F141" i="4"/>
  <c r="F142" i="4"/>
  <c r="G11" i="4"/>
  <c r="E144" i="4"/>
  <c r="E137" i="4"/>
  <c r="E138" i="4"/>
  <c r="E139" i="4"/>
  <c r="D232" i="4"/>
  <c r="E232" i="4"/>
  <c r="E35" i="4" a="1"/>
  <c r="E35" i="4"/>
  <c r="E143" i="4"/>
  <c r="E140" i="4"/>
  <c r="E141" i="4"/>
  <c r="E142" i="4"/>
  <c r="F11" i="4"/>
  <c r="AA85" i="4"/>
  <c r="B10" i="4"/>
  <c r="AB10" i="4"/>
  <c r="Z85" i="4"/>
  <c r="AA10" i="4"/>
  <c r="Y85" i="4"/>
  <c r="Z10" i="4"/>
  <c r="X85" i="4"/>
  <c r="Y10" i="4"/>
  <c r="W86" i="4" a="1"/>
  <c r="W86" i="4"/>
  <c r="W83" i="4"/>
  <c r="W84" i="4"/>
  <c r="W85" i="4"/>
  <c r="X10" i="4"/>
  <c r="C87" i="4"/>
  <c r="D87" i="4"/>
  <c r="E87" i="4"/>
  <c r="F87" i="4"/>
  <c r="G87" i="4"/>
  <c r="H87" i="4"/>
  <c r="I87" i="4"/>
  <c r="J87" i="4"/>
  <c r="K87" i="4"/>
  <c r="L87" i="4"/>
  <c r="M87" i="4"/>
  <c r="N87" i="4"/>
  <c r="O87" i="4"/>
  <c r="P87" i="4"/>
  <c r="Q87" i="4"/>
  <c r="R87" i="4"/>
  <c r="S87" i="4"/>
  <c r="T87" i="4"/>
  <c r="U87" i="4"/>
  <c r="V87" i="4"/>
  <c r="V86" i="4" a="1"/>
  <c r="V86" i="4"/>
  <c r="E64" i="4"/>
  <c r="E122" i="4"/>
  <c r="E123" i="4"/>
  <c r="E124" i="4"/>
  <c r="V83" i="4"/>
  <c r="C15" i="4"/>
  <c r="V84" i="4"/>
  <c r="V85" i="4"/>
  <c r="W10" i="4"/>
  <c r="U86" i="4" a="1"/>
  <c r="U86" i="4"/>
  <c r="U83" i="4"/>
  <c r="U84" i="4"/>
  <c r="U85" i="4"/>
  <c r="V10" i="4"/>
  <c r="T86" i="4" a="1"/>
  <c r="T86" i="4"/>
  <c r="T83" i="4"/>
  <c r="T84" i="4"/>
  <c r="T85" i="4"/>
  <c r="U10" i="4"/>
  <c r="S86" i="4" a="1"/>
  <c r="S86" i="4"/>
  <c r="S83" i="4"/>
  <c r="S84" i="4"/>
  <c r="S85" i="4"/>
  <c r="T10" i="4"/>
  <c r="R86" i="4" a="1"/>
  <c r="R86" i="4"/>
  <c r="R83" i="4"/>
  <c r="R84" i="4"/>
  <c r="R85" i="4"/>
  <c r="S10" i="4"/>
  <c r="Q86" i="4" a="1"/>
  <c r="Q86" i="4"/>
  <c r="Q83" i="4"/>
  <c r="Q84" i="4"/>
  <c r="Q85" i="4"/>
  <c r="R10" i="4"/>
  <c r="P86" i="4" a="1"/>
  <c r="P86" i="4"/>
  <c r="P83" i="4"/>
  <c r="P84" i="4"/>
  <c r="P85" i="4"/>
  <c r="Q10" i="4"/>
  <c r="O86" i="4" a="1"/>
  <c r="O86" i="4"/>
  <c r="O83" i="4"/>
  <c r="O84" i="4"/>
  <c r="O85" i="4"/>
  <c r="P10" i="4"/>
  <c r="N86" i="4" a="1"/>
  <c r="N86" i="4"/>
  <c r="N83" i="4"/>
  <c r="N84" i="4"/>
  <c r="N85" i="4"/>
  <c r="O10" i="4"/>
  <c r="M86" i="4" a="1"/>
  <c r="M86" i="4"/>
  <c r="M83" i="4"/>
  <c r="M84" i="4"/>
  <c r="M85" i="4"/>
  <c r="N10" i="4"/>
  <c r="L86" i="4" a="1"/>
  <c r="L86" i="4"/>
  <c r="L83" i="4"/>
  <c r="L84" i="4"/>
  <c r="L85" i="4"/>
  <c r="M10" i="4"/>
  <c r="K86" i="4" a="1"/>
  <c r="K86" i="4"/>
  <c r="K83" i="4"/>
  <c r="K84" i="4"/>
  <c r="K85" i="4"/>
  <c r="L10" i="4"/>
  <c r="J86" i="4" a="1"/>
  <c r="J86" i="4"/>
  <c r="J83" i="4"/>
  <c r="J84" i="4"/>
  <c r="J85" i="4"/>
  <c r="K10" i="4"/>
  <c r="I86" i="4" a="1"/>
  <c r="I86" i="4"/>
  <c r="I83" i="4"/>
  <c r="I84" i="4"/>
  <c r="I85" i="4"/>
  <c r="J10" i="4"/>
  <c r="H86" i="4" a="1"/>
  <c r="H86" i="4"/>
  <c r="H83" i="4"/>
  <c r="H84" i="4"/>
  <c r="H85" i="4"/>
  <c r="I10" i="4"/>
  <c r="G86" i="4" a="1"/>
  <c r="G86" i="4"/>
  <c r="G83" i="4"/>
  <c r="G84" i="4"/>
  <c r="G85" i="4"/>
  <c r="H10" i="4"/>
  <c r="F86" i="4" a="1"/>
  <c r="F86" i="4"/>
  <c r="F83" i="4"/>
  <c r="F84" i="4"/>
  <c r="F85" i="4"/>
  <c r="G10" i="4"/>
  <c r="E86" i="4" a="1"/>
  <c r="E86" i="4"/>
  <c r="E83" i="4"/>
  <c r="E84" i="4"/>
  <c r="E85" i="4"/>
  <c r="F10" i="4"/>
  <c r="AA58" i="4"/>
  <c r="B9" i="4"/>
  <c r="AB9" i="4"/>
  <c r="Z58" i="4"/>
  <c r="AA9" i="4"/>
  <c r="Y58" i="4"/>
  <c r="Z9" i="4"/>
  <c r="X58" i="4"/>
  <c r="Y9" i="4"/>
  <c r="W58" i="4"/>
  <c r="X9" i="4"/>
  <c r="E69" i="4"/>
  <c r="V58" i="4"/>
  <c r="W9" i="4"/>
  <c r="U58" i="4"/>
  <c r="V9" i="4"/>
  <c r="T58" i="4"/>
  <c r="U9" i="4"/>
  <c r="S58" i="4"/>
  <c r="T9" i="4"/>
  <c r="R58" i="4"/>
  <c r="S9" i="4"/>
  <c r="Q58" i="4"/>
  <c r="R9" i="4"/>
  <c r="P58" i="4"/>
  <c r="Q9" i="4"/>
  <c r="O58" i="4"/>
  <c r="P9" i="4"/>
  <c r="N58" i="4"/>
  <c r="O9" i="4"/>
  <c r="M58" i="4"/>
  <c r="N9" i="4"/>
  <c r="L58" i="4"/>
  <c r="M9" i="4"/>
  <c r="K58" i="4"/>
  <c r="L9" i="4"/>
  <c r="J58" i="4"/>
  <c r="K9" i="4"/>
  <c r="I58" i="4"/>
  <c r="J9" i="4"/>
  <c r="H58" i="4"/>
  <c r="I9" i="4"/>
  <c r="G58" i="4"/>
  <c r="H9" i="4"/>
  <c r="F58" i="4"/>
  <c r="G9" i="4"/>
  <c r="E58" i="4"/>
  <c r="F9" i="4"/>
  <c r="AA34" i="4"/>
  <c r="B8" i="4"/>
  <c r="AB8" i="4"/>
  <c r="Z34" i="4"/>
  <c r="AA8" i="4"/>
  <c r="Y34" i="4"/>
  <c r="Z8" i="4"/>
  <c r="X34" i="4"/>
  <c r="Y8" i="4"/>
  <c r="W32" i="4"/>
  <c r="W33" i="4"/>
  <c r="W34" i="4"/>
  <c r="X8" i="4"/>
  <c r="E42" i="4"/>
  <c r="V32" i="4"/>
  <c r="E40" i="4"/>
  <c r="V33" i="4"/>
  <c r="V34" i="4"/>
  <c r="W8" i="4"/>
  <c r="U32" i="4"/>
  <c r="U33" i="4"/>
  <c r="U34" i="4"/>
  <c r="V8" i="4"/>
  <c r="T32" i="4"/>
  <c r="T33" i="4"/>
  <c r="T34" i="4"/>
  <c r="U8" i="4"/>
  <c r="S32" i="4"/>
  <c r="S33" i="4"/>
  <c r="S34" i="4"/>
  <c r="T8" i="4"/>
  <c r="R32" i="4"/>
  <c r="R33" i="4"/>
  <c r="R34" i="4"/>
  <c r="S8" i="4"/>
  <c r="Q32" i="4"/>
  <c r="Q33" i="4"/>
  <c r="Q34" i="4"/>
  <c r="R8" i="4"/>
  <c r="P32" i="4"/>
  <c r="P33" i="4"/>
  <c r="P34" i="4"/>
  <c r="Q8" i="4"/>
  <c r="O32" i="4"/>
  <c r="O33" i="4"/>
  <c r="O34" i="4"/>
  <c r="P8" i="4"/>
  <c r="N32" i="4"/>
  <c r="N33" i="4"/>
  <c r="N34" i="4"/>
  <c r="O8" i="4"/>
  <c r="M32" i="4"/>
  <c r="M33" i="4"/>
  <c r="M34" i="4"/>
  <c r="N8" i="4"/>
  <c r="L32" i="4"/>
  <c r="L33" i="4"/>
  <c r="L34" i="4"/>
  <c r="M8" i="4"/>
  <c r="K32" i="4"/>
  <c r="K33" i="4"/>
  <c r="K34" i="4"/>
  <c r="L8" i="4"/>
  <c r="J32" i="4"/>
  <c r="J33" i="4"/>
  <c r="J34" i="4"/>
  <c r="K8" i="4"/>
  <c r="I32" i="4"/>
  <c r="I33" i="4"/>
  <c r="I34" i="4"/>
  <c r="J8" i="4"/>
  <c r="H32" i="4"/>
  <c r="H33" i="4"/>
  <c r="H34" i="4"/>
  <c r="I8" i="4"/>
  <c r="G32" i="4"/>
  <c r="G33" i="4"/>
  <c r="G34" i="4"/>
  <c r="H8" i="4"/>
  <c r="F32" i="4"/>
  <c r="F33" i="4"/>
  <c r="F34" i="4"/>
  <c r="G8" i="4"/>
  <c r="E32" i="4"/>
  <c r="E33" i="4"/>
  <c r="E34" i="4"/>
  <c r="F8" i="4"/>
  <c r="D4" i="4"/>
  <c r="E4" i="4"/>
  <c r="F4" i="4"/>
  <c r="G4" i="4"/>
  <c r="H4" i="4"/>
  <c r="I4" i="4"/>
  <c r="J4" i="4"/>
  <c r="K4" i="4"/>
  <c r="L4" i="4"/>
  <c r="M4" i="4"/>
  <c r="N4" i="4"/>
  <c r="O4" i="4"/>
  <c r="P4" i="4"/>
  <c r="Q4" i="4"/>
  <c r="R4" i="4"/>
  <c r="S4" i="4"/>
  <c r="T4" i="4"/>
  <c r="U4" i="4"/>
  <c r="V4" i="4"/>
  <c r="W4" i="4"/>
  <c r="X4" i="4"/>
  <c r="Y4" i="4"/>
  <c r="Z4" i="4"/>
  <c r="AA4" i="4"/>
  <c r="AB4" i="4"/>
  <c r="AA102" i="14"/>
  <c r="AA104" i="14"/>
  <c r="Z102" i="14"/>
  <c r="Z104" i="14"/>
  <c r="Y102" i="14"/>
  <c r="Y104" i="14"/>
  <c r="X102" i="14"/>
  <c r="X104" i="14"/>
  <c r="C123" i="14"/>
  <c r="D123" i="14"/>
  <c r="E123" i="14"/>
  <c r="F123" i="14"/>
  <c r="G123" i="14"/>
  <c r="H123" i="14"/>
  <c r="I123" i="14"/>
  <c r="J123" i="14"/>
  <c r="K123" i="14"/>
  <c r="L123" i="14"/>
  <c r="M123" i="14"/>
  <c r="N123" i="14"/>
  <c r="O123" i="14"/>
  <c r="P123" i="14"/>
  <c r="Q123" i="14"/>
  <c r="R123" i="14"/>
  <c r="S123" i="14"/>
  <c r="T123" i="14"/>
  <c r="U123" i="14"/>
  <c r="V123" i="14"/>
  <c r="W125" i="14"/>
  <c r="C124" i="14"/>
  <c r="D124" i="14"/>
  <c r="E124" i="14"/>
  <c r="F124" i="14"/>
  <c r="G124" i="14"/>
  <c r="H124" i="14"/>
  <c r="I124" i="14"/>
  <c r="J124" i="14"/>
  <c r="K124" i="14"/>
  <c r="L124" i="14"/>
  <c r="M124" i="14"/>
  <c r="N124" i="14"/>
  <c r="O124" i="14"/>
  <c r="P124" i="14"/>
  <c r="Q124" i="14"/>
  <c r="R124" i="14"/>
  <c r="S124" i="14"/>
  <c r="T124" i="14"/>
  <c r="U124" i="14"/>
  <c r="V124" i="14"/>
  <c r="W126" i="14"/>
  <c r="W102" i="14"/>
  <c r="C121" i="14"/>
  <c r="D121" i="14"/>
  <c r="E121" i="14"/>
  <c r="F121" i="14"/>
  <c r="G121" i="14"/>
  <c r="H121" i="14"/>
  <c r="I121" i="14"/>
  <c r="J121" i="14"/>
  <c r="K121" i="14"/>
  <c r="L121" i="14"/>
  <c r="M121" i="14"/>
  <c r="N121" i="14"/>
  <c r="O121" i="14"/>
  <c r="P121" i="14"/>
  <c r="Q121" i="14"/>
  <c r="R121" i="14"/>
  <c r="S121" i="14"/>
  <c r="T121" i="14"/>
  <c r="U121" i="14"/>
  <c r="V121" i="14"/>
  <c r="W121" i="14"/>
  <c r="C122" i="14"/>
  <c r="D122" i="14"/>
  <c r="E122" i="14"/>
  <c r="F122" i="14"/>
  <c r="G122" i="14"/>
  <c r="H122" i="14"/>
  <c r="I122" i="14"/>
  <c r="J122" i="14"/>
  <c r="K122" i="14"/>
  <c r="L122" i="14"/>
  <c r="M122" i="14"/>
  <c r="N122" i="14"/>
  <c r="O122" i="14"/>
  <c r="P122" i="14"/>
  <c r="Q122" i="14"/>
  <c r="R122" i="14"/>
  <c r="S122" i="14"/>
  <c r="T122" i="14"/>
  <c r="U122" i="14"/>
  <c r="V122" i="14"/>
  <c r="W122" i="14"/>
  <c r="W100" i="14"/>
  <c r="W104" i="14"/>
  <c r="V125" i="14"/>
  <c r="V126" i="14"/>
  <c r="V102" i="14"/>
  <c r="V100" i="14"/>
  <c r="V104" i="14"/>
  <c r="U125" i="14"/>
  <c r="U126" i="14"/>
  <c r="U102" i="14"/>
  <c r="U100" i="14"/>
  <c r="U104" i="14"/>
  <c r="T125" i="14"/>
  <c r="T126" i="14"/>
  <c r="T102" i="14"/>
  <c r="T100" i="14"/>
  <c r="T104" i="14"/>
  <c r="S125" i="14"/>
  <c r="S126" i="14"/>
  <c r="S102" i="14"/>
  <c r="S100" i="14"/>
  <c r="S104" i="14"/>
  <c r="R125" i="14"/>
  <c r="R126" i="14"/>
  <c r="R102" i="14"/>
  <c r="R100" i="14"/>
  <c r="R104" i="14"/>
  <c r="Q125" i="14"/>
  <c r="Q126" i="14"/>
  <c r="Q102" i="14"/>
  <c r="Q100" i="14"/>
  <c r="Q104" i="14"/>
  <c r="P125" i="14"/>
  <c r="P126" i="14"/>
  <c r="P102" i="14"/>
  <c r="P100" i="14"/>
  <c r="P104" i="14"/>
  <c r="O125" i="14"/>
  <c r="O126" i="14"/>
  <c r="O102" i="14"/>
  <c r="O100" i="14"/>
  <c r="O104" i="14"/>
  <c r="N125" i="14"/>
  <c r="N126" i="14"/>
  <c r="N102" i="14"/>
  <c r="N100" i="14"/>
  <c r="N104" i="14"/>
  <c r="M125" i="14"/>
  <c r="M126" i="14"/>
  <c r="M102" i="14"/>
  <c r="M100" i="14"/>
  <c r="M104" i="14"/>
  <c r="L125" i="14"/>
  <c r="L126" i="14"/>
  <c r="L102" i="14"/>
  <c r="L100" i="14"/>
  <c r="L104" i="14"/>
  <c r="K125" i="14"/>
  <c r="K126" i="14"/>
  <c r="K102" i="14"/>
  <c r="K100" i="14"/>
  <c r="K104" i="14"/>
  <c r="J125" i="14"/>
  <c r="J126" i="14"/>
  <c r="J102" i="14"/>
  <c r="J100" i="14"/>
  <c r="J104" i="14"/>
  <c r="I125" i="14"/>
  <c r="I126" i="14"/>
  <c r="I102" i="14"/>
  <c r="I100" i="14"/>
  <c r="I104" i="14"/>
  <c r="H125" i="14"/>
  <c r="H126" i="14"/>
  <c r="H102" i="14"/>
  <c r="H100" i="14"/>
  <c r="H104" i="14"/>
  <c r="G125" i="14"/>
  <c r="G126" i="14"/>
  <c r="G102" i="14"/>
  <c r="G100" i="14"/>
  <c r="G104" i="14"/>
  <c r="F125" i="14"/>
  <c r="F126" i="14"/>
  <c r="F102" i="14"/>
  <c r="F100" i="14"/>
  <c r="F104" i="14"/>
  <c r="E125" i="14"/>
  <c r="E126" i="14"/>
  <c r="E102" i="14"/>
  <c r="E100" i="14"/>
  <c r="E104" i="14"/>
  <c r="D125" i="14"/>
  <c r="D126" i="14"/>
  <c r="D102" i="14"/>
  <c r="D100" i="14"/>
  <c r="D104" i="14"/>
  <c r="Z101" i="14"/>
  <c r="Z103" i="14"/>
  <c r="Y101" i="14"/>
  <c r="Y103" i="14"/>
  <c r="X101" i="14"/>
  <c r="X103" i="14"/>
  <c r="W123" i="14"/>
  <c r="W124" i="14"/>
  <c r="W101" i="14"/>
  <c r="W103" i="14"/>
  <c r="V101" i="14"/>
  <c r="V103" i="14"/>
  <c r="U101" i="14"/>
  <c r="U103" i="14"/>
  <c r="T101" i="14"/>
  <c r="T103" i="14"/>
  <c r="S101" i="14"/>
  <c r="S103" i="14"/>
  <c r="R101" i="14"/>
  <c r="R103" i="14"/>
  <c r="Q101" i="14"/>
  <c r="Q103" i="14"/>
  <c r="P101" i="14"/>
  <c r="P103" i="14"/>
  <c r="O101" i="14"/>
  <c r="O103" i="14"/>
  <c r="N101" i="14"/>
  <c r="N103" i="14"/>
  <c r="M101" i="14"/>
  <c r="M103" i="14"/>
  <c r="L101" i="14"/>
  <c r="L103" i="14"/>
  <c r="K101" i="14"/>
  <c r="K103" i="14"/>
  <c r="J101" i="14"/>
  <c r="J103" i="14"/>
  <c r="I101" i="14"/>
  <c r="I103" i="14"/>
  <c r="H101" i="14"/>
  <c r="H103" i="14"/>
  <c r="G101" i="14"/>
  <c r="G103" i="14"/>
  <c r="F101" i="14"/>
  <c r="F103" i="14"/>
  <c r="E101" i="14"/>
  <c r="E103" i="14"/>
  <c r="D101" i="14"/>
  <c r="D103" i="14"/>
  <c r="C125" i="14"/>
  <c r="C126" i="14"/>
  <c r="C102" i="14"/>
  <c r="C100" i="14"/>
  <c r="C104" i="14"/>
  <c r="C101" i="14"/>
  <c r="C103" i="14"/>
  <c r="W40" i="14"/>
  <c r="X17" i="14"/>
  <c r="W80" i="9"/>
  <c r="X18" i="14"/>
  <c r="W81" i="9"/>
  <c r="W77" i="9"/>
  <c r="X121" i="14"/>
  <c r="Y121" i="14"/>
  <c r="Z121" i="14"/>
  <c r="X122" i="14"/>
  <c r="Y122" i="14"/>
  <c r="Z122" i="14"/>
  <c r="X123" i="14"/>
  <c r="Y123" i="14"/>
  <c r="Z123" i="14"/>
  <c r="X124" i="14"/>
  <c r="Y124" i="14"/>
  <c r="Z124" i="14"/>
  <c r="X125" i="14"/>
  <c r="Y125" i="14"/>
  <c r="Z125" i="14"/>
  <c r="AA125" i="14"/>
  <c r="X126" i="14"/>
  <c r="Y126" i="14"/>
  <c r="Z126" i="14"/>
  <c r="AA126" i="14"/>
  <c r="X100" i="14"/>
  <c r="Y100" i="14"/>
  <c r="Z100" i="14"/>
  <c r="AA100" i="14"/>
  <c r="E81" i="14"/>
  <c r="F81" i="14"/>
  <c r="G81" i="14"/>
  <c r="H81" i="14"/>
  <c r="I81" i="14"/>
  <c r="J81" i="14"/>
  <c r="K81" i="14"/>
  <c r="L81" i="14"/>
  <c r="M81" i="14"/>
  <c r="N81" i="14"/>
  <c r="O81" i="14"/>
  <c r="P81" i="14"/>
  <c r="Q81" i="14"/>
  <c r="R81" i="14"/>
  <c r="S81" i="14"/>
  <c r="T81" i="14"/>
  <c r="U81" i="14"/>
  <c r="V81" i="14"/>
  <c r="W81" i="14"/>
  <c r="X81" i="14"/>
  <c r="Y81" i="14"/>
  <c r="Z81" i="14"/>
  <c r="AA81" i="14"/>
  <c r="E85" i="14"/>
  <c r="F85" i="14"/>
  <c r="G85" i="14"/>
  <c r="H85" i="14"/>
  <c r="I85" i="14"/>
  <c r="J85" i="14"/>
  <c r="K85" i="14"/>
  <c r="L85" i="14"/>
  <c r="M85" i="14"/>
  <c r="N85" i="14"/>
  <c r="O85" i="14"/>
  <c r="P85" i="14"/>
  <c r="Q85" i="14"/>
  <c r="R85" i="14"/>
  <c r="S85" i="14"/>
  <c r="T85" i="14"/>
  <c r="U85" i="14"/>
  <c r="V85" i="14"/>
  <c r="W85" i="14"/>
  <c r="X85" i="14"/>
  <c r="Y85" i="14"/>
  <c r="Z85" i="14"/>
  <c r="AA85" i="14"/>
  <c r="E89" i="14"/>
  <c r="F89" i="14"/>
  <c r="G89" i="14"/>
  <c r="H89" i="14"/>
  <c r="I89" i="14"/>
  <c r="J89" i="14"/>
  <c r="K89" i="14"/>
  <c r="L89" i="14"/>
  <c r="M89" i="14"/>
  <c r="N89" i="14"/>
  <c r="O89" i="14"/>
  <c r="P89" i="14"/>
  <c r="Q89" i="14"/>
  <c r="R89" i="14"/>
  <c r="S89" i="14"/>
  <c r="T89" i="14"/>
  <c r="U89" i="14"/>
  <c r="V89" i="14"/>
  <c r="W89" i="14"/>
  <c r="X89" i="14"/>
  <c r="Y89" i="14"/>
  <c r="Z89" i="14"/>
  <c r="AA89" i="14"/>
  <c r="D89" i="14"/>
  <c r="D85" i="14"/>
  <c r="D81" i="14"/>
  <c r="C89" i="14"/>
  <c r="C85" i="14"/>
  <c r="C81" i="14"/>
  <c r="C37" i="14"/>
  <c r="D38" i="14"/>
  <c r="E38" i="14"/>
  <c r="F38" i="14"/>
  <c r="G38" i="14"/>
  <c r="H38" i="14"/>
  <c r="I38" i="14"/>
  <c r="J38" i="14"/>
  <c r="K38" i="14"/>
  <c r="L38" i="14"/>
  <c r="M38" i="14"/>
  <c r="N38" i="14"/>
  <c r="O38" i="14"/>
  <c r="P38" i="14"/>
  <c r="Q38" i="14"/>
  <c r="R38" i="14"/>
  <c r="S38" i="14"/>
  <c r="T38" i="14"/>
  <c r="U38" i="14"/>
  <c r="V38" i="14"/>
  <c r="W38" i="14"/>
  <c r="X38" i="14"/>
  <c r="Y38" i="14"/>
  <c r="Z38" i="14"/>
  <c r="AA38" i="14"/>
  <c r="D39" i="14"/>
  <c r="E39" i="14"/>
  <c r="F39" i="14"/>
  <c r="G39" i="14"/>
  <c r="H39" i="14"/>
  <c r="I39" i="14"/>
  <c r="J39" i="14"/>
  <c r="K39" i="14"/>
  <c r="L39" i="14"/>
  <c r="M39" i="14"/>
  <c r="N39" i="14"/>
  <c r="O39" i="14"/>
  <c r="P39" i="14"/>
  <c r="Q39" i="14"/>
  <c r="R39" i="14"/>
  <c r="S39" i="14"/>
  <c r="T39" i="14"/>
  <c r="U39" i="14"/>
  <c r="V39" i="14"/>
  <c r="W39" i="14"/>
  <c r="X39" i="14"/>
  <c r="Y39" i="14"/>
  <c r="Z39" i="14"/>
  <c r="AA39" i="14"/>
  <c r="D37" i="14"/>
  <c r="D40" i="14"/>
  <c r="E37" i="14"/>
  <c r="E40" i="14"/>
  <c r="F37" i="14"/>
  <c r="F40" i="14"/>
  <c r="G37" i="14"/>
  <c r="G40" i="14"/>
  <c r="H37" i="14"/>
  <c r="H40" i="14"/>
  <c r="I37" i="14"/>
  <c r="I40" i="14"/>
  <c r="J37" i="14"/>
  <c r="J40" i="14"/>
  <c r="K37" i="14"/>
  <c r="K40" i="14"/>
  <c r="L37" i="14"/>
  <c r="L40" i="14"/>
  <c r="M37" i="14"/>
  <c r="M40" i="14"/>
  <c r="N37" i="14"/>
  <c r="N40" i="14"/>
  <c r="O37" i="14"/>
  <c r="O40" i="14"/>
  <c r="P37" i="14"/>
  <c r="P40" i="14"/>
  <c r="Q37" i="14"/>
  <c r="Q40" i="14"/>
  <c r="R37" i="14"/>
  <c r="R40" i="14"/>
  <c r="S37" i="14"/>
  <c r="S40" i="14"/>
  <c r="T37" i="14"/>
  <c r="T40" i="14"/>
  <c r="U37" i="14"/>
  <c r="U40" i="14"/>
  <c r="V37" i="14"/>
  <c r="V40" i="14"/>
  <c r="W37" i="14"/>
  <c r="X40" i="14"/>
  <c r="Y40" i="14"/>
  <c r="Z40" i="14"/>
  <c r="D41" i="14"/>
  <c r="E41" i="14"/>
  <c r="F41" i="14"/>
  <c r="G41" i="14"/>
  <c r="H41" i="14"/>
  <c r="I41" i="14"/>
  <c r="J41" i="14"/>
  <c r="K41" i="14"/>
  <c r="L41" i="14"/>
  <c r="M41" i="14"/>
  <c r="N41" i="14"/>
  <c r="O41" i="14"/>
  <c r="P41" i="14"/>
  <c r="Q41" i="14"/>
  <c r="R41" i="14"/>
  <c r="S41" i="14"/>
  <c r="T41" i="14"/>
  <c r="U41" i="14"/>
  <c r="V41" i="14"/>
  <c r="W41" i="14"/>
  <c r="X41" i="14"/>
  <c r="Y41" i="14"/>
  <c r="Z41" i="14"/>
  <c r="AA41" i="14"/>
  <c r="X37" i="14"/>
  <c r="Y37" i="14"/>
  <c r="Z37" i="14"/>
  <c r="AA37" i="14"/>
  <c r="C39" i="14"/>
  <c r="C41" i="14"/>
  <c r="C38" i="14"/>
  <c r="C40" i="14"/>
  <c r="C22" i="14"/>
  <c r="D24" i="14"/>
  <c r="D22" i="14"/>
  <c r="D26" i="14"/>
  <c r="E24" i="14"/>
  <c r="E22" i="14"/>
  <c r="E26" i="14"/>
  <c r="F24" i="14"/>
  <c r="F22" i="14"/>
  <c r="F26" i="14"/>
  <c r="G24" i="14"/>
  <c r="G22" i="14"/>
  <c r="G26" i="14"/>
  <c r="H24" i="14"/>
  <c r="H22" i="14"/>
  <c r="H26" i="14"/>
  <c r="I24" i="14"/>
  <c r="I22" i="14"/>
  <c r="I26" i="14"/>
  <c r="J24" i="14"/>
  <c r="J22" i="14"/>
  <c r="J26" i="14"/>
  <c r="K24" i="14"/>
  <c r="K22" i="14"/>
  <c r="K26" i="14"/>
  <c r="L24" i="14"/>
  <c r="L22" i="14"/>
  <c r="L26" i="14"/>
  <c r="M24" i="14"/>
  <c r="M22" i="14"/>
  <c r="M26" i="14"/>
  <c r="N24" i="14"/>
  <c r="N22" i="14"/>
  <c r="N26" i="14"/>
  <c r="O24" i="14"/>
  <c r="O22" i="14"/>
  <c r="O26" i="14"/>
  <c r="P24" i="14"/>
  <c r="P22" i="14"/>
  <c r="P26" i="14"/>
  <c r="Q24" i="14"/>
  <c r="Q22" i="14"/>
  <c r="Q26" i="14"/>
  <c r="R24" i="14"/>
  <c r="R22" i="14"/>
  <c r="R26" i="14"/>
  <c r="S24" i="14"/>
  <c r="S22" i="14"/>
  <c r="S26" i="14"/>
  <c r="T24" i="14"/>
  <c r="T22" i="14"/>
  <c r="T26" i="14"/>
  <c r="U24" i="14"/>
  <c r="U22" i="14"/>
  <c r="U26" i="14"/>
  <c r="V24" i="14"/>
  <c r="V22" i="14"/>
  <c r="V26" i="14"/>
  <c r="W24" i="14"/>
  <c r="W22" i="14"/>
  <c r="W26" i="14"/>
  <c r="X26" i="14"/>
  <c r="Y26" i="14"/>
  <c r="Z26" i="14"/>
  <c r="AA24" i="14"/>
  <c r="AA22" i="14"/>
  <c r="AA26" i="14"/>
  <c r="D23" i="14"/>
  <c r="D25" i="14"/>
  <c r="E23" i="14"/>
  <c r="E25" i="14"/>
  <c r="F23" i="14"/>
  <c r="F25" i="14"/>
  <c r="G23" i="14"/>
  <c r="G25" i="14"/>
  <c r="H23" i="14"/>
  <c r="H25" i="14"/>
  <c r="I23" i="14"/>
  <c r="I25" i="14"/>
  <c r="J23" i="14"/>
  <c r="J25" i="14"/>
  <c r="K23" i="14"/>
  <c r="K25" i="14"/>
  <c r="L23" i="14"/>
  <c r="L25" i="14"/>
  <c r="M23" i="14"/>
  <c r="M25" i="14"/>
  <c r="N23" i="14"/>
  <c r="N25" i="14"/>
  <c r="O23" i="14"/>
  <c r="O25" i="14"/>
  <c r="P23" i="14"/>
  <c r="P25" i="14"/>
  <c r="Q23" i="14"/>
  <c r="Q25" i="14"/>
  <c r="R23" i="14"/>
  <c r="R25" i="14"/>
  <c r="S23" i="14"/>
  <c r="S25" i="14"/>
  <c r="T23" i="14"/>
  <c r="T25" i="14"/>
  <c r="U23" i="14"/>
  <c r="U25" i="14"/>
  <c r="V23" i="14"/>
  <c r="V25" i="14"/>
  <c r="W23" i="14"/>
  <c r="W25" i="14"/>
  <c r="X25" i="14"/>
  <c r="Y25" i="14"/>
  <c r="Z25" i="14"/>
  <c r="AA23" i="14"/>
  <c r="AA25" i="14"/>
  <c r="X24" i="14"/>
  <c r="Y24" i="14"/>
  <c r="Z24" i="14"/>
  <c r="X23" i="14"/>
  <c r="Y23" i="14"/>
  <c r="Z23" i="14"/>
  <c r="X22" i="14"/>
  <c r="Y22" i="14"/>
  <c r="Z22" i="14"/>
  <c r="C24" i="14"/>
  <c r="C26" i="14"/>
  <c r="C23" i="14"/>
  <c r="C25" i="14"/>
  <c r="N18" i="14"/>
  <c r="O18" i="14"/>
  <c r="P18" i="14"/>
  <c r="Q18" i="14"/>
  <c r="R18" i="14"/>
  <c r="S18" i="14"/>
  <c r="T18" i="14"/>
  <c r="U18" i="14"/>
  <c r="V18" i="14"/>
  <c r="W18" i="14"/>
  <c r="Y18" i="14"/>
  <c r="Z18" i="14"/>
  <c r="AA18" i="14"/>
  <c r="N17" i="14"/>
  <c r="O17" i="14"/>
  <c r="P17" i="14"/>
  <c r="Q17" i="14"/>
  <c r="R17" i="14"/>
  <c r="S17" i="14"/>
  <c r="T17" i="14"/>
  <c r="U17" i="14"/>
  <c r="V17" i="14"/>
  <c r="W17" i="14"/>
  <c r="Y17" i="14"/>
  <c r="Z17" i="14"/>
  <c r="AA17" i="14"/>
  <c r="N14" i="14"/>
  <c r="O14" i="14"/>
  <c r="P14" i="14"/>
  <c r="Q14" i="14"/>
  <c r="R14" i="14"/>
  <c r="S14" i="14"/>
  <c r="T14" i="14"/>
  <c r="U14" i="14"/>
  <c r="V14" i="14"/>
  <c r="W14" i="14"/>
  <c r="X14" i="14"/>
  <c r="Y14" i="14"/>
  <c r="Z14" i="14"/>
  <c r="AA14" i="14"/>
  <c r="W60" i="4"/>
  <c r="N250" i="4"/>
  <c r="C250" i="4"/>
  <c r="H250" i="4"/>
  <c r="I250" i="4"/>
  <c r="N251" i="4"/>
  <c r="C251" i="4"/>
  <c r="H251" i="4"/>
  <c r="I251" i="4"/>
  <c r="C231" i="4"/>
  <c r="H231" i="4"/>
  <c r="I231" i="4"/>
  <c r="I230" i="4"/>
  <c r="D59" i="4" a="1"/>
  <c r="D59" i="4"/>
  <c r="D203" i="4"/>
  <c r="D201" i="4"/>
  <c r="D200" i="4"/>
  <c r="D202" i="4"/>
  <c r="C59" i="4" a="1"/>
  <c r="C59" i="4"/>
  <c r="C203" i="4"/>
  <c r="C201" i="4"/>
  <c r="C200" i="4"/>
  <c r="C202" i="4"/>
  <c r="W36" i="4"/>
  <c r="L250" i="4"/>
  <c r="D250" i="4"/>
  <c r="E250" i="4"/>
  <c r="D144" i="4"/>
  <c r="D137" i="4"/>
  <c r="D138" i="4"/>
  <c r="D139" i="4"/>
  <c r="D231" i="4"/>
  <c r="E231" i="4"/>
  <c r="D35" i="4" a="1"/>
  <c r="D35" i="4"/>
  <c r="D143" i="4"/>
  <c r="D140" i="4"/>
  <c r="D141" i="4"/>
  <c r="D142" i="4"/>
  <c r="C144" i="4"/>
  <c r="C137" i="4"/>
  <c r="C138" i="4"/>
  <c r="C139" i="4"/>
  <c r="E230" i="4"/>
  <c r="C35" i="4" a="1"/>
  <c r="C35" i="4"/>
  <c r="C143" i="4"/>
  <c r="C140" i="4"/>
  <c r="C141" i="4"/>
  <c r="C142" i="4"/>
  <c r="D32" i="4"/>
  <c r="D33" i="4"/>
  <c r="D34" i="4"/>
  <c r="C32" i="4"/>
  <c r="C33" i="4"/>
  <c r="C34" i="4"/>
  <c r="W87" i="4"/>
  <c r="D86" i="4" a="1"/>
  <c r="D86" i="4"/>
  <c r="D83" i="4"/>
  <c r="D84" i="4"/>
  <c r="D85" i="4"/>
  <c r="C86" i="4" a="1"/>
  <c r="C86" i="4"/>
  <c r="C83" i="4"/>
  <c r="E100" i="4"/>
  <c r="E101" i="4"/>
  <c r="E91" i="4"/>
  <c r="C84" i="4"/>
  <c r="C85" i="4"/>
  <c r="E118" i="3"/>
  <c r="AA35" i="4" a="1"/>
  <c r="AA35" i="4"/>
  <c r="Z35" i="4" a="1"/>
  <c r="Z35" i="4"/>
  <c r="Y35" i="4" a="1"/>
  <c r="Y35" i="4"/>
  <c r="X35" i="4" a="1"/>
  <c r="X35" i="4"/>
  <c r="X36" i="4"/>
  <c r="Y36" i="4"/>
  <c r="Z36" i="4"/>
  <c r="AA36" i="4"/>
  <c r="AA59" i="4" a="1"/>
  <c r="AA59" i="4"/>
  <c r="Z59" i="4" a="1"/>
  <c r="Z59" i="4"/>
  <c r="Y59" i="4" a="1"/>
  <c r="Y59" i="4"/>
  <c r="X59" i="4" a="1"/>
  <c r="X59" i="4"/>
  <c r="X60" i="4"/>
  <c r="Y60" i="4"/>
  <c r="Z60" i="4"/>
  <c r="AA60" i="4"/>
  <c r="AA84" i="4"/>
  <c r="Z84" i="4"/>
  <c r="Y84" i="4"/>
  <c r="X84" i="4"/>
  <c r="AA83" i="4"/>
  <c r="Z83" i="4"/>
  <c r="Y83" i="4"/>
  <c r="X83" i="4"/>
  <c r="AA86" i="4" a="1"/>
  <c r="AA86" i="4"/>
  <c r="Z86" i="4" a="1"/>
  <c r="Z86" i="4"/>
  <c r="Y86" i="4" a="1"/>
  <c r="Y86" i="4"/>
  <c r="X86" i="4" a="1"/>
  <c r="X86" i="4"/>
  <c r="X87" i="4"/>
  <c r="Y87" i="4"/>
  <c r="Z87" i="4"/>
  <c r="AA87" i="4"/>
  <c r="C254" i="4"/>
  <c r="J254" i="4"/>
  <c r="J230" i="4"/>
  <c r="K254" i="4"/>
  <c r="N254" i="4"/>
  <c r="H254" i="4"/>
  <c r="I254" i="4"/>
  <c r="M254" i="4"/>
  <c r="F254" i="4"/>
  <c r="M230" i="4"/>
  <c r="F230" i="4"/>
  <c r="G254" i="4"/>
  <c r="L254" i="4"/>
  <c r="D254" i="4"/>
  <c r="E254" i="4"/>
  <c r="C253" i="4"/>
  <c r="J253" i="4"/>
  <c r="K253" i="4"/>
  <c r="N253" i="4"/>
  <c r="H253" i="4"/>
  <c r="I253" i="4"/>
  <c r="M253" i="4"/>
  <c r="F253" i="4"/>
  <c r="G253" i="4"/>
  <c r="L253" i="4"/>
  <c r="D253" i="4"/>
  <c r="E253" i="4"/>
  <c r="C252" i="4"/>
  <c r="J252" i="4"/>
  <c r="K252" i="4"/>
  <c r="N252" i="4"/>
  <c r="H252" i="4"/>
  <c r="I252" i="4"/>
  <c r="M252" i="4"/>
  <c r="F252" i="4"/>
  <c r="G252" i="4"/>
  <c r="L252" i="4"/>
  <c r="D252" i="4"/>
  <c r="E252" i="4"/>
  <c r="J251" i="4"/>
  <c r="K251" i="4"/>
  <c r="M251" i="4"/>
  <c r="F251" i="4"/>
  <c r="G251" i="4"/>
  <c r="L251" i="4"/>
  <c r="D251" i="4"/>
  <c r="E251" i="4"/>
  <c r="J250" i="4"/>
  <c r="K250" i="4"/>
  <c r="M231" i="4"/>
  <c r="M232" i="4"/>
  <c r="M233" i="4"/>
  <c r="M234" i="4"/>
  <c r="M235" i="4"/>
  <c r="M236" i="4"/>
  <c r="M237" i="4"/>
  <c r="M238" i="4"/>
  <c r="M239" i="4"/>
  <c r="M240" i="4"/>
  <c r="M241" i="4"/>
  <c r="M242" i="4"/>
  <c r="M243" i="4"/>
  <c r="M244" i="4"/>
  <c r="M245" i="4"/>
  <c r="M246" i="4"/>
  <c r="M247" i="4"/>
  <c r="M248" i="4"/>
  <c r="M249" i="4"/>
  <c r="M250" i="4"/>
  <c r="F250" i="4"/>
  <c r="G250" i="4"/>
  <c r="J249" i="4"/>
  <c r="K249" i="4"/>
  <c r="F249" i="4"/>
  <c r="G249" i="4"/>
  <c r="J248" i="4"/>
  <c r="K248" i="4"/>
  <c r="F248" i="4"/>
  <c r="G248" i="4"/>
  <c r="J247" i="4"/>
  <c r="K247" i="4"/>
  <c r="F247" i="4"/>
  <c r="G247" i="4"/>
  <c r="J246" i="4"/>
  <c r="K246" i="4"/>
  <c r="F246" i="4"/>
  <c r="G246" i="4"/>
  <c r="J245" i="4"/>
  <c r="K245" i="4"/>
  <c r="F245" i="4"/>
  <c r="G245" i="4"/>
  <c r="J244" i="4"/>
  <c r="K244" i="4"/>
  <c r="F244" i="4"/>
  <c r="G244" i="4"/>
  <c r="J243" i="4"/>
  <c r="K243" i="4"/>
  <c r="F243" i="4"/>
  <c r="G243" i="4"/>
  <c r="J242" i="4"/>
  <c r="K242" i="4"/>
  <c r="F242" i="4"/>
  <c r="G242" i="4"/>
  <c r="J241" i="4"/>
  <c r="K241" i="4"/>
  <c r="F241" i="4"/>
  <c r="G241" i="4"/>
  <c r="J240" i="4"/>
  <c r="K240" i="4"/>
  <c r="F240" i="4"/>
  <c r="G240" i="4"/>
  <c r="J239" i="4"/>
  <c r="K239" i="4"/>
  <c r="F239" i="4"/>
  <c r="G239" i="4"/>
  <c r="J238" i="4"/>
  <c r="K238" i="4"/>
  <c r="F238" i="4"/>
  <c r="G238" i="4"/>
  <c r="J237" i="4"/>
  <c r="K237" i="4"/>
  <c r="F237" i="4"/>
  <c r="G237" i="4"/>
  <c r="J236" i="4"/>
  <c r="K236" i="4"/>
  <c r="F236" i="4"/>
  <c r="G236" i="4"/>
  <c r="J235" i="4"/>
  <c r="K235" i="4"/>
  <c r="F235" i="4"/>
  <c r="G235" i="4"/>
  <c r="J234" i="4"/>
  <c r="K234" i="4"/>
  <c r="F234" i="4"/>
  <c r="G234" i="4"/>
  <c r="J233" i="4"/>
  <c r="K233" i="4"/>
  <c r="F233" i="4"/>
  <c r="G233" i="4"/>
  <c r="J232" i="4"/>
  <c r="K232" i="4"/>
  <c r="F232" i="4"/>
  <c r="G232" i="4"/>
  <c r="J231" i="4"/>
  <c r="K231" i="4"/>
  <c r="F231" i="4"/>
  <c r="G231" i="4"/>
  <c r="K230" i="4"/>
  <c r="G230" i="4"/>
  <c r="AA31" i="16"/>
  <c r="Z31" i="16"/>
  <c r="Y31" i="16"/>
  <c r="X31" i="16"/>
  <c r="C40" i="16"/>
  <c r="C42" i="16"/>
  <c r="C43" i="16"/>
  <c r="W30" i="16"/>
  <c r="W29" i="16"/>
  <c r="W31" i="16"/>
  <c r="V30" i="16"/>
  <c r="V29" i="16"/>
  <c r="V31" i="16"/>
  <c r="U30" i="16"/>
  <c r="U29" i="16"/>
  <c r="U31" i="16"/>
  <c r="T30" i="16"/>
  <c r="T29" i="16"/>
  <c r="T31" i="16"/>
  <c r="S30" i="16"/>
  <c r="S29" i="16"/>
  <c r="S31" i="16"/>
  <c r="R30" i="16"/>
  <c r="R29" i="16"/>
  <c r="R31" i="16"/>
  <c r="Q30" i="16"/>
  <c r="Q29" i="16"/>
  <c r="Q31" i="16"/>
  <c r="P30" i="16"/>
  <c r="P29" i="16"/>
  <c r="P31" i="16"/>
  <c r="O30" i="16"/>
  <c r="O29" i="16"/>
  <c r="O31" i="16"/>
  <c r="N30" i="16"/>
  <c r="N29" i="16"/>
  <c r="N31" i="16"/>
  <c r="M30" i="16"/>
  <c r="M29" i="16"/>
  <c r="M31" i="16"/>
  <c r="L30" i="16"/>
  <c r="L29" i="16"/>
  <c r="L31" i="16"/>
  <c r="K30" i="16"/>
  <c r="K29" i="16"/>
  <c r="K31" i="16"/>
  <c r="J30" i="16"/>
  <c r="J29" i="16"/>
  <c r="J31" i="16"/>
  <c r="I30" i="16"/>
  <c r="I29" i="16"/>
  <c r="I31" i="16"/>
  <c r="H30" i="16"/>
  <c r="H29" i="16"/>
  <c r="H31" i="16"/>
  <c r="G30" i="16"/>
  <c r="G29" i="16"/>
  <c r="G31" i="16"/>
  <c r="F30" i="16"/>
  <c r="F29" i="16"/>
  <c r="F31" i="16"/>
  <c r="E30" i="16"/>
  <c r="E29" i="16"/>
  <c r="E31" i="16"/>
  <c r="D30" i="16"/>
  <c r="D29" i="16"/>
  <c r="D31" i="16"/>
  <c r="AA30" i="16"/>
  <c r="Z30" i="16"/>
  <c r="Y30" i="16"/>
  <c r="X30" i="16"/>
  <c r="AA29" i="16"/>
  <c r="Z29" i="16"/>
  <c r="Y29" i="16"/>
  <c r="X29" i="16"/>
  <c r="C30" i="16"/>
  <c r="C29" i="16"/>
  <c r="C31" i="16"/>
  <c r="AA63" i="16"/>
  <c r="AA62" i="16"/>
  <c r="AA61" i="16"/>
  <c r="Z63" i="16"/>
  <c r="Y63" i="16"/>
  <c r="X63" i="16"/>
  <c r="C5" i="16"/>
  <c r="C69" i="16"/>
  <c r="W62" i="16"/>
  <c r="W61" i="16"/>
  <c r="W63" i="16"/>
  <c r="V62" i="16"/>
  <c r="V61" i="16"/>
  <c r="V63" i="16"/>
  <c r="U62" i="16"/>
  <c r="U61" i="16"/>
  <c r="U63" i="16"/>
  <c r="T62" i="16"/>
  <c r="T61" i="16"/>
  <c r="T63" i="16"/>
  <c r="S62" i="16"/>
  <c r="S61" i="16"/>
  <c r="S63" i="16"/>
  <c r="R62" i="16"/>
  <c r="R61" i="16"/>
  <c r="R63" i="16"/>
  <c r="Q62" i="16"/>
  <c r="Q61" i="16"/>
  <c r="Q63" i="16"/>
  <c r="P62" i="16"/>
  <c r="P61" i="16"/>
  <c r="P63" i="16"/>
  <c r="O62" i="16"/>
  <c r="O61" i="16"/>
  <c r="O63" i="16"/>
  <c r="N62" i="16"/>
  <c r="N61" i="16"/>
  <c r="N63" i="16"/>
  <c r="M62" i="16"/>
  <c r="M61" i="16"/>
  <c r="M63" i="16"/>
  <c r="L62" i="16"/>
  <c r="L61" i="16"/>
  <c r="L63" i="16"/>
  <c r="K62" i="16"/>
  <c r="K61" i="16"/>
  <c r="K63" i="16"/>
  <c r="J62" i="16"/>
  <c r="J61" i="16"/>
  <c r="J63" i="16"/>
  <c r="I62" i="16"/>
  <c r="I61" i="16"/>
  <c r="I63" i="16"/>
  <c r="H62" i="16"/>
  <c r="H61" i="16"/>
  <c r="H63" i="16"/>
  <c r="G62" i="16"/>
  <c r="G61" i="16"/>
  <c r="G63" i="16"/>
  <c r="F62" i="16"/>
  <c r="F61" i="16"/>
  <c r="F63" i="16"/>
  <c r="E62" i="16"/>
  <c r="E61" i="16"/>
  <c r="E63" i="16"/>
  <c r="D62" i="16"/>
  <c r="D61" i="16"/>
  <c r="D63" i="16"/>
  <c r="Z62" i="16"/>
  <c r="Y62" i="16"/>
  <c r="X62" i="16"/>
  <c r="Z61" i="16"/>
  <c r="Y61" i="16"/>
  <c r="X61" i="16"/>
  <c r="C62" i="16"/>
  <c r="C61" i="16"/>
  <c r="C63" i="16"/>
  <c r="AA91" i="16"/>
  <c r="Z91" i="16"/>
  <c r="Y91" i="16"/>
  <c r="X91" i="16"/>
  <c r="C96" i="16"/>
  <c r="W90" i="16"/>
  <c r="W89" i="16"/>
  <c r="W91" i="16"/>
  <c r="V90" i="16"/>
  <c r="V89" i="16"/>
  <c r="V91" i="16"/>
  <c r="U90" i="16"/>
  <c r="U89" i="16"/>
  <c r="U91" i="16"/>
  <c r="T90" i="16"/>
  <c r="T89" i="16"/>
  <c r="T91" i="16"/>
  <c r="S90" i="16"/>
  <c r="S89" i="16"/>
  <c r="S91" i="16"/>
  <c r="R90" i="16"/>
  <c r="R89" i="16"/>
  <c r="R91" i="16"/>
  <c r="Q90" i="16"/>
  <c r="Q89" i="16"/>
  <c r="Q91" i="16"/>
  <c r="P90" i="16"/>
  <c r="P89" i="16"/>
  <c r="P91" i="16"/>
  <c r="O90" i="16"/>
  <c r="O89" i="16"/>
  <c r="O91" i="16"/>
  <c r="N90" i="16"/>
  <c r="N89" i="16"/>
  <c r="N91" i="16"/>
  <c r="M90" i="16"/>
  <c r="M89" i="16"/>
  <c r="M91" i="16"/>
  <c r="L90" i="16"/>
  <c r="L89" i="16"/>
  <c r="L91" i="16"/>
  <c r="K90" i="16"/>
  <c r="K89" i="16"/>
  <c r="K91" i="16"/>
  <c r="J90" i="16"/>
  <c r="J89" i="16"/>
  <c r="J91" i="16"/>
  <c r="I90" i="16"/>
  <c r="I89" i="16"/>
  <c r="I91" i="16"/>
  <c r="H90" i="16"/>
  <c r="H89" i="16"/>
  <c r="H91" i="16"/>
  <c r="G90" i="16"/>
  <c r="G89" i="16"/>
  <c r="G91" i="16"/>
  <c r="F90" i="16"/>
  <c r="F89" i="16"/>
  <c r="F91" i="16"/>
  <c r="E90" i="16"/>
  <c r="E89" i="16"/>
  <c r="E91" i="16"/>
  <c r="D90" i="16"/>
  <c r="D89" i="16"/>
  <c r="D91" i="16"/>
  <c r="AA90" i="16"/>
  <c r="Z90" i="16"/>
  <c r="Y90" i="16"/>
  <c r="X90" i="16"/>
  <c r="AA89" i="16"/>
  <c r="Z89" i="16"/>
  <c r="Y89" i="16"/>
  <c r="X89" i="16"/>
  <c r="C90" i="16"/>
  <c r="C89" i="16"/>
  <c r="C91" i="16"/>
  <c r="AA109" i="16"/>
  <c r="Z109" i="16"/>
  <c r="Y109" i="16"/>
  <c r="X109" i="16"/>
  <c r="C129" i="16"/>
  <c r="C130" i="16"/>
  <c r="C135" i="16"/>
  <c r="C136" i="16"/>
  <c r="C142" i="16"/>
  <c r="C143" i="16"/>
  <c r="C149" i="16"/>
  <c r="C150" i="16"/>
  <c r="W107" i="16"/>
  <c r="W108" i="16"/>
  <c r="W109" i="16"/>
  <c r="V107" i="16"/>
  <c r="V108" i="16"/>
  <c r="V109" i="16"/>
  <c r="U107" i="16"/>
  <c r="U108" i="16"/>
  <c r="U109" i="16"/>
  <c r="T107" i="16"/>
  <c r="T108" i="16"/>
  <c r="T109" i="16"/>
  <c r="S107" i="16"/>
  <c r="S108" i="16"/>
  <c r="S109" i="16"/>
  <c r="R107" i="16"/>
  <c r="R108" i="16"/>
  <c r="R109" i="16"/>
  <c r="Q107" i="16"/>
  <c r="Q108" i="16"/>
  <c r="Q109" i="16"/>
  <c r="P107" i="16"/>
  <c r="P108" i="16"/>
  <c r="P109" i="16"/>
  <c r="O107" i="16"/>
  <c r="O108" i="16"/>
  <c r="O109" i="16"/>
  <c r="N107" i="16"/>
  <c r="N108" i="16"/>
  <c r="N109" i="16"/>
  <c r="M107" i="16"/>
  <c r="M108" i="16"/>
  <c r="M109" i="16"/>
  <c r="L107" i="16"/>
  <c r="L108" i="16"/>
  <c r="L109" i="16"/>
  <c r="K107" i="16"/>
  <c r="K108" i="16"/>
  <c r="K109" i="16"/>
  <c r="J107" i="16"/>
  <c r="J108" i="16"/>
  <c r="J109" i="16"/>
  <c r="I107" i="16"/>
  <c r="I108" i="16"/>
  <c r="I109" i="16"/>
  <c r="H107" i="16"/>
  <c r="H108" i="16"/>
  <c r="H109" i="16"/>
  <c r="G107" i="16"/>
  <c r="G108" i="16"/>
  <c r="G109" i="16"/>
  <c r="F107" i="16"/>
  <c r="F108" i="16"/>
  <c r="F109" i="16"/>
  <c r="E107" i="16"/>
  <c r="E108" i="16"/>
  <c r="E109" i="16"/>
  <c r="D107" i="16"/>
  <c r="D108" i="16"/>
  <c r="D109" i="16"/>
  <c r="AA108" i="16"/>
  <c r="Z108" i="16"/>
  <c r="Y108" i="16"/>
  <c r="X108" i="16"/>
  <c r="AA107" i="16"/>
  <c r="Z107" i="16"/>
  <c r="Y107" i="16"/>
  <c r="X107" i="16"/>
  <c r="C107" i="16"/>
  <c r="C108" i="16"/>
  <c r="C109" i="16"/>
  <c r="B15" i="16"/>
  <c r="AB15" i="16"/>
  <c r="AA15" i="16"/>
  <c r="Z15" i="16"/>
  <c r="Y15" i="16"/>
  <c r="X15" i="16"/>
  <c r="W15" i="16"/>
  <c r="V15" i="16"/>
  <c r="U15" i="16"/>
  <c r="T15" i="16"/>
  <c r="S15" i="16"/>
  <c r="R15" i="16"/>
  <c r="Q15" i="16"/>
  <c r="P15" i="16"/>
  <c r="O15" i="16"/>
  <c r="N15" i="16"/>
  <c r="B14" i="16"/>
  <c r="AB14" i="16"/>
  <c r="AA14" i="16"/>
  <c r="Z14" i="16"/>
  <c r="Y14" i="16"/>
  <c r="X14" i="16"/>
  <c r="W14" i="16"/>
  <c r="V14" i="16"/>
  <c r="U14" i="16"/>
  <c r="T14" i="16"/>
  <c r="S14" i="16"/>
  <c r="R14" i="16"/>
  <c r="Q14" i="16"/>
  <c r="P14" i="16"/>
  <c r="O14" i="16"/>
  <c r="N14" i="16"/>
  <c r="B13" i="16"/>
  <c r="AB13" i="16"/>
  <c r="AA13" i="16"/>
  <c r="Z13" i="16"/>
  <c r="Y13" i="16"/>
  <c r="X13" i="16"/>
  <c r="W13" i="16"/>
  <c r="V13" i="16"/>
  <c r="U13" i="16"/>
  <c r="T13" i="16"/>
  <c r="S13" i="16"/>
  <c r="R13" i="16"/>
  <c r="Q13" i="16"/>
  <c r="P13" i="16"/>
  <c r="O13" i="16"/>
  <c r="N13" i="16"/>
  <c r="B12" i="16"/>
  <c r="AB12" i="16"/>
  <c r="AA12" i="16"/>
  <c r="Z12" i="16"/>
  <c r="Y12" i="16"/>
  <c r="X12" i="16"/>
  <c r="W12" i="16"/>
  <c r="V12" i="16"/>
  <c r="U12" i="16"/>
  <c r="T12" i="16"/>
  <c r="S12" i="16"/>
  <c r="R12" i="16"/>
  <c r="Q12" i="16"/>
  <c r="P12" i="16"/>
  <c r="O12" i="16"/>
  <c r="N12" i="16"/>
  <c r="AB9" i="16"/>
  <c r="AA9" i="16"/>
  <c r="Z9" i="16"/>
  <c r="Y9" i="16"/>
  <c r="X9" i="16"/>
  <c r="W9" i="16"/>
  <c r="V9" i="16"/>
  <c r="U9" i="16"/>
  <c r="T9" i="16"/>
  <c r="S9" i="16"/>
  <c r="R9" i="16"/>
  <c r="Q9" i="16"/>
  <c r="P9" i="16"/>
  <c r="O9" i="16"/>
  <c r="N9" i="16"/>
  <c r="AA35" i="15"/>
  <c r="Z35" i="15"/>
  <c r="Y35" i="15"/>
  <c r="X35" i="15"/>
  <c r="E47" i="15"/>
  <c r="E59" i="15"/>
  <c r="E48" i="15"/>
  <c r="E49" i="15"/>
  <c r="E67" i="15"/>
  <c r="E68" i="15"/>
  <c r="E69" i="15"/>
  <c r="E62" i="15"/>
  <c r="E63" i="15"/>
  <c r="E64" i="15"/>
  <c r="W34" i="15"/>
  <c r="W33" i="15"/>
  <c r="W35" i="15"/>
  <c r="V34" i="15"/>
  <c r="V33" i="15"/>
  <c r="V35" i="15"/>
  <c r="U34" i="15"/>
  <c r="U33" i="15"/>
  <c r="U35" i="15"/>
  <c r="T34" i="15"/>
  <c r="T33" i="15"/>
  <c r="T35" i="15"/>
  <c r="S34" i="15"/>
  <c r="S33" i="15"/>
  <c r="S35" i="15"/>
  <c r="R34" i="15"/>
  <c r="R33" i="15"/>
  <c r="R35" i="15"/>
  <c r="Q34" i="15"/>
  <c r="Q33" i="15"/>
  <c r="Q35" i="15"/>
  <c r="P34" i="15"/>
  <c r="P33" i="15"/>
  <c r="P35" i="15"/>
  <c r="O34" i="15"/>
  <c r="O33" i="15"/>
  <c r="O35" i="15"/>
  <c r="N34" i="15"/>
  <c r="N33" i="15"/>
  <c r="N35" i="15"/>
  <c r="M34" i="15"/>
  <c r="M33" i="15"/>
  <c r="M35" i="15"/>
  <c r="L34" i="15"/>
  <c r="L33" i="15"/>
  <c r="L35" i="15"/>
  <c r="K34" i="15"/>
  <c r="K33" i="15"/>
  <c r="K35" i="15"/>
  <c r="J34" i="15"/>
  <c r="J33" i="15"/>
  <c r="J35" i="15"/>
  <c r="I34" i="15"/>
  <c r="I33" i="15"/>
  <c r="I35" i="15"/>
  <c r="H34" i="15"/>
  <c r="H33" i="15"/>
  <c r="H35" i="15"/>
  <c r="G34" i="15"/>
  <c r="G33" i="15"/>
  <c r="G35" i="15"/>
  <c r="F34" i="15"/>
  <c r="F33" i="15"/>
  <c r="F35" i="15"/>
  <c r="E34" i="15"/>
  <c r="E33" i="15"/>
  <c r="E35" i="15"/>
  <c r="D34" i="15"/>
  <c r="D33" i="15"/>
  <c r="D35" i="15"/>
  <c r="AA34" i="15"/>
  <c r="Z34" i="15"/>
  <c r="Y34" i="15"/>
  <c r="X34" i="15"/>
  <c r="AA33" i="15"/>
  <c r="Z33" i="15"/>
  <c r="Y33" i="15"/>
  <c r="X33" i="15"/>
  <c r="C34" i="15"/>
  <c r="C33" i="15"/>
  <c r="C35" i="15"/>
  <c r="AA83" i="15"/>
  <c r="Z83" i="15"/>
  <c r="Y83" i="15"/>
  <c r="X83" i="15"/>
  <c r="E87" i="15"/>
  <c r="E95" i="15"/>
  <c r="C4" i="15"/>
  <c r="C5" i="15"/>
  <c r="E89" i="15"/>
  <c r="E110" i="15"/>
  <c r="E109" i="15"/>
  <c r="E114" i="15"/>
  <c r="E115" i="15"/>
  <c r="E88" i="15"/>
  <c r="W82" i="15"/>
  <c r="W81" i="15"/>
  <c r="W83" i="15"/>
  <c r="V82" i="15"/>
  <c r="V81" i="15"/>
  <c r="V83" i="15"/>
  <c r="U82" i="15"/>
  <c r="U81" i="15"/>
  <c r="U83" i="15"/>
  <c r="T82" i="15"/>
  <c r="T81" i="15"/>
  <c r="T83" i="15"/>
  <c r="S82" i="15"/>
  <c r="S81" i="15"/>
  <c r="S83" i="15"/>
  <c r="R82" i="15"/>
  <c r="R81" i="15"/>
  <c r="R83" i="15"/>
  <c r="Q82" i="15"/>
  <c r="Q81" i="15"/>
  <c r="Q83" i="15"/>
  <c r="P82" i="15"/>
  <c r="P81" i="15"/>
  <c r="P83" i="15"/>
  <c r="O82" i="15"/>
  <c r="O81" i="15"/>
  <c r="O83" i="15"/>
  <c r="N82" i="15"/>
  <c r="N81" i="15"/>
  <c r="N83" i="15"/>
  <c r="M82" i="15"/>
  <c r="M81" i="15"/>
  <c r="M83" i="15"/>
  <c r="L82" i="15"/>
  <c r="L81" i="15"/>
  <c r="L83" i="15"/>
  <c r="K82" i="15"/>
  <c r="K81" i="15"/>
  <c r="K83" i="15"/>
  <c r="J82" i="15"/>
  <c r="J81" i="15"/>
  <c r="J83" i="15"/>
  <c r="I82" i="15"/>
  <c r="I81" i="15"/>
  <c r="I83" i="15"/>
  <c r="H82" i="15"/>
  <c r="H81" i="15"/>
  <c r="H83" i="15"/>
  <c r="G82" i="15"/>
  <c r="G81" i="15"/>
  <c r="G83" i="15"/>
  <c r="F82" i="15"/>
  <c r="F81" i="15"/>
  <c r="F83" i="15"/>
  <c r="E82" i="15"/>
  <c r="E81" i="15"/>
  <c r="E83" i="15"/>
  <c r="D82" i="15"/>
  <c r="D81" i="15"/>
  <c r="D83" i="15"/>
  <c r="AA82" i="15"/>
  <c r="Z82" i="15"/>
  <c r="Y82" i="15"/>
  <c r="X82" i="15"/>
  <c r="AA81" i="15"/>
  <c r="Z81" i="15"/>
  <c r="Y81" i="15"/>
  <c r="X81" i="15"/>
  <c r="C82" i="15"/>
  <c r="C81" i="15"/>
  <c r="C83" i="15"/>
  <c r="AA135" i="15"/>
  <c r="Z135" i="15"/>
  <c r="Y135" i="15"/>
  <c r="X135" i="15"/>
  <c r="E138" i="15"/>
  <c r="E140" i="15"/>
  <c r="W134" i="15"/>
  <c r="W133" i="15"/>
  <c r="W135" i="15"/>
  <c r="V134" i="15"/>
  <c r="V133" i="15"/>
  <c r="V135" i="15"/>
  <c r="U134" i="15"/>
  <c r="U133" i="15"/>
  <c r="U135" i="15"/>
  <c r="T134" i="15"/>
  <c r="T133" i="15"/>
  <c r="T135" i="15"/>
  <c r="S134" i="15"/>
  <c r="S133" i="15"/>
  <c r="S135" i="15"/>
  <c r="R134" i="15"/>
  <c r="R133" i="15"/>
  <c r="R135" i="15"/>
  <c r="Q134" i="15"/>
  <c r="Q133" i="15"/>
  <c r="Q135" i="15"/>
  <c r="P134" i="15"/>
  <c r="P133" i="15"/>
  <c r="P135" i="15"/>
  <c r="O134" i="15"/>
  <c r="O133" i="15"/>
  <c r="O135" i="15"/>
  <c r="N134" i="15"/>
  <c r="N133" i="15"/>
  <c r="N135" i="15"/>
  <c r="M134" i="15"/>
  <c r="M133" i="15"/>
  <c r="M135" i="15"/>
  <c r="L134" i="15"/>
  <c r="L133" i="15"/>
  <c r="L135" i="15"/>
  <c r="K134" i="15"/>
  <c r="K133" i="15"/>
  <c r="K135" i="15"/>
  <c r="J134" i="15"/>
  <c r="J133" i="15"/>
  <c r="J135" i="15"/>
  <c r="I134" i="15"/>
  <c r="I133" i="15"/>
  <c r="I135" i="15"/>
  <c r="H134" i="15"/>
  <c r="H133" i="15"/>
  <c r="H135" i="15"/>
  <c r="G134" i="15"/>
  <c r="G133" i="15"/>
  <c r="G135" i="15"/>
  <c r="F134" i="15"/>
  <c r="F133" i="15"/>
  <c r="F135" i="15"/>
  <c r="E134" i="15"/>
  <c r="E133" i="15"/>
  <c r="E135" i="15"/>
  <c r="D134" i="15"/>
  <c r="D133" i="15"/>
  <c r="D135" i="15"/>
  <c r="AA134" i="15"/>
  <c r="Z134" i="15"/>
  <c r="Y134" i="15"/>
  <c r="X134" i="15"/>
  <c r="AA133" i="15"/>
  <c r="Z133" i="15"/>
  <c r="Y133" i="15"/>
  <c r="X133" i="15"/>
  <c r="C134" i="15"/>
  <c r="C133" i="15"/>
  <c r="C135" i="15"/>
  <c r="B20" i="15"/>
  <c r="AB20" i="15"/>
  <c r="AA20" i="15"/>
  <c r="Z20" i="15"/>
  <c r="Y20" i="15"/>
  <c r="X20" i="15"/>
  <c r="W20" i="15"/>
  <c r="V20" i="15"/>
  <c r="U20" i="15"/>
  <c r="T20" i="15"/>
  <c r="S20" i="15"/>
  <c r="R20" i="15"/>
  <c r="Q20" i="15"/>
  <c r="P20" i="15"/>
  <c r="O20" i="15"/>
  <c r="N20" i="15"/>
  <c r="B19" i="15"/>
  <c r="AB19" i="15"/>
  <c r="AA19" i="15"/>
  <c r="Z19" i="15"/>
  <c r="Y19" i="15"/>
  <c r="X19" i="15"/>
  <c r="W19" i="15"/>
  <c r="V19" i="15"/>
  <c r="U19" i="15"/>
  <c r="T19" i="15"/>
  <c r="S19" i="15"/>
  <c r="R19" i="15"/>
  <c r="Q19" i="15"/>
  <c r="P19" i="15"/>
  <c r="O19" i="15"/>
  <c r="N19" i="15"/>
  <c r="B18" i="15"/>
  <c r="AB18" i="15"/>
  <c r="AA18" i="15"/>
  <c r="Z18" i="15"/>
  <c r="Y18" i="15"/>
  <c r="X18" i="15"/>
  <c r="W18" i="15"/>
  <c r="V18" i="15"/>
  <c r="U18" i="15"/>
  <c r="T18" i="15"/>
  <c r="S18" i="15"/>
  <c r="R18" i="15"/>
  <c r="Q18" i="15"/>
  <c r="P18" i="15"/>
  <c r="O18" i="15"/>
  <c r="N18" i="15"/>
  <c r="AB15" i="15"/>
  <c r="AA15" i="15"/>
  <c r="Z15" i="15"/>
  <c r="Y15" i="15"/>
  <c r="X15" i="15"/>
  <c r="W15" i="15"/>
  <c r="V15" i="15"/>
  <c r="U15" i="15"/>
  <c r="T15" i="15"/>
  <c r="S15" i="15"/>
  <c r="R15" i="15"/>
  <c r="Q15" i="15"/>
  <c r="P15" i="15"/>
  <c r="O15" i="15"/>
  <c r="N15" i="15"/>
  <c r="C15" i="3"/>
  <c r="E58" i="3"/>
  <c r="C14" i="3"/>
  <c r="D83" i="3"/>
  <c r="C178" i="5"/>
  <c r="C64" i="5"/>
  <c r="C105" i="5"/>
  <c r="C106" i="5"/>
  <c r="C59" i="5"/>
  <c r="C60" i="5"/>
  <c r="C58" i="5"/>
  <c r="B7" i="5"/>
  <c r="A49" i="5"/>
  <c r="A52" i="5"/>
  <c r="A55" i="5"/>
  <c r="A58" i="5"/>
  <c r="D7" i="5"/>
  <c r="C32" i="9"/>
  <c r="C124" i="5"/>
  <c r="C132" i="5"/>
  <c r="C129" i="5"/>
  <c r="C130" i="5"/>
  <c r="C131" i="5"/>
  <c r="C160" i="5"/>
  <c r="C162" i="5"/>
  <c r="C161" i="5"/>
  <c r="C163" i="5"/>
  <c r="C128" i="5"/>
  <c r="B8" i="5"/>
  <c r="A125" i="5"/>
  <c r="A126" i="5"/>
  <c r="A127" i="5"/>
  <c r="A128" i="5"/>
  <c r="D8" i="5"/>
  <c r="C33" i="9"/>
  <c r="C174" i="5"/>
  <c r="C184" i="5"/>
  <c r="C175" i="5"/>
  <c r="C19" i="5"/>
  <c r="C202" i="5"/>
  <c r="C176" i="5"/>
  <c r="C177" i="5"/>
  <c r="B9" i="5"/>
  <c r="D9" i="5"/>
  <c r="C34" i="9"/>
  <c r="C218" i="5"/>
  <c r="C222" i="5"/>
  <c r="C227" i="5"/>
  <c r="C219" i="5"/>
  <c r="C229" i="5"/>
  <c r="C233" i="5"/>
  <c r="C234" i="5"/>
  <c r="C235" i="5"/>
  <c r="C232" i="5"/>
  <c r="C220" i="5"/>
  <c r="C221" i="5"/>
  <c r="B10" i="5"/>
  <c r="D10" i="5"/>
  <c r="C35" i="9"/>
  <c r="C248" i="5"/>
  <c r="C250" i="5"/>
  <c r="C303" i="5"/>
  <c r="C304" i="5"/>
  <c r="C305" i="5"/>
  <c r="C307" i="5"/>
  <c r="C308" i="5"/>
  <c r="C309" i="5"/>
  <c r="C299" i="5"/>
  <c r="C300" i="5"/>
  <c r="C301" i="5"/>
  <c r="C311" i="5"/>
  <c r="C312" i="5"/>
  <c r="C313" i="5"/>
  <c r="C249" i="5"/>
  <c r="B11" i="5"/>
  <c r="D11" i="5"/>
  <c r="C36" i="9"/>
  <c r="C29" i="9"/>
  <c r="C42" i="9"/>
  <c r="C58" i="4"/>
  <c r="C43" i="9"/>
  <c r="C44" i="9"/>
  <c r="C45" i="9"/>
  <c r="C46" i="9"/>
  <c r="C39" i="9"/>
  <c r="E51" i="3"/>
  <c r="E56" i="3"/>
  <c r="E70" i="3"/>
  <c r="E68" i="3"/>
  <c r="E43" i="3"/>
  <c r="C22" i="9"/>
  <c r="C83" i="3"/>
  <c r="C23" i="9"/>
  <c r="C103" i="3"/>
  <c r="C104" i="3"/>
  <c r="C24" i="9"/>
  <c r="C141" i="3"/>
  <c r="C25" i="9"/>
  <c r="C166" i="3"/>
  <c r="C26" i="9"/>
  <c r="C19" i="9"/>
  <c r="B10" i="11"/>
  <c r="B11" i="11"/>
  <c r="C30" i="11"/>
  <c r="C39" i="11"/>
  <c r="E108" i="11"/>
  <c r="E109" i="11"/>
  <c r="E110" i="11"/>
  <c r="C32" i="11"/>
  <c r="E104" i="11"/>
  <c r="E105" i="11"/>
  <c r="E106" i="11"/>
  <c r="C33" i="11"/>
  <c r="C34" i="11"/>
  <c r="E123" i="11"/>
  <c r="E124" i="11"/>
  <c r="E125" i="11"/>
  <c r="C35" i="11"/>
  <c r="E135" i="11"/>
  <c r="C36" i="11"/>
  <c r="C38" i="11"/>
  <c r="D11" i="11"/>
  <c r="B12" i="11"/>
  <c r="C52" i="11"/>
  <c r="E99" i="11"/>
  <c r="E101" i="11"/>
  <c r="E102" i="11"/>
  <c r="C42" i="11"/>
  <c r="C43" i="11"/>
  <c r="C44" i="11"/>
  <c r="E113" i="11"/>
  <c r="E115" i="11"/>
  <c r="E116" i="11"/>
  <c r="C45" i="11"/>
  <c r="E118" i="11"/>
  <c r="E119" i="11"/>
  <c r="E120" i="11"/>
  <c r="C46" i="11"/>
  <c r="E128" i="11"/>
  <c r="C47" i="11"/>
  <c r="C48" i="11"/>
  <c r="C50" i="11"/>
  <c r="D12" i="11"/>
  <c r="D10" i="11"/>
  <c r="C53" i="9"/>
  <c r="B13" i="11"/>
  <c r="B14" i="11"/>
  <c r="C168" i="11"/>
  <c r="C18" i="11"/>
  <c r="C19" i="11"/>
  <c r="C149" i="11"/>
  <c r="C150" i="11"/>
  <c r="C151" i="11"/>
  <c r="C154" i="11"/>
  <c r="D14" i="11"/>
  <c r="B15" i="11"/>
  <c r="C158" i="11"/>
  <c r="C159" i="11"/>
  <c r="C160" i="11"/>
  <c r="C161" i="11"/>
  <c r="C162" i="11"/>
  <c r="C163" i="11"/>
  <c r="C166" i="11"/>
  <c r="D15" i="11"/>
  <c r="D13" i="11"/>
  <c r="C56" i="9"/>
  <c r="C50" i="9"/>
  <c r="D20" i="15"/>
  <c r="C98" i="9"/>
  <c r="D19" i="15"/>
  <c r="C97" i="9"/>
  <c r="D18" i="15"/>
  <c r="C96" i="9"/>
  <c r="C93" i="9"/>
  <c r="D12" i="16"/>
  <c r="C87" i="9"/>
  <c r="D13" i="16"/>
  <c r="C88" i="9"/>
  <c r="D14" i="16"/>
  <c r="C89" i="9"/>
  <c r="D15" i="16"/>
  <c r="C90" i="9"/>
  <c r="C84" i="9"/>
  <c r="C235" i="13"/>
  <c r="C237" i="13"/>
  <c r="C238" i="13"/>
  <c r="C189" i="13"/>
  <c r="C240" i="13"/>
  <c r="C242" i="13"/>
  <c r="C243" i="13"/>
  <c r="C190" i="13"/>
  <c r="C245" i="13"/>
  <c r="C247" i="13"/>
  <c r="C248" i="13"/>
  <c r="C191" i="13"/>
  <c r="C250" i="13"/>
  <c r="C251" i="13"/>
  <c r="C252" i="13"/>
  <c r="C192" i="13"/>
  <c r="C254" i="13"/>
  <c r="C255" i="13"/>
  <c r="C256" i="13"/>
  <c r="C193" i="13"/>
  <c r="C195" i="13"/>
  <c r="C165" i="13"/>
  <c r="C176" i="13"/>
  <c r="C177" i="13"/>
  <c r="C178" i="13"/>
  <c r="C179" i="13"/>
  <c r="C180" i="13"/>
  <c r="C258" i="13"/>
  <c r="C259" i="13"/>
  <c r="C260" i="13"/>
  <c r="C181" i="13"/>
  <c r="C182" i="13"/>
  <c r="C164" i="13"/>
  <c r="C167" i="13"/>
  <c r="B17" i="13"/>
  <c r="C11" i="13"/>
  <c r="D17" i="13"/>
  <c r="C71" i="9"/>
  <c r="C3" i="13"/>
  <c r="C4" i="13"/>
  <c r="C303" i="13"/>
  <c r="C304" i="13"/>
  <c r="C305" i="13"/>
  <c r="C306" i="13"/>
  <c r="C307" i="13"/>
  <c r="C308" i="13"/>
  <c r="C273" i="13"/>
  <c r="C292" i="13"/>
  <c r="C293" i="13"/>
  <c r="C294" i="13"/>
  <c r="C295" i="13"/>
  <c r="C296" i="13"/>
  <c r="C297" i="13"/>
  <c r="C272" i="13"/>
  <c r="C275" i="13"/>
  <c r="B18" i="13"/>
  <c r="D18" i="13"/>
  <c r="C72" i="9"/>
  <c r="C342" i="13"/>
  <c r="C343" i="13"/>
  <c r="C346" i="13"/>
  <c r="C333" i="13"/>
  <c r="C332" i="13"/>
  <c r="C335" i="13"/>
  <c r="B19" i="13"/>
  <c r="D19" i="13"/>
  <c r="C73" i="9"/>
  <c r="C363" i="13"/>
  <c r="C362" i="13"/>
  <c r="C365" i="13"/>
  <c r="B20" i="13"/>
  <c r="D20" i="13"/>
  <c r="C74" i="9"/>
  <c r="B16" i="13"/>
  <c r="C139" i="13"/>
  <c r="C137" i="13"/>
  <c r="C138" i="13"/>
  <c r="C69" i="13"/>
  <c r="C127" i="13"/>
  <c r="C125" i="13"/>
  <c r="C126" i="13"/>
  <c r="C68" i="13"/>
  <c r="C71" i="13"/>
  <c r="D16" i="13"/>
  <c r="C70" i="9"/>
  <c r="C67" i="9"/>
  <c r="D17" i="14"/>
  <c r="C80" i="9"/>
  <c r="D18" i="14"/>
  <c r="C81" i="9"/>
  <c r="C77" i="9"/>
  <c r="C10" i="9"/>
  <c r="C11" i="9"/>
  <c r="D22" i="9"/>
  <c r="D23" i="9"/>
  <c r="D103" i="3"/>
  <c r="D104" i="3"/>
  <c r="D24" i="9"/>
  <c r="D141" i="3"/>
  <c r="D25" i="9"/>
  <c r="D166" i="3"/>
  <c r="D26" i="9"/>
  <c r="D19" i="9"/>
  <c r="D64" i="5"/>
  <c r="D59" i="5"/>
  <c r="D60" i="5"/>
  <c r="D58" i="5"/>
  <c r="E1" i="5"/>
  <c r="E7" i="5"/>
  <c r="D32" i="9"/>
  <c r="D124" i="5"/>
  <c r="D132" i="5"/>
  <c r="D129" i="5"/>
  <c r="D130" i="5"/>
  <c r="D131" i="5"/>
  <c r="D128" i="5"/>
  <c r="E8" i="5"/>
  <c r="D33" i="9"/>
  <c r="D174" i="5"/>
  <c r="D178" i="5"/>
  <c r="D175" i="5"/>
  <c r="D176" i="5"/>
  <c r="D177" i="5"/>
  <c r="E9" i="5"/>
  <c r="D34" i="9"/>
  <c r="D218" i="5"/>
  <c r="D222" i="5"/>
  <c r="D219" i="5"/>
  <c r="D220" i="5"/>
  <c r="D221" i="5"/>
  <c r="E10" i="5"/>
  <c r="D35" i="9"/>
  <c r="D248" i="5"/>
  <c r="D250" i="5"/>
  <c r="D249" i="5"/>
  <c r="E11" i="5"/>
  <c r="D36" i="9"/>
  <c r="D29" i="9"/>
  <c r="D42" i="9"/>
  <c r="D58" i="4"/>
  <c r="D43" i="9"/>
  <c r="D44" i="9"/>
  <c r="D45" i="9"/>
  <c r="D46" i="9"/>
  <c r="D39" i="9"/>
  <c r="D39" i="11"/>
  <c r="D32" i="11"/>
  <c r="D33" i="11"/>
  <c r="D34" i="11"/>
  <c r="D35" i="11"/>
  <c r="D36" i="11"/>
  <c r="D38" i="11"/>
  <c r="E11" i="11"/>
  <c r="D52" i="11"/>
  <c r="D42" i="11"/>
  <c r="D43" i="11"/>
  <c r="D44" i="11"/>
  <c r="D45" i="11"/>
  <c r="D46" i="11"/>
  <c r="D47" i="11"/>
  <c r="D48" i="11"/>
  <c r="D50" i="11"/>
  <c r="E12" i="11"/>
  <c r="E10" i="11"/>
  <c r="D53" i="9"/>
  <c r="D168" i="11"/>
  <c r="D149" i="11"/>
  <c r="D150" i="11"/>
  <c r="D151" i="11"/>
  <c r="D154" i="11"/>
  <c r="E14" i="11"/>
  <c r="D158" i="11"/>
  <c r="D159" i="11"/>
  <c r="D160" i="11"/>
  <c r="D161" i="11"/>
  <c r="D162" i="11"/>
  <c r="D163" i="11"/>
  <c r="D166" i="11"/>
  <c r="E15" i="11"/>
  <c r="E13" i="11"/>
  <c r="D56" i="9"/>
  <c r="D50" i="9"/>
  <c r="E20" i="15"/>
  <c r="D98" i="9"/>
  <c r="E19" i="15"/>
  <c r="D97" i="9"/>
  <c r="E18" i="15"/>
  <c r="D96" i="9"/>
  <c r="D93" i="9"/>
  <c r="E12" i="16"/>
  <c r="D87" i="9"/>
  <c r="E13" i="16"/>
  <c r="D88" i="9"/>
  <c r="E14" i="16"/>
  <c r="D89" i="9"/>
  <c r="E15" i="16"/>
  <c r="D90" i="9"/>
  <c r="D84" i="9"/>
  <c r="D197" i="13"/>
  <c r="D189" i="13"/>
  <c r="D190" i="13"/>
  <c r="D196" i="13"/>
  <c r="D191" i="13"/>
  <c r="D192" i="13"/>
  <c r="D193" i="13"/>
  <c r="D194" i="13"/>
  <c r="D195" i="13"/>
  <c r="D165" i="13"/>
  <c r="D176" i="13"/>
  <c r="D177" i="13"/>
  <c r="D178" i="13"/>
  <c r="D179" i="13"/>
  <c r="D180" i="13"/>
  <c r="D181" i="13"/>
  <c r="D182" i="13"/>
  <c r="D164" i="13"/>
  <c r="D167" i="13"/>
  <c r="E17" i="13"/>
  <c r="D71" i="9"/>
  <c r="D303" i="13"/>
  <c r="D304" i="13"/>
  <c r="D305" i="13"/>
  <c r="D306" i="13"/>
  <c r="D307" i="13"/>
  <c r="D308" i="13"/>
  <c r="D273" i="13"/>
  <c r="D292" i="13"/>
  <c r="D293" i="13"/>
  <c r="D294" i="13"/>
  <c r="D295" i="13"/>
  <c r="D296" i="13"/>
  <c r="D297" i="13"/>
  <c r="D272" i="13"/>
  <c r="D275" i="13"/>
  <c r="E18" i="13"/>
  <c r="D72" i="9"/>
  <c r="D333" i="13"/>
  <c r="D332" i="13"/>
  <c r="D335" i="13"/>
  <c r="E19" i="13"/>
  <c r="D73" i="9"/>
  <c r="D363" i="13"/>
  <c r="D362" i="13"/>
  <c r="D365" i="13"/>
  <c r="E20" i="13"/>
  <c r="D74" i="9"/>
  <c r="D139" i="13"/>
  <c r="D137" i="13"/>
  <c r="D138" i="13"/>
  <c r="D69" i="13"/>
  <c r="D127" i="13"/>
  <c r="D125" i="13"/>
  <c r="D126" i="13"/>
  <c r="D68" i="13"/>
  <c r="D71" i="13"/>
  <c r="E16" i="13"/>
  <c r="D70" i="9"/>
  <c r="D67" i="9"/>
  <c r="E17" i="14"/>
  <c r="D80" i="9"/>
  <c r="E18" i="14"/>
  <c r="D81" i="9"/>
  <c r="D77" i="9"/>
  <c r="D10" i="9"/>
  <c r="D11" i="9"/>
  <c r="E22" i="9"/>
  <c r="E83" i="3"/>
  <c r="E23" i="9"/>
  <c r="E103" i="3"/>
  <c r="E104" i="3"/>
  <c r="E24" i="9"/>
  <c r="E141" i="3"/>
  <c r="E25" i="9"/>
  <c r="E166" i="3"/>
  <c r="E26" i="9"/>
  <c r="E19" i="9"/>
  <c r="E64" i="5"/>
  <c r="E59" i="5"/>
  <c r="E60" i="5"/>
  <c r="E58" i="5"/>
  <c r="F1" i="5"/>
  <c r="F7" i="5"/>
  <c r="E32" i="9"/>
  <c r="E124" i="5"/>
  <c r="E132" i="5"/>
  <c r="E129" i="5"/>
  <c r="E130" i="5"/>
  <c r="E131" i="5"/>
  <c r="E128" i="5"/>
  <c r="F8" i="5"/>
  <c r="E33" i="9"/>
  <c r="E174" i="5"/>
  <c r="E178" i="5"/>
  <c r="E175" i="5"/>
  <c r="E176" i="5"/>
  <c r="E177" i="5"/>
  <c r="F9" i="5"/>
  <c r="E34" i="9"/>
  <c r="E218" i="5"/>
  <c r="E222" i="5"/>
  <c r="E219" i="5"/>
  <c r="E220" i="5"/>
  <c r="E221" i="5"/>
  <c r="F10" i="5"/>
  <c r="E35" i="9"/>
  <c r="E248" i="5"/>
  <c r="E250" i="5"/>
  <c r="E249" i="5"/>
  <c r="F11" i="5"/>
  <c r="E36" i="9"/>
  <c r="E29" i="9"/>
  <c r="E42" i="9"/>
  <c r="E43" i="9"/>
  <c r="E44" i="9"/>
  <c r="E45" i="9"/>
  <c r="E46" i="9"/>
  <c r="E39" i="9"/>
  <c r="E39" i="11"/>
  <c r="E32" i="11"/>
  <c r="E33" i="11"/>
  <c r="E34" i="11"/>
  <c r="E35" i="11"/>
  <c r="E36" i="11"/>
  <c r="E38" i="11"/>
  <c r="F11" i="11"/>
  <c r="E52" i="11"/>
  <c r="E42" i="11"/>
  <c r="E43" i="11"/>
  <c r="E44" i="11"/>
  <c r="E45" i="11"/>
  <c r="E46" i="11"/>
  <c r="E47" i="11"/>
  <c r="E48" i="11"/>
  <c r="E50" i="11"/>
  <c r="F12" i="11"/>
  <c r="F10" i="11"/>
  <c r="E53" i="9"/>
  <c r="E168" i="11"/>
  <c r="E149" i="11"/>
  <c r="E150" i="11"/>
  <c r="E151" i="11"/>
  <c r="E154" i="11"/>
  <c r="F14" i="11"/>
  <c r="E158" i="11"/>
  <c r="E159" i="11"/>
  <c r="E160" i="11"/>
  <c r="E161" i="11"/>
  <c r="E162" i="11"/>
  <c r="E163" i="11"/>
  <c r="E166" i="11"/>
  <c r="F15" i="11"/>
  <c r="F13" i="11"/>
  <c r="E56" i="9"/>
  <c r="E50" i="9"/>
  <c r="F20" i="15"/>
  <c r="E98" i="9"/>
  <c r="F19" i="15"/>
  <c r="E97" i="9"/>
  <c r="F18" i="15"/>
  <c r="E96" i="9"/>
  <c r="E93" i="9"/>
  <c r="F12" i="16"/>
  <c r="E87" i="9"/>
  <c r="F13" i="16"/>
  <c r="E88" i="9"/>
  <c r="F14" i="16"/>
  <c r="E89" i="9"/>
  <c r="F15" i="16"/>
  <c r="E90" i="9"/>
  <c r="E84" i="9"/>
  <c r="E197" i="13"/>
  <c r="E189" i="13"/>
  <c r="E190" i="13"/>
  <c r="E196" i="13"/>
  <c r="E191" i="13"/>
  <c r="E192" i="13"/>
  <c r="E193" i="13"/>
  <c r="E194" i="13"/>
  <c r="E195" i="13"/>
  <c r="E165" i="13"/>
  <c r="E176" i="13"/>
  <c r="E177" i="13"/>
  <c r="E178" i="13"/>
  <c r="E179" i="13"/>
  <c r="E180" i="13"/>
  <c r="E181" i="13"/>
  <c r="E182" i="13"/>
  <c r="E164" i="13"/>
  <c r="E167" i="13"/>
  <c r="F17" i="13"/>
  <c r="E71" i="9"/>
  <c r="E303" i="13"/>
  <c r="E304" i="13"/>
  <c r="E305" i="13"/>
  <c r="E306" i="13"/>
  <c r="E307" i="13"/>
  <c r="E308" i="13"/>
  <c r="E273" i="13"/>
  <c r="E292" i="13"/>
  <c r="E293" i="13"/>
  <c r="E294" i="13"/>
  <c r="E295" i="13"/>
  <c r="E296" i="13"/>
  <c r="E297" i="13"/>
  <c r="E272" i="13"/>
  <c r="E275" i="13"/>
  <c r="F18" i="13"/>
  <c r="E72" i="9"/>
  <c r="E333" i="13"/>
  <c r="E332" i="13"/>
  <c r="E335" i="13"/>
  <c r="F19" i="13"/>
  <c r="E73" i="9"/>
  <c r="E363" i="13"/>
  <c r="E362" i="13"/>
  <c r="E365" i="13"/>
  <c r="F20" i="13"/>
  <c r="E74" i="9"/>
  <c r="E139" i="13"/>
  <c r="E137" i="13"/>
  <c r="E138" i="13"/>
  <c r="E69" i="13"/>
  <c r="E127" i="13"/>
  <c r="E125" i="13"/>
  <c r="E126" i="13"/>
  <c r="E68" i="13"/>
  <c r="E71" i="13"/>
  <c r="F16" i="13"/>
  <c r="E70" i="9"/>
  <c r="E67" i="9"/>
  <c r="F17" i="14"/>
  <c r="E80" i="9"/>
  <c r="F18" i="14"/>
  <c r="E81" i="9"/>
  <c r="E77" i="9"/>
  <c r="E10" i="9"/>
  <c r="E11" i="9"/>
  <c r="F22" i="9"/>
  <c r="F83" i="3"/>
  <c r="F23" i="9"/>
  <c r="F103" i="3"/>
  <c r="F104" i="3"/>
  <c r="F24" i="9"/>
  <c r="F141" i="3"/>
  <c r="F25" i="9"/>
  <c r="F166" i="3"/>
  <c r="F26" i="9"/>
  <c r="F19" i="9"/>
  <c r="F64" i="5"/>
  <c r="F59" i="5"/>
  <c r="F60" i="5"/>
  <c r="F58" i="5"/>
  <c r="G1" i="5"/>
  <c r="G7" i="5"/>
  <c r="F32" i="9"/>
  <c r="F124" i="5"/>
  <c r="F132" i="5"/>
  <c r="F129" i="5"/>
  <c r="F130" i="5"/>
  <c r="F131" i="5"/>
  <c r="F128" i="5"/>
  <c r="G8" i="5"/>
  <c r="F33" i="9"/>
  <c r="F174" i="5"/>
  <c r="F178" i="5"/>
  <c r="F175" i="5"/>
  <c r="F176" i="5"/>
  <c r="F177" i="5"/>
  <c r="G9" i="5"/>
  <c r="F34" i="9"/>
  <c r="F218" i="5"/>
  <c r="F222" i="5"/>
  <c r="F219" i="5"/>
  <c r="F220" i="5"/>
  <c r="F221" i="5"/>
  <c r="G10" i="5"/>
  <c r="F35" i="9"/>
  <c r="F248" i="5"/>
  <c r="F250" i="5"/>
  <c r="F249" i="5"/>
  <c r="G11" i="5"/>
  <c r="F36" i="9"/>
  <c r="F29" i="9"/>
  <c r="F42" i="9"/>
  <c r="F43" i="9"/>
  <c r="F44" i="9"/>
  <c r="F45" i="9"/>
  <c r="F46" i="9"/>
  <c r="F39" i="9"/>
  <c r="F39" i="11"/>
  <c r="F32" i="11"/>
  <c r="F33" i="11"/>
  <c r="F34" i="11"/>
  <c r="F35" i="11"/>
  <c r="F36" i="11"/>
  <c r="F38" i="11"/>
  <c r="G11" i="11"/>
  <c r="F52" i="11"/>
  <c r="F42" i="11"/>
  <c r="F43" i="11"/>
  <c r="F44" i="11"/>
  <c r="F45" i="11"/>
  <c r="F46" i="11"/>
  <c r="F47" i="11"/>
  <c r="F48" i="11"/>
  <c r="F50" i="11"/>
  <c r="G12" i="11"/>
  <c r="G10" i="11"/>
  <c r="F53" i="9"/>
  <c r="F168" i="11"/>
  <c r="F149" i="11"/>
  <c r="F150" i="11"/>
  <c r="F151" i="11"/>
  <c r="F154" i="11"/>
  <c r="G14" i="11"/>
  <c r="F158" i="11"/>
  <c r="F159" i="11"/>
  <c r="F160" i="11"/>
  <c r="F161" i="11"/>
  <c r="F162" i="11"/>
  <c r="F163" i="11"/>
  <c r="F166" i="11"/>
  <c r="G15" i="11"/>
  <c r="G13" i="11"/>
  <c r="F56" i="9"/>
  <c r="F50" i="9"/>
  <c r="G20" i="15"/>
  <c r="F98" i="9"/>
  <c r="G19" i="15"/>
  <c r="F97" i="9"/>
  <c r="G18" i="15"/>
  <c r="F96" i="9"/>
  <c r="F93" i="9"/>
  <c r="G12" i="16"/>
  <c r="F87" i="9"/>
  <c r="G13" i="16"/>
  <c r="F88" i="9"/>
  <c r="G14" i="16"/>
  <c r="F89" i="9"/>
  <c r="G15" i="16"/>
  <c r="F90" i="9"/>
  <c r="F84" i="9"/>
  <c r="F197" i="13"/>
  <c r="F189" i="13"/>
  <c r="F190" i="13"/>
  <c r="F196" i="13"/>
  <c r="F191" i="13"/>
  <c r="F192" i="13"/>
  <c r="F193" i="13"/>
  <c r="F194" i="13"/>
  <c r="F195" i="13"/>
  <c r="F165" i="13"/>
  <c r="F176" i="13"/>
  <c r="F177" i="13"/>
  <c r="F178" i="13"/>
  <c r="F179" i="13"/>
  <c r="F180" i="13"/>
  <c r="F181" i="13"/>
  <c r="F182" i="13"/>
  <c r="F164" i="13"/>
  <c r="F167" i="13"/>
  <c r="G17" i="13"/>
  <c r="F71" i="9"/>
  <c r="F303" i="13"/>
  <c r="F304" i="13"/>
  <c r="F305" i="13"/>
  <c r="F306" i="13"/>
  <c r="F307" i="13"/>
  <c r="F308" i="13"/>
  <c r="F273" i="13"/>
  <c r="F292" i="13"/>
  <c r="F293" i="13"/>
  <c r="F294" i="13"/>
  <c r="F295" i="13"/>
  <c r="F296" i="13"/>
  <c r="F297" i="13"/>
  <c r="F272" i="13"/>
  <c r="F275" i="13"/>
  <c r="G18" i="13"/>
  <c r="F72" i="9"/>
  <c r="F333" i="13"/>
  <c r="F332" i="13"/>
  <c r="F335" i="13"/>
  <c r="G19" i="13"/>
  <c r="F73" i="9"/>
  <c r="F363" i="13"/>
  <c r="F362" i="13"/>
  <c r="F365" i="13"/>
  <c r="G20" i="13"/>
  <c r="F74" i="9"/>
  <c r="F139" i="13"/>
  <c r="F137" i="13"/>
  <c r="F138" i="13"/>
  <c r="F69" i="13"/>
  <c r="F127" i="13"/>
  <c r="F125" i="13"/>
  <c r="F126" i="13"/>
  <c r="F68" i="13"/>
  <c r="F71" i="13"/>
  <c r="G16" i="13"/>
  <c r="F70" i="9"/>
  <c r="F67" i="9"/>
  <c r="G17" i="14"/>
  <c r="F80" i="9"/>
  <c r="G18" i="14"/>
  <c r="F81" i="9"/>
  <c r="F77" i="9"/>
  <c r="F10" i="9"/>
  <c r="F11" i="9"/>
  <c r="G22" i="9"/>
  <c r="G83" i="3"/>
  <c r="G23" i="9"/>
  <c r="G103" i="3"/>
  <c r="G104" i="3"/>
  <c r="G24" i="9"/>
  <c r="G141" i="3"/>
  <c r="G25" i="9"/>
  <c r="G166" i="3"/>
  <c r="G26" i="9"/>
  <c r="G19" i="9"/>
  <c r="G64" i="5"/>
  <c r="G59" i="5"/>
  <c r="G60" i="5"/>
  <c r="G58" i="5"/>
  <c r="H1" i="5"/>
  <c r="H7" i="5"/>
  <c r="G32" i="9"/>
  <c r="G124" i="5"/>
  <c r="G132" i="5"/>
  <c r="G129" i="5"/>
  <c r="G130" i="5"/>
  <c r="G131" i="5"/>
  <c r="G128" i="5"/>
  <c r="H8" i="5"/>
  <c r="G33" i="9"/>
  <c r="G174" i="5"/>
  <c r="G178" i="5"/>
  <c r="G175" i="5"/>
  <c r="G176" i="5"/>
  <c r="G177" i="5"/>
  <c r="H9" i="5"/>
  <c r="G34" i="9"/>
  <c r="G218" i="5"/>
  <c r="G222" i="5"/>
  <c r="G219" i="5"/>
  <c r="G220" i="5"/>
  <c r="G221" i="5"/>
  <c r="H10" i="5"/>
  <c r="G35" i="9"/>
  <c r="G248" i="5"/>
  <c r="G250" i="5"/>
  <c r="G249" i="5"/>
  <c r="H11" i="5"/>
  <c r="G36" i="9"/>
  <c r="G29" i="9"/>
  <c r="G42" i="9"/>
  <c r="G43" i="9"/>
  <c r="G44" i="9"/>
  <c r="G45" i="9"/>
  <c r="G46" i="9"/>
  <c r="G39" i="9"/>
  <c r="G39" i="11"/>
  <c r="G32" i="11"/>
  <c r="G33" i="11"/>
  <c r="G34" i="11"/>
  <c r="G35" i="11"/>
  <c r="G36" i="11"/>
  <c r="G38" i="11"/>
  <c r="H11" i="11"/>
  <c r="G52" i="11"/>
  <c r="G42" i="11"/>
  <c r="G43" i="11"/>
  <c r="G44" i="11"/>
  <c r="G45" i="11"/>
  <c r="G46" i="11"/>
  <c r="G47" i="11"/>
  <c r="G48" i="11"/>
  <c r="G50" i="11"/>
  <c r="H12" i="11"/>
  <c r="H10" i="11"/>
  <c r="G53" i="9"/>
  <c r="G168" i="11"/>
  <c r="G149" i="11"/>
  <c r="G150" i="11"/>
  <c r="G151" i="11"/>
  <c r="G154" i="11"/>
  <c r="H14" i="11"/>
  <c r="G158" i="11"/>
  <c r="G159" i="11"/>
  <c r="G160" i="11"/>
  <c r="G161" i="11"/>
  <c r="G162" i="11"/>
  <c r="G163" i="11"/>
  <c r="G166" i="11"/>
  <c r="H15" i="11"/>
  <c r="H13" i="11"/>
  <c r="G56" i="9"/>
  <c r="G50" i="9"/>
  <c r="H20" i="15"/>
  <c r="G98" i="9"/>
  <c r="H19" i="15"/>
  <c r="G97" i="9"/>
  <c r="H18" i="15"/>
  <c r="G96" i="9"/>
  <c r="G93" i="9"/>
  <c r="H12" i="16"/>
  <c r="G87" i="9"/>
  <c r="H13" i="16"/>
  <c r="G88" i="9"/>
  <c r="H14" i="16"/>
  <c r="G89" i="9"/>
  <c r="H15" i="16"/>
  <c r="G90" i="9"/>
  <c r="G84" i="9"/>
  <c r="G197" i="13"/>
  <c r="G189" i="13"/>
  <c r="G190" i="13"/>
  <c r="G196" i="13"/>
  <c r="G191" i="13"/>
  <c r="G192" i="13"/>
  <c r="G193" i="13"/>
  <c r="G194" i="13"/>
  <c r="G195" i="13"/>
  <c r="G165" i="13"/>
  <c r="G176" i="13"/>
  <c r="G177" i="13"/>
  <c r="G178" i="13"/>
  <c r="G179" i="13"/>
  <c r="G180" i="13"/>
  <c r="G181" i="13"/>
  <c r="G182" i="13"/>
  <c r="G164" i="13"/>
  <c r="G167" i="13"/>
  <c r="H17" i="13"/>
  <c r="G71" i="9"/>
  <c r="G303" i="13"/>
  <c r="G304" i="13"/>
  <c r="G305" i="13"/>
  <c r="G306" i="13"/>
  <c r="G307" i="13"/>
  <c r="G308" i="13"/>
  <c r="G273" i="13"/>
  <c r="G292" i="13"/>
  <c r="G293" i="13"/>
  <c r="G294" i="13"/>
  <c r="G295" i="13"/>
  <c r="G296" i="13"/>
  <c r="G297" i="13"/>
  <c r="G272" i="13"/>
  <c r="G275" i="13"/>
  <c r="H18" i="13"/>
  <c r="G72" i="9"/>
  <c r="G333" i="13"/>
  <c r="G332" i="13"/>
  <c r="G335" i="13"/>
  <c r="H19" i="13"/>
  <c r="G73" i="9"/>
  <c r="G363" i="13"/>
  <c r="G362" i="13"/>
  <c r="G365" i="13"/>
  <c r="H20" i="13"/>
  <c r="G74" i="9"/>
  <c r="G139" i="13"/>
  <c r="G137" i="13"/>
  <c r="G138" i="13"/>
  <c r="G69" i="13"/>
  <c r="G127" i="13"/>
  <c r="G125" i="13"/>
  <c r="G126" i="13"/>
  <c r="G68" i="13"/>
  <c r="G71" i="13"/>
  <c r="H16" i="13"/>
  <c r="G70" i="9"/>
  <c r="G67" i="9"/>
  <c r="H17" i="14"/>
  <c r="G80" i="9"/>
  <c r="H18" i="14"/>
  <c r="G81" i="9"/>
  <c r="G77" i="9"/>
  <c r="G10" i="9"/>
  <c r="G11" i="9"/>
  <c r="H22" i="9"/>
  <c r="H83" i="3"/>
  <c r="H23" i="9"/>
  <c r="H103" i="3"/>
  <c r="H104" i="3"/>
  <c r="H24" i="9"/>
  <c r="H141" i="3"/>
  <c r="H25" i="9"/>
  <c r="H166" i="3"/>
  <c r="H26" i="9"/>
  <c r="H19" i="9"/>
  <c r="H64" i="5"/>
  <c r="H59" i="5"/>
  <c r="H60" i="5"/>
  <c r="H58" i="5"/>
  <c r="I1" i="5"/>
  <c r="I7" i="5"/>
  <c r="H32" i="9"/>
  <c r="H124" i="5"/>
  <c r="H132" i="5"/>
  <c r="H129" i="5"/>
  <c r="H130" i="5"/>
  <c r="H131" i="5"/>
  <c r="H128" i="5"/>
  <c r="I8" i="5"/>
  <c r="H33" i="9"/>
  <c r="H174" i="5"/>
  <c r="H178" i="5"/>
  <c r="H175" i="5"/>
  <c r="H176" i="5"/>
  <c r="H177" i="5"/>
  <c r="I9" i="5"/>
  <c r="H34" i="9"/>
  <c r="H218" i="5"/>
  <c r="H222" i="5"/>
  <c r="H219" i="5"/>
  <c r="H220" i="5"/>
  <c r="H221" i="5"/>
  <c r="I10" i="5"/>
  <c r="H35" i="9"/>
  <c r="H248" i="5"/>
  <c r="H250" i="5"/>
  <c r="H249" i="5"/>
  <c r="I11" i="5"/>
  <c r="H36" i="9"/>
  <c r="H29" i="9"/>
  <c r="H42" i="9"/>
  <c r="H43" i="9"/>
  <c r="H44" i="9"/>
  <c r="H45" i="9"/>
  <c r="H46" i="9"/>
  <c r="H39" i="9"/>
  <c r="H39" i="11"/>
  <c r="H32" i="11"/>
  <c r="H33" i="11"/>
  <c r="H34" i="11"/>
  <c r="H35" i="11"/>
  <c r="H36" i="11"/>
  <c r="H38" i="11"/>
  <c r="I11" i="11"/>
  <c r="H52" i="11"/>
  <c r="H42" i="11"/>
  <c r="H43" i="11"/>
  <c r="H44" i="11"/>
  <c r="H45" i="11"/>
  <c r="H46" i="11"/>
  <c r="H47" i="11"/>
  <c r="H48" i="11"/>
  <c r="H50" i="11"/>
  <c r="I12" i="11"/>
  <c r="I10" i="11"/>
  <c r="H53" i="9"/>
  <c r="H168" i="11"/>
  <c r="H149" i="11"/>
  <c r="H150" i="11"/>
  <c r="H151" i="11"/>
  <c r="H154" i="11"/>
  <c r="I14" i="11"/>
  <c r="H158" i="11"/>
  <c r="H159" i="11"/>
  <c r="H160" i="11"/>
  <c r="H161" i="11"/>
  <c r="H162" i="11"/>
  <c r="H163" i="11"/>
  <c r="H166" i="11"/>
  <c r="I15" i="11"/>
  <c r="I13" i="11"/>
  <c r="H56" i="9"/>
  <c r="H50" i="9"/>
  <c r="I20" i="15"/>
  <c r="H98" i="9"/>
  <c r="I19" i="15"/>
  <c r="H97" i="9"/>
  <c r="I18" i="15"/>
  <c r="H96" i="9"/>
  <c r="H93" i="9"/>
  <c r="I12" i="16"/>
  <c r="H87" i="9"/>
  <c r="I13" i="16"/>
  <c r="H88" i="9"/>
  <c r="I14" i="16"/>
  <c r="H89" i="9"/>
  <c r="I15" i="16"/>
  <c r="H90" i="9"/>
  <c r="H84" i="9"/>
  <c r="H197" i="13"/>
  <c r="H189" i="13"/>
  <c r="H190" i="13"/>
  <c r="H196" i="13"/>
  <c r="H191" i="13"/>
  <c r="H192" i="13"/>
  <c r="H193" i="13"/>
  <c r="H194" i="13"/>
  <c r="H195" i="13"/>
  <c r="H165" i="13"/>
  <c r="H176" i="13"/>
  <c r="H177" i="13"/>
  <c r="H178" i="13"/>
  <c r="H179" i="13"/>
  <c r="H180" i="13"/>
  <c r="H181" i="13"/>
  <c r="H182" i="13"/>
  <c r="H164" i="13"/>
  <c r="H167" i="13"/>
  <c r="I17" i="13"/>
  <c r="H71" i="9"/>
  <c r="H303" i="13"/>
  <c r="H304" i="13"/>
  <c r="H305" i="13"/>
  <c r="H306" i="13"/>
  <c r="H307" i="13"/>
  <c r="H308" i="13"/>
  <c r="H273" i="13"/>
  <c r="H292" i="13"/>
  <c r="H293" i="13"/>
  <c r="H294" i="13"/>
  <c r="H295" i="13"/>
  <c r="H296" i="13"/>
  <c r="H297" i="13"/>
  <c r="H272" i="13"/>
  <c r="H275" i="13"/>
  <c r="I18" i="13"/>
  <c r="H72" i="9"/>
  <c r="H333" i="13"/>
  <c r="H332" i="13"/>
  <c r="H335" i="13"/>
  <c r="I19" i="13"/>
  <c r="H73" i="9"/>
  <c r="H363" i="13"/>
  <c r="H362" i="13"/>
  <c r="H365" i="13"/>
  <c r="I20" i="13"/>
  <c r="H74" i="9"/>
  <c r="H139" i="13"/>
  <c r="H137" i="13"/>
  <c r="H138" i="13"/>
  <c r="H69" i="13"/>
  <c r="H127" i="13"/>
  <c r="H125" i="13"/>
  <c r="H126" i="13"/>
  <c r="H68" i="13"/>
  <c r="H71" i="13"/>
  <c r="I16" i="13"/>
  <c r="H70" i="9"/>
  <c r="H67" i="9"/>
  <c r="I17" i="14"/>
  <c r="H80" i="9"/>
  <c r="I18" i="14"/>
  <c r="H81" i="9"/>
  <c r="H77" i="9"/>
  <c r="H10" i="9"/>
  <c r="H11" i="9"/>
  <c r="AA80" i="9"/>
  <c r="AA81" i="9"/>
  <c r="AA77" i="9"/>
  <c r="Z80" i="9"/>
  <c r="Z81" i="9"/>
  <c r="Z77" i="9"/>
  <c r="Y80" i="9"/>
  <c r="Y81" i="9"/>
  <c r="Y77" i="9"/>
  <c r="X80" i="9"/>
  <c r="X81" i="9"/>
  <c r="X77" i="9"/>
  <c r="V80" i="9"/>
  <c r="V81" i="9"/>
  <c r="V77" i="9"/>
  <c r="U80" i="9"/>
  <c r="U81" i="9"/>
  <c r="U77" i="9"/>
  <c r="T80" i="9"/>
  <c r="T81" i="9"/>
  <c r="T77" i="9"/>
  <c r="S80" i="9"/>
  <c r="S81" i="9"/>
  <c r="S77" i="9"/>
  <c r="R80" i="9"/>
  <c r="R81" i="9"/>
  <c r="R77" i="9"/>
  <c r="Q80" i="9"/>
  <c r="Q81" i="9"/>
  <c r="Q77" i="9"/>
  <c r="P80" i="9"/>
  <c r="P81" i="9"/>
  <c r="P77" i="9"/>
  <c r="O80" i="9"/>
  <c r="O81" i="9"/>
  <c r="O77" i="9"/>
  <c r="N80" i="9"/>
  <c r="N81" i="9"/>
  <c r="N77" i="9"/>
  <c r="M80" i="9"/>
  <c r="M81" i="9"/>
  <c r="M77" i="9"/>
  <c r="O230" i="4"/>
  <c r="Y144" i="4"/>
  <c r="Y137" i="4"/>
  <c r="Y138" i="4"/>
  <c r="Y139" i="4"/>
  <c r="Y143" i="4"/>
  <c r="Y140" i="4"/>
  <c r="Y141" i="4"/>
  <c r="X144" i="4"/>
  <c r="X137" i="4"/>
  <c r="X138" i="4"/>
  <c r="X139" i="4"/>
  <c r="X143" i="4"/>
  <c r="X140" i="4"/>
  <c r="X141" i="4"/>
  <c r="AA141" i="4"/>
  <c r="Z141" i="4"/>
  <c r="AA140" i="4"/>
  <c r="Z140" i="4"/>
  <c r="AA139" i="4"/>
  <c r="Z139" i="4"/>
  <c r="AA138" i="4"/>
  <c r="Z138" i="4"/>
  <c r="AA137" i="4"/>
  <c r="Z137" i="4"/>
  <c r="AA144" i="4"/>
  <c r="Z144" i="4"/>
  <c r="AA143" i="4"/>
  <c r="Z143" i="4"/>
  <c r="Y203" i="4"/>
  <c r="Y201" i="4"/>
  <c r="Y200" i="4"/>
  <c r="X203" i="4"/>
  <c r="X201" i="4"/>
  <c r="X200" i="4"/>
  <c r="AA201" i="4"/>
  <c r="Z201" i="4"/>
  <c r="AA200" i="4"/>
  <c r="Z200" i="4"/>
  <c r="AA203" i="4"/>
  <c r="Z203" i="4"/>
  <c r="O254" i="4"/>
  <c r="O253" i="4"/>
  <c r="O231" i="4"/>
  <c r="O232" i="4"/>
  <c r="O233" i="4"/>
  <c r="O234" i="4"/>
  <c r="O235" i="4"/>
  <c r="O236" i="4"/>
  <c r="O237" i="4"/>
  <c r="O238" i="4"/>
  <c r="O239" i="4"/>
  <c r="O240" i="4"/>
  <c r="O241" i="4"/>
  <c r="O242" i="4"/>
  <c r="O243" i="4"/>
  <c r="O244" i="4"/>
  <c r="O245" i="4"/>
  <c r="O246" i="4"/>
  <c r="O247" i="4"/>
  <c r="O248" i="4"/>
  <c r="O249" i="4"/>
  <c r="O250" i="4"/>
  <c r="O251" i="4"/>
  <c r="O252" i="4"/>
  <c r="Y32" i="4"/>
  <c r="Y33" i="4"/>
  <c r="X32" i="4"/>
  <c r="X33" i="4"/>
  <c r="AA33" i="4"/>
  <c r="Z33" i="4"/>
  <c r="AA32" i="4"/>
  <c r="Z32" i="4"/>
  <c r="AB5" i="4"/>
  <c r="AA5" i="4"/>
  <c r="Z5" i="4"/>
  <c r="Y5" i="4"/>
  <c r="B5" i="4"/>
  <c r="X5" i="4"/>
  <c r="W5" i="4"/>
  <c r="V5" i="4"/>
  <c r="U5" i="4"/>
  <c r="T5" i="4"/>
  <c r="S5" i="4"/>
  <c r="R5" i="4"/>
  <c r="Q5" i="4"/>
  <c r="P5" i="4"/>
  <c r="O5" i="4"/>
  <c r="N5" i="4"/>
  <c r="D8" i="4"/>
  <c r="D10" i="4"/>
  <c r="D12" i="4"/>
  <c r="D9" i="4"/>
  <c r="D11" i="4"/>
  <c r="D5" i="4"/>
  <c r="AA154" i="11"/>
  <c r="Z154" i="11"/>
  <c r="I168" i="11"/>
  <c r="J168" i="11"/>
  <c r="K168" i="11"/>
  <c r="L168" i="11"/>
  <c r="M168" i="11"/>
  <c r="N168" i="11"/>
  <c r="O168" i="11"/>
  <c r="P168" i="11"/>
  <c r="Q168" i="11"/>
  <c r="R168" i="11"/>
  <c r="S168" i="11"/>
  <c r="T168" i="11"/>
  <c r="U168" i="11"/>
  <c r="V168" i="11"/>
  <c r="W168" i="11"/>
  <c r="X168" i="11"/>
  <c r="Y168" i="11"/>
  <c r="Y149" i="11"/>
  <c r="Y150" i="11"/>
  <c r="Y151" i="11"/>
  <c r="Y154" i="11"/>
  <c r="X149" i="11"/>
  <c r="X150" i="11"/>
  <c r="X151" i="11"/>
  <c r="X154" i="11"/>
  <c r="W149" i="11"/>
  <c r="W150" i="11"/>
  <c r="W151" i="11"/>
  <c r="W154" i="11"/>
  <c r="V149" i="11"/>
  <c r="V150" i="11"/>
  <c r="V151" i="11"/>
  <c r="V154" i="11"/>
  <c r="U149" i="11"/>
  <c r="U150" i="11"/>
  <c r="U151" i="11"/>
  <c r="U154" i="11"/>
  <c r="T149" i="11"/>
  <c r="T150" i="11"/>
  <c r="T151" i="11"/>
  <c r="T154" i="11"/>
  <c r="S149" i="11"/>
  <c r="S150" i="11"/>
  <c r="S151" i="11"/>
  <c r="S154" i="11"/>
  <c r="R149" i="11"/>
  <c r="R150" i="11"/>
  <c r="R151" i="11"/>
  <c r="R154" i="11"/>
  <c r="Q149" i="11"/>
  <c r="Q150" i="11"/>
  <c r="Q151" i="11"/>
  <c r="Q154" i="11"/>
  <c r="P149" i="11"/>
  <c r="P150" i="11"/>
  <c r="P151" i="11"/>
  <c r="P154" i="11"/>
  <c r="O149" i="11"/>
  <c r="O150" i="11"/>
  <c r="O151" i="11"/>
  <c r="O154" i="11"/>
  <c r="N149" i="11"/>
  <c r="N150" i="11"/>
  <c r="N151" i="11"/>
  <c r="N154" i="11"/>
  <c r="M149" i="11"/>
  <c r="M150" i="11"/>
  <c r="M151" i="11"/>
  <c r="M154" i="11"/>
  <c r="L149" i="11"/>
  <c r="L150" i="11"/>
  <c r="L151" i="11"/>
  <c r="L154" i="11"/>
  <c r="K149" i="11"/>
  <c r="K150" i="11"/>
  <c r="K151" i="11"/>
  <c r="K154" i="11"/>
  <c r="J149" i="11"/>
  <c r="J150" i="11"/>
  <c r="J151" i="11"/>
  <c r="J154" i="11"/>
  <c r="I149" i="11"/>
  <c r="I150" i="11"/>
  <c r="I151" i="11"/>
  <c r="I154" i="11"/>
  <c r="AA151" i="11"/>
  <c r="Z151" i="11"/>
  <c r="AA150" i="11"/>
  <c r="Z150" i="11"/>
  <c r="AA149" i="11"/>
  <c r="Z149" i="11"/>
  <c r="AA166" i="11"/>
  <c r="Z166" i="11"/>
  <c r="Y158" i="11"/>
  <c r="Y159" i="11"/>
  <c r="Y160" i="11"/>
  <c r="Y161" i="11"/>
  <c r="Y162" i="11"/>
  <c r="Y163" i="11"/>
  <c r="Y166" i="11"/>
  <c r="X158" i="11"/>
  <c r="X159" i="11"/>
  <c r="X160" i="11"/>
  <c r="X161" i="11"/>
  <c r="X162" i="11"/>
  <c r="X163" i="11"/>
  <c r="X166" i="11"/>
  <c r="W158" i="11"/>
  <c r="W159" i="11"/>
  <c r="W160" i="11"/>
  <c r="W161" i="11"/>
  <c r="W162" i="11"/>
  <c r="W163" i="11"/>
  <c r="W166" i="11"/>
  <c r="V158" i="11"/>
  <c r="V159" i="11"/>
  <c r="V160" i="11"/>
  <c r="V161" i="11"/>
  <c r="V162" i="11"/>
  <c r="V163" i="11"/>
  <c r="V166" i="11"/>
  <c r="U158" i="11"/>
  <c r="U159" i="11"/>
  <c r="U160" i="11"/>
  <c r="U161" i="11"/>
  <c r="U162" i="11"/>
  <c r="U163" i="11"/>
  <c r="U166" i="11"/>
  <c r="T158" i="11"/>
  <c r="T159" i="11"/>
  <c r="T160" i="11"/>
  <c r="T161" i="11"/>
  <c r="T162" i="11"/>
  <c r="T163" i="11"/>
  <c r="T166" i="11"/>
  <c r="S158" i="11"/>
  <c r="S159" i="11"/>
  <c r="S160" i="11"/>
  <c r="S161" i="11"/>
  <c r="S162" i="11"/>
  <c r="S163" i="11"/>
  <c r="S166" i="11"/>
  <c r="R158" i="11"/>
  <c r="R159" i="11"/>
  <c r="R160" i="11"/>
  <c r="R161" i="11"/>
  <c r="R162" i="11"/>
  <c r="R163" i="11"/>
  <c r="R166" i="11"/>
  <c r="Q158" i="11"/>
  <c r="Q159" i="11"/>
  <c r="Q160" i="11"/>
  <c r="Q161" i="11"/>
  <c r="Q162" i="11"/>
  <c r="Q163" i="11"/>
  <c r="Q166" i="11"/>
  <c r="P158" i="11"/>
  <c r="P159" i="11"/>
  <c r="P160" i="11"/>
  <c r="P161" i="11"/>
  <c r="P162" i="11"/>
  <c r="P163" i="11"/>
  <c r="P166" i="11"/>
  <c r="O158" i="11"/>
  <c r="O159" i="11"/>
  <c r="O160" i="11"/>
  <c r="O161" i="11"/>
  <c r="O162" i="11"/>
  <c r="O163" i="11"/>
  <c r="O166" i="11"/>
  <c r="N158" i="11"/>
  <c r="N159" i="11"/>
  <c r="N160" i="11"/>
  <c r="N161" i="11"/>
  <c r="N162" i="11"/>
  <c r="N163" i="11"/>
  <c r="N166" i="11"/>
  <c r="M158" i="11"/>
  <c r="M159" i="11"/>
  <c r="M160" i="11"/>
  <c r="M161" i="11"/>
  <c r="M162" i="11"/>
  <c r="M163" i="11"/>
  <c r="M166" i="11"/>
  <c r="L158" i="11"/>
  <c r="L159" i="11"/>
  <c r="L160" i="11"/>
  <c r="L161" i="11"/>
  <c r="L162" i="11"/>
  <c r="L163" i="11"/>
  <c r="L166" i="11"/>
  <c r="K158" i="11"/>
  <c r="K159" i="11"/>
  <c r="K160" i="11"/>
  <c r="K161" i="11"/>
  <c r="K162" i="11"/>
  <c r="K163" i="11"/>
  <c r="K166" i="11"/>
  <c r="J158" i="11"/>
  <c r="J159" i="11"/>
  <c r="J160" i="11"/>
  <c r="J161" i="11"/>
  <c r="J162" i="11"/>
  <c r="J163" i="11"/>
  <c r="J166" i="11"/>
  <c r="I158" i="11"/>
  <c r="I159" i="11"/>
  <c r="I160" i="11"/>
  <c r="I161" i="11"/>
  <c r="I162" i="11"/>
  <c r="I163" i="11"/>
  <c r="I166" i="11"/>
  <c r="AA163" i="11"/>
  <c r="Z163" i="11"/>
  <c r="AA162" i="11"/>
  <c r="Z162" i="11"/>
  <c r="AA161" i="11"/>
  <c r="Z161" i="11"/>
  <c r="AA160" i="11"/>
  <c r="Z160" i="11"/>
  <c r="AA159" i="11"/>
  <c r="Z159" i="11"/>
  <c r="AA158" i="11"/>
  <c r="Z158" i="11"/>
  <c r="C155" i="11"/>
  <c r="D155" i="11"/>
  <c r="AA155" i="11"/>
  <c r="Z155" i="11"/>
  <c r="E155" i="11"/>
  <c r="F155" i="11"/>
  <c r="G155" i="11"/>
  <c r="H155" i="11"/>
  <c r="I155" i="11"/>
  <c r="J155" i="11"/>
  <c r="K155" i="11"/>
  <c r="L155" i="11"/>
  <c r="M155" i="11"/>
  <c r="N155" i="11"/>
  <c r="O155" i="11"/>
  <c r="P155" i="11"/>
  <c r="Q155" i="11"/>
  <c r="R155" i="11"/>
  <c r="S155" i="11"/>
  <c r="T155" i="11"/>
  <c r="U155" i="11"/>
  <c r="V155" i="11"/>
  <c r="W155" i="11"/>
  <c r="X155" i="11"/>
  <c r="Y155" i="11"/>
  <c r="C167" i="11"/>
  <c r="D167" i="11"/>
  <c r="AA168" i="11"/>
  <c r="Z168" i="11"/>
  <c r="AA167" i="11"/>
  <c r="Z167" i="11"/>
  <c r="E167" i="11"/>
  <c r="F167" i="11"/>
  <c r="G167" i="11"/>
  <c r="H167" i="11"/>
  <c r="I167" i="11"/>
  <c r="J167" i="11"/>
  <c r="K167" i="11"/>
  <c r="L167" i="11"/>
  <c r="M167" i="11"/>
  <c r="N167" i="11"/>
  <c r="O167" i="11"/>
  <c r="P167" i="11"/>
  <c r="Q167" i="11"/>
  <c r="R167" i="11"/>
  <c r="S167" i="11"/>
  <c r="T167" i="11"/>
  <c r="U167" i="11"/>
  <c r="V167" i="11"/>
  <c r="W167" i="11"/>
  <c r="X167" i="11"/>
  <c r="Y167" i="11"/>
  <c r="C51" i="11"/>
  <c r="AA50" i="11"/>
  <c r="Z50" i="11"/>
  <c r="I52" i="11"/>
  <c r="J52" i="11"/>
  <c r="K52" i="11"/>
  <c r="L52" i="11"/>
  <c r="M52" i="11"/>
  <c r="N52" i="11"/>
  <c r="O52" i="11"/>
  <c r="P52" i="11"/>
  <c r="Q52" i="11"/>
  <c r="R52" i="11"/>
  <c r="S52" i="11"/>
  <c r="T52" i="11"/>
  <c r="U52" i="11"/>
  <c r="V52" i="11"/>
  <c r="W52" i="11"/>
  <c r="X52" i="11"/>
  <c r="Y52" i="11"/>
  <c r="Y42" i="11"/>
  <c r="Y43" i="11"/>
  <c r="Y44" i="11"/>
  <c r="Y45" i="11"/>
  <c r="Y46" i="11"/>
  <c r="Y47" i="11"/>
  <c r="Y48" i="11"/>
  <c r="Y50" i="11"/>
  <c r="X42" i="11"/>
  <c r="X43" i="11"/>
  <c r="X44" i="11"/>
  <c r="X45" i="11"/>
  <c r="X46" i="11"/>
  <c r="X47" i="11"/>
  <c r="X48" i="11"/>
  <c r="X50" i="11"/>
  <c r="W42" i="11"/>
  <c r="W43" i="11"/>
  <c r="W44" i="11"/>
  <c r="W45" i="11"/>
  <c r="W46" i="11"/>
  <c r="W47" i="11"/>
  <c r="W48" i="11"/>
  <c r="W50" i="11"/>
  <c r="V42" i="11"/>
  <c r="V43" i="11"/>
  <c r="V44" i="11"/>
  <c r="V45" i="11"/>
  <c r="V46" i="11"/>
  <c r="V47" i="11"/>
  <c r="V48" i="11"/>
  <c r="V50" i="11"/>
  <c r="U42" i="11"/>
  <c r="U43" i="11"/>
  <c r="U44" i="11"/>
  <c r="U45" i="11"/>
  <c r="U46" i="11"/>
  <c r="U47" i="11"/>
  <c r="U48" i="11"/>
  <c r="U50" i="11"/>
  <c r="T42" i="11"/>
  <c r="T43" i="11"/>
  <c r="T44" i="11"/>
  <c r="T45" i="11"/>
  <c r="T46" i="11"/>
  <c r="T47" i="11"/>
  <c r="T48" i="11"/>
  <c r="T50" i="11"/>
  <c r="S42" i="11"/>
  <c r="S43" i="11"/>
  <c r="S44" i="11"/>
  <c r="S45" i="11"/>
  <c r="S46" i="11"/>
  <c r="S47" i="11"/>
  <c r="S48" i="11"/>
  <c r="S50" i="11"/>
  <c r="R42" i="11"/>
  <c r="R43" i="11"/>
  <c r="R44" i="11"/>
  <c r="R45" i="11"/>
  <c r="R46" i="11"/>
  <c r="R47" i="11"/>
  <c r="R48" i="11"/>
  <c r="R50" i="11"/>
  <c r="Q42" i="11"/>
  <c r="Q43" i="11"/>
  <c r="Q44" i="11"/>
  <c r="Q45" i="11"/>
  <c r="Q46" i="11"/>
  <c r="Q47" i="11"/>
  <c r="Q48" i="11"/>
  <c r="Q50" i="11"/>
  <c r="P42" i="11"/>
  <c r="P43" i="11"/>
  <c r="P44" i="11"/>
  <c r="P45" i="11"/>
  <c r="P46" i="11"/>
  <c r="P47" i="11"/>
  <c r="P48" i="11"/>
  <c r="P50" i="11"/>
  <c r="O42" i="11"/>
  <c r="O43" i="11"/>
  <c r="O44" i="11"/>
  <c r="O45" i="11"/>
  <c r="O46" i="11"/>
  <c r="O47" i="11"/>
  <c r="O48" i="11"/>
  <c r="O50" i="11"/>
  <c r="N42" i="11"/>
  <c r="N43" i="11"/>
  <c r="N44" i="11"/>
  <c r="N45" i="11"/>
  <c r="N46" i="11"/>
  <c r="N47" i="11"/>
  <c r="N48" i="11"/>
  <c r="N50" i="11"/>
  <c r="M42" i="11"/>
  <c r="M43" i="11"/>
  <c r="M44" i="11"/>
  <c r="M45" i="11"/>
  <c r="M46" i="11"/>
  <c r="M47" i="11"/>
  <c r="M48" i="11"/>
  <c r="M50" i="11"/>
  <c r="L42" i="11"/>
  <c r="L43" i="11"/>
  <c r="L44" i="11"/>
  <c r="L45" i="11"/>
  <c r="L46" i="11"/>
  <c r="L47" i="11"/>
  <c r="L48" i="11"/>
  <c r="L50" i="11"/>
  <c r="K42" i="11"/>
  <c r="K43" i="11"/>
  <c r="K44" i="11"/>
  <c r="K45" i="11"/>
  <c r="K46" i="11"/>
  <c r="K47" i="11"/>
  <c r="K48" i="11"/>
  <c r="K50" i="11"/>
  <c r="J42" i="11"/>
  <c r="J43" i="11"/>
  <c r="J44" i="11"/>
  <c r="J45" i="11"/>
  <c r="J46" i="11"/>
  <c r="J47" i="11"/>
  <c r="J48" i="11"/>
  <c r="J50" i="11"/>
  <c r="I42" i="11"/>
  <c r="I43" i="11"/>
  <c r="I44" i="11"/>
  <c r="I45" i="11"/>
  <c r="I46" i="11"/>
  <c r="I47" i="11"/>
  <c r="I48" i="11"/>
  <c r="I50" i="11"/>
  <c r="AA36" i="11"/>
  <c r="Z36" i="11"/>
  <c r="I39" i="11"/>
  <c r="J39" i="11"/>
  <c r="K39" i="11"/>
  <c r="L39" i="11"/>
  <c r="M39" i="11"/>
  <c r="N39" i="11"/>
  <c r="O39" i="11"/>
  <c r="P39" i="11"/>
  <c r="Q39" i="11"/>
  <c r="R39" i="11"/>
  <c r="S39" i="11"/>
  <c r="T39" i="11"/>
  <c r="U39" i="11"/>
  <c r="V39" i="11"/>
  <c r="W39" i="11"/>
  <c r="X39" i="11"/>
  <c r="Y39" i="11"/>
  <c r="Y36" i="11"/>
  <c r="X36" i="11"/>
  <c r="W36" i="11"/>
  <c r="V36" i="11"/>
  <c r="U36" i="11"/>
  <c r="T36" i="11"/>
  <c r="S36" i="11"/>
  <c r="R36" i="11"/>
  <c r="Q36" i="11"/>
  <c r="P36" i="11"/>
  <c r="O36" i="11"/>
  <c r="N36" i="11"/>
  <c r="M36" i="11"/>
  <c r="L36" i="11"/>
  <c r="K36" i="11"/>
  <c r="J36" i="11"/>
  <c r="I36" i="11"/>
  <c r="AA35" i="11"/>
  <c r="Z35" i="11"/>
  <c r="Y35" i="11"/>
  <c r="X35" i="11"/>
  <c r="W35" i="11"/>
  <c r="V35" i="11"/>
  <c r="U35" i="11"/>
  <c r="T35" i="11"/>
  <c r="S35" i="11"/>
  <c r="R35" i="11"/>
  <c r="Q35" i="11"/>
  <c r="P35" i="11"/>
  <c r="O35" i="11"/>
  <c r="N35" i="11"/>
  <c r="M35" i="11"/>
  <c r="L35" i="11"/>
  <c r="K35" i="11"/>
  <c r="J35" i="11"/>
  <c r="I35" i="11"/>
  <c r="AA34" i="11"/>
  <c r="Z34" i="11"/>
  <c r="Y34" i="11"/>
  <c r="X34" i="11"/>
  <c r="W34" i="11"/>
  <c r="V34" i="11"/>
  <c r="U34" i="11"/>
  <c r="T34" i="11"/>
  <c r="S34" i="11"/>
  <c r="R34" i="11"/>
  <c r="Q34" i="11"/>
  <c r="P34" i="11"/>
  <c r="O34" i="11"/>
  <c r="N34" i="11"/>
  <c r="M34" i="11"/>
  <c r="L34" i="11"/>
  <c r="K34" i="11"/>
  <c r="J34" i="11"/>
  <c r="I34" i="11"/>
  <c r="AA33" i="11"/>
  <c r="Z33" i="11"/>
  <c r="Y33" i="11"/>
  <c r="X33" i="11"/>
  <c r="W33" i="11"/>
  <c r="V33" i="11"/>
  <c r="U33" i="11"/>
  <c r="T33" i="11"/>
  <c r="S33" i="11"/>
  <c r="R33" i="11"/>
  <c r="Q33" i="11"/>
  <c r="P33" i="11"/>
  <c r="O33" i="11"/>
  <c r="N33" i="11"/>
  <c r="M33" i="11"/>
  <c r="L33" i="11"/>
  <c r="K33" i="11"/>
  <c r="J33" i="11"/>
  <c r="I33" i="11"/>
  <c r="AA32" i="11"/>
  <c r="Z32" i="11"/>
  <c r="Y32" i="11"/>
  <c r="X32" i="11"/>
  <c r="W32" i="11"/>
  <c r="V32" i="11"/>
  <c r="U32" i="11"/>
  <c r="T32" i="11"/>
  <c r="S32" i="11"/>
  <c r="R32" i="11"/>
  <c r="Q32" i="11"/>
  <c r="P32" i="11"/>
  <c r="O32" i="11"/>
  <c r="N32" i="11"/>
  <c r="M32" i="11"/>
  <c r="L32" i="11"/>
  <c r="K32" i="11"/>
  <c r="J32" i="11"/>
  <c r="I32" i="11"/>
  <c r="AA38" i="11"/>
  <c r="Z38" i="11"/>
  <c r="Y38" i="11"/>
  <c r="X38" i="11"/>
  <c r="W38" i="11"/>
  <c r="V38" i="11"/>
  <c r="U38" i="11"/>
  <c r="T38" i="11"/>
  <c r="S38" i="11"/>
  <c r="R38" i="11"/>
  <c r="Q38" i="11"/>
  <c r="P38" i="11"/>
  <c r="O38" i="11"/>
  <c r="N38" i="11"/>
  <c r="M38" i="11"/>
  <c r="L38" i="11"/>
  <c r="K38" i="11"/>
  <c r="J38" i="11"/>
  <c r="I38" i="11"/>
  <c r="AA48" i="11"/>
  <c r="Z48" i="11"/>
  <c r="AA47" i="11"/>
  <c r="Z47" i="11"/>
  <c r="AA46" i="11"/>
  <c r="Z46" i="11"/>
  <c r="AA45" i="11"/>
  <c r="Z45" i="11"/>
  <c r="AA44" i="11"/>
  <c r="Z44" i="11"/>
  <c r="AA43" i="11"/>
  <c r="Z43" i="11"/>
  <c r="AA42" i="11"/>
  <c r="Z42" i="11"/>
  <c r="AA39" i="11"/>
  <c r="Z39" i="11"/>
  <c r="AA52" i="11"/>
  <c r="Z52" i="11"/>
  <c r="AA51" i="11"/>
  <c r="Z51" i="11"/>
  <c r="D51" i="11"/>
  <c r="E51" i="11"/>
  <c r="F51" i="11"/>
  <c r="G51" i="11"/>
  <c r="H51" i="11"/>
  <c r="I51" i="11"/>
  <c r="J51" i="11"/>
  <c r="K51" i="11"/>
  <c r="L51" i="11"/>
  <c r="M51" i="11"/>
  <c r="N51" i="11"/>
  <c r="O51" i="11"/>
  <c r="P51" i="11"/>
  <c r="Q51" i="11"/>
  <c r="R51" i="11"/>
  <c r="S51" i="11"/>
  <c r="T51" i="11"/>
  <c r="U51" i="11"/>
  <c r="V51" i="11"/>
  <c r="W51" i="11"/>
  <c r="X51" i="11"/>
  <c r="Y51" i="11"/>
  <c r="AB15" i="11"/>
  <c r="AA15" i="11"/>
  <c r="Z15" i="11"/>
  <c r="Y15" i="11"/>
  <c r="X15" i="11"/>
  <c r="W15" i="11"/>
  <c r="V15" i="11"/>
  <c r="U15" i="11"/>
  <c r="T15" i="11"/>
  <c r="S15" i="11"/>
  <c r="R15" i="11"/>
  <c r="Q15" i="11"/>
  <c r="P15" i="11"/>
  <c r="O15" i="11"/>
  <c r="N15" i="11"/>
  <c r="M15" i="11"/>
  <c r="L15" i="11"/>
  <c r="K15" i="11"/>
  <c r="J15" i="11"/>
  <c r="AB14" i="11"/>
  <c r="AA14" i="11"/>
  <c r="Z14" i="11"/>
  <c r="Y14" i="11"/>
  <c r="X14" i="11"/>
  <c r="W14" i="11"/>
  <c r="V14" i="11"/>
  <c r="U14" i="11"/>
  <c r="T14" i="11"/>
  <c r="S14" i="11"/>
  <c r="R14" i="11"/>
  <c r="Q14" i="11"/>
  <c r="P14" i="11"/>
  <c r="O14" i="11"/>
  <c r="N14" i="11"/>
  <c r="M14" i="11"/>
  <c r="L14" i="11"/>
  <c r="K14" i="11"/>
  <c r="J14" i="11"/>
  <c r="AB13" i="11"/>
  <c r="AA13" i="11"/>
  <c r="Z13" i="11"/>
  <c r="Y13" i="11"/>
  <c r="X13" i="11"/>
  <c r="W13" i="11"/>
  <c r="V13" i="11"/>
  <c r="U13" i="11"/>
  <c r="T13" i="11"/>
  <c r="S13" i="11"/>
  <c r="R13" i="11"/>
  <c r="Q13" i="11"/>
  <c r="P13" i="11"/>
  <c r="O13" i="11"/>
  <c r="N13" i="11"/>
  <c r="M13" i="11"/>
  <c r="L13" i="11"/>
  <c r="K13" i="11"/>
  <c r="J13" i="11"/>
  <c r="AB12" i="11"/>
  <c r="AA12" i="11"/>
  <c r="Z12" i="11"/>
  <c r="Y12" i="11"/>
  <c r="X12" i="11"/>
  <c r="W12" i="11"/>
  <c r="V12" i="11"/>
  <c r="U12" i="11"/>
  <c r="T12" i="11"/>
  <c r="S12" i="11"/>
  <c r="R12" i="11"/>
  <c r="Q12" i="11"/>
  <c r="P12" i="11"/>
  <c r="O12" i="11"/>
  <c r="N12" i="11"/>
  <c r="M12" i="11"/>
  <c r="L12" i="11"/>
  <c r="K12" i="11"/>
  <c r="J12" i="11"/>
  <c r="AB11" i="11"/>
  <c r="AA11" i="11"/>
  <c r="Z11" i="11"/>
  <c r="Y11" i="11"/>
  <c r="X11" i="11"/>
  <c r="W11" i="11"/>
  <c r="V11" i="11"/>
  <c r="U11" i="11"/>
  <c r="T11" i="11"/>
  <c r="S11" i="11"/>
  <c r="R11" i="11"/>
  <c r="Q11" i="11"/>
  <c r="P11" i="11"/>
  <c r="O11" i="11"/>
  <c r="N11" i="11"/>
  <c r="M11" i="11"/>
  <c r="L11" i="11"/>
  <c r="K11" i="11"/>
  <c r="J11" i="11"/>
  <c r="AB10" i="11"/>
  <c r="AA10" i="11"/>
  <c r="Z10" i="11"/>
  <c r="Y10" i="11"/>
  <c r="X10" i="11"/>
  <c r="W10" i="11"/>
  <c r="V10" i="11"/>
  <c r="U10" i="11"/>
  <c r="T10" i="11"/>
  <c r="S10" i="11"/>
  <c r="R10" i="11"/>
  <c r="Q10" i="11"/>
  <c r="P10" i="11"/>
  <c r="O10" i="11"/>
  <c r="N10" i="11"/>
  <c r="M10" i="11"/>
  <c r="L10" i="11"/>
  <c r="K10" i="11"/>
  <c r="J10" i="11"/>
  <c r="B7" i="11"/>
  <c r="AB7" i="11"/>
  <c r="AA7" i="11"/>
  <c r="Z7" i="11"/>
  <c r="Y7" i="11"/>
  <c r="X7" i="11"/>
  <c r="W7" i="11"/>
  <c r="V7" i="11"/>
  <c r="U7" i="11"/>
  <c r="T7" i="11"/>
  <c r="S7" i="11"/>
  <c r="R7" i="11"/>
  <c r="Q7" i="11"/>
  <c r="P7" i="11"/>
  <c r="O7" i="11"/>
  <c r="N7" i="11"/>
  <c r="M7" i="11"/>
  <c r="L7" i="11"/>
  <c r="K7" i="11"/>
  <c r="J7" i="11"/>
  <c r="I7" i="11"/>
  <c r="H7" i="11"/>
  <c r="G7" i="11"/>
  <c r="F7" i="11"/>
  <c r="E7" i="11"/>
  <c r="AA166" i="3"/>
  <c r="Z166" i="3"/>
  <c r="Y166" i="3"/>
  <c r="X166" i="3"/>
  <c r="W166" i="3"/>
  <c r="V166" i="3"/>
  <c r="U166" i="3"/>
  <c r="T166" i="3"/>
  <c r="S166" i="3"/>
  <c r="R166" i="3"/>
  <c r="Q166" i="3"/>
  <c r="P166" i="3"/>
  <c r="O166" i="3"/>
  <c r="N166" i="3"/>
  <c r="M166" i="3"/>
  <c r="L166" i="3"/>
  <c r="K166" i="3"/>
  <c r="J166" i="3"/>
  <c r="I166" i="3"/>
  <c r="AA141" i="3"/>
  <c r="Z141" i="3"/>
  <c r="Y141" i="3"/>
  <c r="X141" i="3"/>
  <c r="W141" i="3"/>
  <c r="V141" i="3"/>
  <c r="U141" i="3"/>
  <c r="T141" i="3"/>
  <c r="S141" i="3"/>
  <c r="R141" i="3"/>
  <c r="Q141" i="3"/>
  <c r="P141" i="3"/>
  <c r="O141" i="3"/>
  <c r="N141" i="3"/>
  <c r="M141" i="3"/>
  <c r="L141" i="3"/>
  <c r="K141" i="3"/>
  <c r="J141" i="3"/>
  <c r="I141" i="3"/>
  <c r="AA104" i="3"/>
  <c r="Z104" i="3"/>
  <c r="Y103" i="3"/>
  <c r="Y104" i="3"/>
  <c r="X103" i="3"/>
  <c r="X104" i="3"/>
  <c r="W103" i="3"/>
  <c r="W104" i="3"/>
  <c r="V103" i="3"/>
  <c r="V104" i="3"/>
  <c r="U103" i="3"/>
  <c r="U104" i="3"/>
  <c r="T103" i="3"/>
  <c r="T104" i="3"/>
  <c r="S103" i="3"/>
  <c r="S104" i="3"/>
  <c r="R103" i="3"/>
  <c r="R104" i="3"/>
  <c r="Q103" i="3"/>
  <c r="Q104" i="3"/>
  <c r="P103" i="3"/>
  <c r="P104" i="3"/>
  <c r="O103" i="3"/>
  <c r="O104" i="3"/>
  <c r="N103" i="3"/>
  <c r="N104" i="3"/>
  <c r="M103" i="3"/>
  <c r="M104" i="3"/>
  <c r="L103" i="3"/>
  <c r="L104" i="3"/>
  <c r="K103" i="3"/>
  <c r="K104" i="3"/>
  <c r="J103" i="3"/>
  <c r="J104" i="3"/>
  <c r="I103" i="3"/>
  <c r="I104" i="3"/>
  <c r="AA103" i="3"/>
  <c r="Z103" i="3"/>
  <c r="AA83" i="3"/>
  <c r="Z83" i="3"/>
  <c r="Y83" i="3"/>
  <c r="X83" i="3"/>
  <c r="W83" i="3"/>
  <c r="V83" i="3"/>
  <c r="U83" i="3"/>
  <c r="T83" i="3"/>
  <c r="S83" i="3"/>
  <c r="R83" i="3"/>
  <c r="Q83" i="3"/>
  <c r="P83" i="3"/>
  <c r="O83" i="3"/>
  <c r="N83" i="3"/>
  <c r="M83" i="3"/>
  <c r="L83" i="3"/>
  <c r="K83" i="3"/>
  <c r="J83" i="3"/>
  <c r="I83" i="3"/>
  <c r="B10" i="3"/>
  <c r="AB10" i="3"/>
  <c r="AA10" i="3"/>
  <c r="Z10" i="3"/>
  <c r="Y10" i="3"/>
  <c r="X10" i="3"/>
  <c r="W10" i="3"/>
  <c r="V10" i="3"/>
  <c r="U10" i="3"/>
  <c r="T10" i="3"/>
  <c r="S10" i="3"/>
  <c r="R10" i="3"/>
  <c r="Q10" i="3"/>
  <c r="P10" i="3"/>
  <c r="O10" i="3"/>
  <c r="N10" i="3"/>
  <c r="M10" i="3"/>
  <c r="L10" i="3"/>
  <c r="K10" i="3"/>
  <c r="J10" i="3"/>
  <c r="I10" i="3"/>
  <c r="H10" i="3"/>
  <c r="G10" i="3"/>
  <c r="F10" i="3"/>
  <c r="E10" i="3"/>
  <c r="B9" i="3"/>
  <c r="AB9" i="3"/>
  <c r="AA9" i="3"/>
  <c r="Z9" i="3"/>
  <c r="Y9" i="3"/>
  <c r="X9" i="3"/>
  <c r="W9" i="3"/>
  <c r="V9" i="3"/>
  <c r="U9" i="3"/>
  <c r="T9" i="3"/>
  <c r="S9" i="3"/>
  <c r="R9" i="3"/>
  <c r="Q9" i="3"/>
  <c r="P9" i="3"/>
  <c r="O9" i="3"/>
  <c r="N9" i="3"/>
  <c r="M9" i="3"/>
  <c r="L9" i="3"/>
  <c r="K9" i="3"/>
  <c r="J9" i="3"/>
  <c r="I9" i="3"/>
  <c r="H9" i="3"/>
  <c r="G9" i="3"/>
  <c r="F9" i="3"/>
  <c r="E9" i="3"/>
  <c r="B8" i="3"/>
  <c r="AB8" i="3"/>
  <c r="AA8" i="3"/>
  <c r="Z8" i="3"/>
  <c r="Y8" i="3"/>
  <c r="X8" i="3"/>
  <c r="W8" i="3"/>
  <c r="V8" i="3"/>
  <c r="U8" i="3"/>
  <c r="T8" i="3"/>
  <c r="S8" i="3"/>
  <c r="R8" i="3"/>
  <c r="Q8" i="3"/>
  <c r="P8" i="3"/>
  <c r="O8" i="3"/>
  <c r="N8" i="3"/>
  <c r="M8" i="3"/>
  <c r="L8" i="3"/>
  <c r="K8" i="3"/>
  <c r="J8" i="3"/>
  <c r="I8" i="3"/>
  <c r="H8" i="3"/>
  <c r="G8" i="3"/>
  <c r="F8" i="3"/>
  <c r="E8" i="3"/>
  <c r="B7" i="3"/>
  <c r="AB7" i="3"/>
  <c r="AA7" i="3"/>
  <c r="Z7" i="3"/>
  <c r="Y7" i="3"/>
  <c r="X7" i="3"/>
  <c r="W7" i="3"/>
  <c r="V7" i="3"/>
  <c r="U7" i="3"/>
  <c r="T7" i="3"/>
  <c r="S7" i="3"/>
  <c r="R7" i="3"/>
  <c r="Q7" i="3"/>
  <c r="P7" i="3"/>
  <c r="O7" i="3"/>
  <c r="N7" i="3"/>
  <c r="M7" i="3"/>
  <c r="L7" i="3"/>
  <c r="K7" i="3"/>
  <c r="J7" i="3"/>
  <c r="I7" i="3"/>
  <c r="H7" i="3"/>
  <c r="G7" i="3"/>
  <c r="F7" i="3"/>
  <c r="E7" i="3"/>
  <c r="B6" i="3"/>
  <c r="AB6" i="3"/>
  <c r="AA6" i="3"/>
  <c r="Z6" i="3"/>
  <c r="Y6" i="3"/>
  <c r="X6" i="3"/>
  <c r="W6" i="3"/>
  <c r="V6" i="3"/>
  <c r="U6" i="3"/>
  <c r="T6" i="3"/>
  <c r="S6" i="3"/>
  <c r="R6" i="3"/>
  <c r="Q6" i="3"/>
  <c r="P6" i="3"/>
  <c r="O6" i="3"/>
  <c r="N6" i="3"/>
  <c r="M6" i="3"/>
  <c r="L6" i="3"/>
  <c r="K6" i="3"/>
  <c r="J6" i="3"/>
  <c r="I6" i="3"/>
  <c r="H6" i="3"/>
  <c r="G6" i="3"/>
  <c r="F6" i="3"/>
  <c r="E6" i="3"/>
  <c r="AB3" i="3"/>
  <c r="AA3" i="3"/>
  <c r="Z3" i="3"/>
  <c r="Y3" i="3"/>
  <c r="B3" i="3"/>
  <c r="X3" i="3"/>
  <c r="W3" i="3"/>
  <c r="V3" i="3"/>
  <c r="U3" i="3"/>
  <c r="T3" i="3"/>
  <c r="S3" i="3"/>
  <c r="R3" i="3"/>
  <c r="Q3" i="3"/>
  <c r="P3" i="3"/>
  <c r="O3" i="3"/>
  <c r="N3" i="3"/>
  <c r="M3" i="3"/>
  <c r="L3" i="3"/>
  <c r="K3" i="3"/>
  <c r="J3" i="3"/>
  <c r="I3" i="3"/>
  <c r="H3" i="3"/>
  <c r="G3" i="3"/>
  <c r="F3" i="3"/>
  <c r="E3" i="3"/>
  <c r="D8" i="3"/>
  <c r="D9" i="3"/>
  <c r="D6" i="3"/>
  <c r="D7" i="3"/>
  <c r="D10" i="3"/>
  <c r="D3" i="3"/>
  <c r="AA248" i="5"/>
  <c r="Z248" i="5"/>
  <c r="Y248" i="5"/>
  <c r="X248" i="5"/>
  <c r="W248" i="5"/>
  <c r="V248" i="5"/>
  <c r="U248" i="5"/>
  <c r="T248" i="5"/>
  <c r="S248" i="5"/>
  <c r="R248" i="5"/>
  <c r="Q248" i="5"/>
  <c r="P248" i="5"/>
  <c r="O248" i="5"/>
  <c r="N248" i="5"/>
  <c r="M248" i="5"/>
  <c r="L248" i="5"/>
  <c r="K248" i="5"/>
  <c r="J248" i="5"/>
  <c r="I248" i="5"/>
  <c r="AA218" i="5"/>
  <c r="Z218" i="5"/>
  <c r="Y218" i="5"/>
  <c r="X218" i="5"/>
  <c r="W218" i="5"/>
  <c r="V218" i="5"/>
  <c r="U218" i="5"/>
  <c r="T218" i="5"/>
  <c r="S218" i="5"/>
  <c r="R218" i="5"/>
  <c r="Q218" i="5"/>
  <c r="P218" i="5"/>
  <c r="O218" i="5"/>
  <c r="N218" i="5"/>
  <c r="M218" i="5"/>
  <c r="L218" i="5"/>
  <c r="K218" i="5"/>
  <c r="J218" i="5"/>
  <c r="I218" i="5"/>
  <c r="AA174" i="5"/>
  <c r="Z174" i="5"/>
  <c r="Y174" i="5"/>
  <c r="X174" i="5"/>
  <c r="W174" i="5"/>
  <c r="V174" i="5"/>
  <c r="U174" i="5"/>
  <c r="T174" i="5"/>
  <c r="S174" i="5"/>
  <c r="R174" i="5"/>
  <c r="Q174" i="5"/>
  <c r="P174" i="5"/>
  <c r="O174" i="5"/>
  <c r="N174" i="5"/>
  <c r="M174" i="5"/>
  <c r="L174" i="5"/>
  <c r="K174" i="5"/>
  <c r="J174" i="5"/>
  <c r="I174" i="5"/>
  <c r="AA124" i="5"/>
  <c r="Z124" i="5"/>
  <c r="Y124" i="5"/>
  <c r="X124" i="5"/>
  <c r="W124" i="5"/>
  <c r="V124" i="5"/>
  <c r="U124" i="5"/>
  <c r="T124" i="5"/>
  <c r="S124" i="5"/>
  <c r="R124" i="5"/>
  <c r="Q124" i="5"/>
  <c r="P124" i="5"/>
  <c r="O124" i="5"/>
  <c r="N124" i="5"/>
  <c r="M124" i="5"/>
  <c r="L124" i="5"/>
  <c r="K124" i="5"/>
  <c r="J124" i="5"/>
  <c r="I124" i="5"/>
  <c r="C75" i="5"/>
  <c r="C76" i="5"/>
  <c r="C50" i="5"/>
  <c r="D50" i="5"/>
  <c r="E50" i="5"/>
  <c r="F50" i="5"/>
  <c r="G50" i="5"/>
  <c r="H50" i="5"/>
  <c r="I64" i="5"/>
  <c r="I50" i="5"/>
  <c r="I178" i="5"/>
  <c r="I175" i="5"/>
  <c r="I222" i="5"/>
  <c r="I219" i="5"/>
  <c r="J64" i="5"/>
  <c r="J50" i="5"/>
  <c r="J178" i="5"/>
  <c r="J175" i="5"/>
  <c r="J222" i="5"/>
  <c r="J219" i="5"/>
  <c r="K64" i="5"/>
  <c r="K50" i="5"/>
  <c r="K178" i="5"/>
  <c r="K175" i="5"/>
  <c r="K222" i="5"/>
  <c r="K219" i="5"/>
  <c r="L64" i="5"/>
  <c r="L50" i="5"/>
  <c r="L178" i="5"/>
  <c r="L175" i="5"/>
  <c r="L222" i="5"/>
  <c r="L219" i="5"/>
  <c r="M64" i="5"/>
  <c r="M50" i="5"/>
  <c r="M178" i="5"/>
  <c r="M175" i="5"/>
  <c r="M222" i="5"/>
  <c r="M219" i="5"/>
  <c r="N64" i="5"/>
  <c r="N50" i="5"/>
  <c r="N178" i="5"/>
  <c r="N175" i="5"/>
  <c r="N222" i="5"/>
  <c r="N219" i="5"/>
  <c r="O64" i="5"/>
  <c r="O50" i="5"/>
  <c r="O178" i="5"/>
  <c r="O175" i="5"/>
  <c r="O222" i="5"/>
  <c r="O219" i="5"/>
  <c r="P64" i="5"/>
  <c r="P50" i="5"/>
  <c r="P178" i="5"/>
  <c r="P175" i="5"/>
  <c r="P222" i="5"/>
  <c r="P219" i="5"/>
  <c r="Q64" i="5"/>
  <c r="Q50" i="5"/>
  <c r="Q178" i="5"/>
  <c r="Q175" i="5"/>
  <c r="Q222" i="5"/>
  <c r="Q219" i="5"/>
  <c r="R64" i="5"/>
  <c r="R50" i="5"/>
  <c r="R178" i="5"/>
  <c r="R175" i="5"/>
  <c r="R222" i="5"/>
  <c r="R219" i="5"/>
  <c r="S64" i="5"/>
  <c r="S50" i="5"/>
  <c r="S178" i="5"/>
  <c r="S175" i="5"/>
  <c r="S222" i="5"/>
  <c r="S219" i="5"/>
  <c r="T64" i="5"/>
  <c r="T50" i="5"/>
  <c r="T178" i="5"/>
  <c r="T175" i="5"/>
  <c r="T222" i="5"/>
  <c r="T219" i="5"/>
  <c r="U64" i="5"/>
  <c r="U50" i="5"/>
  <c r="U178" i="5"/>
  <c r="U175" i="5"/>
  <c r="U222" i="5"/>
  <c r="U219" i="5"/>
  <c r="V64" i="5"/>
  <c r="V50" i="5"/>
  <c r="V178" i="5"/>
  <c r="V175" i="5"/>
  <c r="V222" i="5"/>
  <c r="V219" i="5"/>
  <c r="W64" i="5"/>
  <c r="W50" i="5"/>
  <c r="W178" i="5"/>
  <c r="W175" i="5"/>
  <c r="W222" i="5"/>
  <c r="W219" i="5"/>
  <c r="X64" i="5"/>
  <c r="X50" i="5"/>
  <c r="X178" i="5"/>
  <c r="X175" i="5"/>
  <c r="X222" i="5"/>
  <c r="X219" i="5"/>
  <c r="Y64" i="5"/>
  <c r="Y50" i="5"/>
  <c r="Y178" i="5"/>
  <c r="Y175" i="5"/>
  <c r="Y222" i="5"/>
  <c r="Y219" i="5"/>
  <c r="Z50" i="5"/>
  <c r="Z178" i="5"/>
  <c r="Z175" i="5"/>
  <c r="Z219" i="5"/>
  <c r="AA50" i="5"/>
  <c r="AA178" i="5"/>
  <c r="AA175" i="5"/>
  <c r="AA219" i="5"/>
  <c r="C85" i="5"/>
  <c r="C86" i="5"/>
  <c r="C53" i="5"/>
  <c r="D53" i="5"/>
  <c r="E53" i="5"/>
  <c r="F53" i="5"/>
  <c r="G53" i="5"/>
  <c r="H53" i="5"/>
  <c r="I53" i="5"/>
  <c r="J53" i="5"/>
  <c r="K53" i="5"/>
  <c r="L53" i="5"/>
  <c r="M53" i="5"/>
  <c r="N53" i="5"/>
  <c r="O53" i="5"/>
  <c r="P53" i="5"/>
  <c r="Q53" i="5"/>
  <c r="R53" i="5"/>
  <c r="S53" i="5"/>
  <c r="T53" i="5"/>
  <c r="U53" i="5"/>
  <c r="V53" i="5"/>
  <c r="W53" i="5"/>
  <c r="X53" i="5"/>
  <c r="Y53" i="5"/>
  <c r="Z53" i="5"/>
  <c r="AA53" i="5"/>
  <c r="C95" i="5"/>
  <c r="C96" i="5"/>
  <c r="C56" i="5"/>
  <c r="D56" i="5"/>
  <c r="E56" i="5"/>
  <c r="F56" i="5"/>
  <c r="G56" i="5"/>
  <c r="H56" i="5"/>
  <c r="I56" i="5"/>
  <c r="J56" i="5"/>
  <c r="K56" i="5"/>
  <c r="L56" i="5"/>
  <c r="M56" i="5"/>
  <c r="N56" i="5"/>
  <c r="O56" i="5"/>
  <c r="P56" i="5"/>
  <c r="Q56" i="5"/>
  <c r="R56" i="5"/>
  <c r="S56" i="5"/>
  <c r="T56" i="5"/>
  <c r="U56" i="5"/>
  <c r="V56" i="5"/>
  <c r="W56" i="5"/>
  <c r="X56" i="5"/>
  <c r="Y56" i="5"/>
  <c r="Z56" i="5"/>
  <c r="AA56" i="5"/>
  <c r="I59" i="5"/>
  <c r="J59" i="5"/>
  <c r="K59" i="5"/>
  <c r="L59" i="5"/>
  <c r="M59" i="5"/>
  <c r="N59" i="5"/>
  <c r="O59" i="5"/>
  <c r="P59" i="5"/>
  <c r="Q59" i="5"/>
  <c r="R59" i="5"/>
  <c r="S59" i="5"/>
  <c r="T59" i="5"/>
  <c r="U59" i="5"/>
  <c r="V59" i="5"/>
  <c r="W59" i="5"/>
  <c r="X59" i="5"/>
  <c r="Y59" i="5"/>
  <c r="Z59" i="5"/>
  <c r="AA59" i="5"/>
  <c r="C51" i="5"/>
  <c r="C142" i="5"/>
  <c r="C144" i="5"/>
  <c r="C143" i="5"/>
  <c r="C145" i="5"/>
  <c r="C125" i="5"/>
  <c r="D51" i="5"/>
  <c r="D125" i="5"/>
  <c r="E51" i="5"/>
  <c r="E125" i="5"/>
  <c r="F51" i="5"/>
  <c r="F125" i="5"/>
  <c r="G51" i="5"/>
  <c r="G125" i="5"/>
  <c r="H51" i="5"/>
  <c r="H125" i="5"/>
  <c r="I51" i="5"/>
  <c r="I176" i="5"/>
  <c r="I220" i="5"/>
  <c r="I132" i="5"/>
  <c r="I129" i="5"/>
  <c r="I130" i="5"/>
  <c r="I131" i="5"/>
  <c r="I125" i="5"/>
  <c r="I250" i="5"/>
  <c r="I249" i="5"/>
  <c r="J51" i="5"/>
  <c r="J176" i="5"/>
  <c r="J220" i="5"/>
  <c r="J132" i="5"/>
  <c r="J129" i="5"/>
  <c r="J130" i="5"/>
  <c r="J131" i="5"/>
  <c r="J125" i="5"/>
  <c r="J250" i="5"/>
  <c r="J249" i="5"/>
  <c r="K51" i="5"/>
  <c r="K176" i="5"/>
  <c r="K220" i="5"/>
  <c r="K132" i="5"/>
  <c r="K129" i="5"/>
  <c r="K130" i="5"/>
  <c r="K131" i="5"/>
  <c r="K125" i="5"/>
  <c r="K250" i="5"/>
  <c r="K249" i="5"/>
  <c r="L51" i="5"/>
  <c r="L176" i="5"/>
  <c r="L220" i="5"/>
  <c r="L132" i="5"/>
  <c r="L129" i="5"/>
  <c r="L130" i="5"/>
  <c r="L131" i="5"/>
  <c r="L125" i="5"/>
  <c r="L250" i="5"/>
  <c r="L249" i="5"/>
  <c r="M51" i="5"/>
  <c r="M176" i="5"/>
  <c r="M220" i="5"/>
  <c r="M132" i="5"/>
  <c r="M129" i="5"/>
  <c r="M130" i="5"/>
  <c r="M131" i="5"/>
  <c r="M125" i="5"/>
  <c r="M250" i="5"/>
  <c r="M249" i="5"/>
  <c r="N51" i="5"/>
  <c r="N176" i="5"/>
  <c r="N220" i="5"/>
  <c r="N132" i="5"/>
  <c r="N129" i="5"/>
  <c r="N130" i="5"/>
  <c r="N131" i="5"/>
  <c r="N125" i="5"/>
  <c r="N250" i="5"/>
  <c r="N249" i="5"/>
  <c r="O51" i="5"/>
  <c r="O176" i="5"/>
  <c r="O220" i="5"/>
  <c r="O132" i="5"/>
  <c r="O129" i="5"/>
  <c r="O130" i="5"/>
  <c r="O131" i="5"/>
  <c r="O125" i="5"/>
  <c r="O250" i="5"/>
  <c r="O249" i="5"/>
  <c r="P51" i="5"/>
  <c r="P176" i="5"/>
  <c r="P220" i="5"/>
  <c r="P132" i="5"/>
  <c r="P129" i="5"/>
  <c r="P130" i="5"/>
  <c r="P131" i="5"/>
  <c r="P125" i="5"/>
  <c r="P250" i="5"/>
  <c r="P249" i="5"/>
  <c r="Q51" i="5"/>
  <c r="Q176" i="5"/>
  <c r="Q220" i="5"/>
  <c r="Q132" i="5"/>
  <c r="Q129" i="5"/>
  <c r="Q130" i="5"/>
  <c r="Q131" i="5"/>
  <c r="Q125" i="5"/>
  <c r="Q250" i="5"/>
  <c r="Q249" i="5"/>
  <c r="R51" i="5"/>
  <c r="R176" i="5"/>
  <c r="R220" i="5"/>
  <c r="R132" i="5"/>
  <c r="R129" i="5"/>
  <c r="R130" i="5"/>
  <c r="R131" i="5"/>
  <c r="R125" i="5"/>
  <c r="R250" i="5"/>
  <c r="R249" i="5"/>
  <c r="S51" i="5"/>
  <c r="S176" i="5"/>
  <c r="S220" i="5"/>
  <c r="S132" i="5"/>
  <c r="S129" i="5"/>
  <c r="S130" i="5"/>
  <c r="S131" i="5"/>
  <c r="S125" i="5"/>
  <c r="S250" i="5"/>
  <c r="S249" i="5"/>
  <c r="T51" i="5"/>
  <c r="T176" i="5"/>
  <c r="T220" i="5"/>
  <c r="T132" i="5"/>
  <c r="T129" i="5"/>
  <c r="T130" i="5"/>
  <c r="T131" i="5"/>
  <c r="T125" i="5"/>
  <c r="T250" i="5"/>
  <c r="T249" i="5"/>
  <c r="U51" i="5"/>
  <c r="U176" i="5"/>
  <c r="U220" i="5"/>
  <c r="U132" i="5"/>
  <c r="U129" i="5"/>
  <c r="U130" i="5"/>
  <c r="U131" i="5"/>
  <c r="U125" i="5"/>
  <c r="U250" i="5"/>
  <c r="U249" i="5"/>
  <c r="V51" i="5"/>
  <c r="V176" i="5"/>
  <c r="V220" i="5"/>
  <c r="V132" i="5"/>
  <c r="V129" i="5"/>
  <c r="V130" i="5"/>
  <c r="V131" i="5"/>
  <c r="V125" i="5"/>
  <c r="V250" i="5"/>
  <c r="V249" i="5"/>
  <c r="W51" i="5"/>
  <c r="W176" i="5"/>
  <c r="W220" i="5"/>
  <c r="W132" i="5"/>
  <c r="W129" i="5"/>
  <c r="W130" i="5"/>
  <c r="W131" i="5"/>
  <c r="W125" i="5"/>
  <c r="W250" i="5"/>
  <c r="W249" i="5"/>
  <c r="X51" i="5"/>
  <c r="X176" i="5"/>
  <c r="X220" i="5"/>
  <c r="X132" i="5"/>
  <c r="X129" i="5"/>
  <c r="X130" i="5"/>
  <c r="X131" i="5"/>
  <c r="X125" i="5"/>
  <c r="X250" i="5"/>
  <c r="X249" i="5"/>
  <c r="Y51" i="5"/>
  <c r="Y176" i="5"/>
  <c r="Y220" i="5"/>
  <c r="Y132" i="5"/>
  <c r="Y129" i="5"/>
  <c r="Y130" i="5"/>
  <c r="Y131" i="5"/>
  <c r="Y125" i="5"/>
  <c r="Y250" i="5"/>
  <c r="Y249" i="5"/>
  <c r="Z51" i="5"/>
  <c r="Z176" i="5"/>
  <c r="Z220" i="5"/>
  <c r="Z125" i="5"/>
  <c r="Z249" i="5"/>
  <c r="AA51" i="5"/>
  <c r="AA176" i="5"/>
  <c r="AA220" i="5"/>
  <c r="AA125" i="5"/>
  <c r="AA249" i="5"/>
  <c r="C54" i="5"/>
  <c r="C148" i="5"/>
  <c r="C150" i="5"/>
  <c r="C149" i="5"/>
  <c r="C151" i="5"/>
  <c r="C126" i="5"/>
  <c r="D54" i="5"/>
  <c r="D126" i="5"/>
  <c r="E54" i="5"/>
  <c r="E126" i="5"/>
  <c r="F54" i="5"/>
  <c r="F126" i="5"/>
  <c r="G54" i="5"/>
  <c r="G126" i="5"/>
  <c r="H54" i="5"/>
  <c r="H126" i="5"/>
  <c r="I54" i="5"/>
  <c r="I126" i="5"/>
  <c r="J54" i="5"/>
  <c r="J126" i="5"/>
  <c r="K54" i="5"/>
  <c r="K126" i="5"/>
  <c r="L54" i="5"/>
  <c r="L126" i="5"/>
  <c r="M54" i="5"/>
  <c r="M126" i="5"/>
  <c r="N54" i="5"/>
  <c r="N126" i="5"/>
  <c r="O54" i="5"/>
  <c r="O126" i="5"/>
  <c r="P54" i="5"/>
  <c r="P126" i="5"/>
  <c r="Q54" i="5"/>
  <c r="Q126" i="5"/>
  <c r="R54" i="5"/>
  <c r="R126" i="5"/>
  <c r="S54" i="5"/>
  <c r="S126" i="5"/>
  <c r="T54" i="5"/>
  <c r="T126" i="5"/>
  <c r="U54" i="5"/>
  <c r="U126" i="5"/>
  <c r="V54" i="5"/>
  <c r="V126" i="5"/>
  <c r="W54" i="5"/>
  <c r="W126" i="5"/>
  <c r="X54" i="5"/>
  <c r="X126" i="5"/>
  <c r="Y54" i="5"/>
  <c r="Y126" i="5"/>
  <c r="Z54" i="5"/>
  <c r="Z126" i="5"/>
  <c r="AA54" i="5"/>
  <c r="AA126" i="5"/>
  <c r="C57" i="5"/>
  <c r="C154" i="5"/>
  <c r="C156" i="5"/>
  <c r="C155" i="5"/>
  <c r="C157" i="5"/>
  <c r="C127" i="5"/>
  <c r="D57" i="5"/>
  <c r="D127" i="5"/>
  <c r="E57" i="5"/>
  <c r="E127" i="5"/>
  <c r="F57" i="5"/>
  <c r="F127" i="5"/>
  <c r="G57" i="5"/>
  <c r="G127" i="5"/>
  <c r="H57" i="5"/>
  <c r="H127" i="5"/>
  <c r="I57" i="5"/>
  <c r="I127" i="5"/>
  <c r="J57" i="5"/>
  <c r="J127" i="5"/>
  <c r="K57" i="5"/>
  <c r="K127" i="5"/>
  <c r="L57" i="5"/>
  <c r="L127" i="5"/>
  <c r="M57" i="5"/>
  <c r="M127" i="5"/>
  <c r="N57" i="5"/>
  <c r="N127" i="5"/>
  <c r="O57" i="5"/>
  <c r="O127" i="5"/>
  <c r="P57" i="5"/>
  <c r="P127" i="5"/>
  <c r="Q57" i="5"/>
  <c r="Q127" i="5"/>
  <c r="R57" i="5"/>
  <c r="R127" i="5"/>
  <c r="S57" i="5"/>
  <c r="S127" i="5"/>
  <c r="T57" i="5"/>
  <c r="T127" i="5"/>
  <c r="U57" i="5"/>
  <c r="U127" i="5"/>
  <c r="V57" i="5"/>
  <c r="V127" i="5"/>
  <c r="W57" i="5"/>
  <c r="W127" i="5"/>
  <c r="X57" i="5"/>
  <c r="X127" i="5"/>
  <c r="Y57" i="5"/>
  <c r="Y127" i="5"/>
  <c r="Z57" i="5"/>
  <c r="Z127" i="5"/>
  <c r="AA57" i="5"/>
  <c r="AA127" i="5"/>
  <c r="I60" i="5"/>
  <c r="I128" i="5"/>
  <c r="J60" i="5"/>
  <c r="J128" i="5"/>
  <c r="K60" i="5"/>
  <c r="K128" i="5"/>
  <c r="L60" i="5"/>
  <c r="L128" i="5"/>
  <c r="M60" i="5"/>
  <c r="M128" i="5"/>
  <c r="N60" i="5"/>
  <c r="N128" i="5"/>
  <c r="O60" i="5"/>
  <c r="O128" i="5"/>
  <c r="P60" i="5"/>
  <c r="P128" i="5"/>
  <c r="Q60" i="5"/>
  <c r="Q128" i="5"/>
  <c r="R60" i="5"/>
  <c r="R128" i="5"/>
  <c r="S60" i="5"/>
  <c r="S128" i="5"/>
  <c r="T60" i="5"/>
  <c r="T128" i="5"/>
  <c r="U60" i="5"/>
  <c r="U128" i="5"/>
  <c r="V60" i="5"/>
  <c r="V128" i="5"/>
  <c r="W60" i="5"/>
  <c r="W128" i="5"/>
  <c r="X60" i="5"/>
  <c r="X128" i="5"/>
  <c r="Y60" i="5"/>
  <c r="Y128" i="5"/>
  <c r="Z60" i="5"/>
  <c r="Z128" i="5"/>
  <c r="AA60" i="5"/>
  <c r="AA128" i="5"/>
  <c r="AB4" i="5"/>
  <c r="AA4" i="5"/>
  <c r="Y58" i="5"/>
  <c r="J1" i="5"/>
  <c r="K1" i="5"/>
  <c r="L1" i="5"/>
  <c r="M1" i="5"/>
  <c r="N1" i="5"/>
  <c r="O1" i="5"/>
  <c r="P1" i="5"/>
  <c r="Q1" i="5"/>
  <c r="R1" i="5"/>
  <c r="S1" i="5"/>
  <c r="T1" i="5"/>
  <c r="U1" i="5"/>
  <c r="V1" i="5"/>
  <c r="W1" i="5"/>
  <c r="X1" i="5"/>
  <c r="Y1" i="5"/>
  <c r="Z1" i="5"/>
  <c r="Z7" i="5"/>
  <c r="Z8" i="5"/>
  <c r="Y177" i="5"/>
  <c r="Z9" i="5"/>
  <c r="Y221" i="5"/>
  <c r="Z10" i="5"/>
  <c r="Z11" i="5"/>
  <c r="Z4" i="5"/>
  <c r="X58" i="5"/>
  <c r="Y7" i="5"/>
  <c r="Y8" i="5"/>
  <c r="X177" i="5"/>
  <c r="Y9" i="5"/>
  <c r="X221" i="5"/>
  <c r="Y10" i="5"/>
  <c r="Y11" i="5"/>
  <c r="Y4" i="5"/>
  <c r="W58" i="5"/>
  <c r="C49" i="5"/>
  <c r="D49" i="5"/>
  <c r="E49" i="5"/>
  <c r="F49" i="5"/>
  <c r="G49" i="5"/>
  <c r="H49" i="5"/>
  <c r="I49" i="5"/>
  <c r="J49" i="5"/>
  <c r="K49" i="5"/>
  <c r="L49" i="5"/>
  <c r="M49" i="5"/>
  <c r="N49" i="5"/>
  <c r="O49" i="5"/>
  <c r="P49" i="5"/>
  <c r="Q49" i="5"/>
  <c r="R49" i="5"/>
  <c r="S49" i="5"/>
  <c r="T49" i="5"/>
  <c r="U49" i="5"/>
  <c r="V49" i="5"/>
  <c r="W49" i="5"/>
  <c r="X49" i="5"/>
  <c r="Y49" i="5"/>
  <c r="Z49" i="5"/>
  <c r="AA49" i="5"/>
  <c r="C52" i="5"/>
  <c r="D52" i="5"/>
  <c r="E52" i="5"/>
  <c r="F52" i="5"/>
  <c r="G52" i="5"/>
  <c r="H52" i="5"/>
  <c r="I52" i="5"/>
  <c r="J52" i="5"/>
  <c r="K52" i="5"/>
  <c r="L52" i="5"/>
  <c r="M52" i="5"/>
  <c r="N52" i="5"/>
  <c r="O52" i="5"/>
  <c r="P52" i="5"/>
  <c r="Q52" i="5"/>
  <c r="R52" i="5"/>
  <c r="S52" i="5"/>
  <c r="T52" i="5"/>
  <c r="U52" i="5"/>
  <c r="V52" i="5"/>
  <c r="W52" i="5"/>
  <c r="X52" i="5"/>
  <c r="Y52" i="5"/>
  <c r="Z52" i="5"/>
  <c r="AA52" i="5"/>
  <c r="C55" i="5"/>
  <c r="D55" i="5"/>
  <c r="E55" i="5"/>
  <c r="F55" i="5"/>
  <c r="G55" i="5"/>
  <c r="H55" i="5"/>
  <c r="I55" i="5"/>
  <c r="J55" i="5"/>
  <c r="K55" i="5"/>
  <c r="L55" i="5"/>
  <c r="M55" i="5"/>
  <c r="N55" i="5"/>
  <c r="O55" i="5"/>
  <c r="P55" i="5"/>
  <c r="Q55" i="5"/>
  <c r="R55" i="5"/>
  <c r="S55" i="5"/>
  <c r="T55" i="5"/>
  <c r="U55" i="5"/>
  <c r="V55" i="5"/>
  <c r="W55" i="5"/>
  <c r="X55" i="5"/>
  <c r="Y55" i="5"/>
  <c r="Z55" i="5"/>
  <c r="AA55" i="5"/>
  <c r="I58" i="5"/>
  <c r="J58" i="5"/>
  <c r="K58" i="5"/>
  <c r="L58" i="5"/>
  <c r="M58" i="5"/>
  <c r="N58" i="5"/>
  <c r="O58" i="5"/>
  <c r="P58" i="5"/>
  <c r="Q58" i="5"/>
  <c r="R58" i="5"/>
  <c r="S58" i="5"/>
  <c r="T58" i="5"/>
  <c r="U58" i="5"/>
  <c r="V58" i="5"/>
  <c r="Z58" i="5"/>
  <c r="AA58" i="5"/>
  <c r="X7" i="5"/>
  <c r="X8" i="5"/>
  <c r="W177" i="5"/>
  <c r="X9" i="5"/>
  <c r="W221" i="5"/>
  <c r="X10" i="5"/>
  <c r="X11" i="5"/>
  <c r="B4" i="5"/>
  <c r="X4" i="5"/>
  <c r="W7" i="5"/>
  <c r="W8" i="5"/>
  <c r="V177" i="5"/>
  <c r="W9" i="5"/>
  <c r="V221" i="5"/>
  <c r="W10" i="5"/>
  <c r="W11" i="5"/>
  <c r="W4" i="5"/>
  <c r="V7" i="5"/>
  <c r="V8" i="5"/>
  <c r="U177" i="5"/>
  <c r="V9" i="5"/>
  <c r="U221" i="5"/>
  <c r="V10" i="5"/>
  <c r="V11" i="5"/>
  <c r="V4" i="5"/>
  <c r="U7" i="5"/>
  <c r="U8" i="5"/>
  <c r="T177" i="5"/>
  <c r="U9" i="5"/>
  <c r="T221" i="5"/>
  <c r="U10" i="5"/>
  <c r="U11" i="5"/>
  <c r="U4" i="5"/>
  <c r="T7" i="5"/>
  <c r="T8" i="5"/>
  <c r="S177" i="5"/>
  <c r="T9" i="5"/>
  <c r="S221" i="5"/>
  <c r="T10" i="5"/>
  <c r="T11" i="5"/>
  <c r="T4" i="5"/>
  <c r="S7" i="5"/>
  <c r="S8" i="5"/>
  <c r="R221" i="5"/>
  <c r="S10" i="5"/>
  <c r="S11" i="5"/>
  <c r="R177" i="5"/>
  <c r="S9" i="5"/>
  <c r="S4" i="5"/>
  <c r="R7" i="5"/>
  <c r="R8" i="5"/>
  <c r="Q221" i="5"/>
  <c r="R10" i="5"/>
  <c r="R11" i="5"/>
  <c r="Q177" i="5"/>
  <c r="R9" i="5"/>
  <c r="R4" i="5"/>
  <c r="Q7" i="5"/>
  <c r="Q8" i="5"/>
  <c r="P221" i="5"/>
  <c r="Q10" i="5"/>
  <c r="Q11" i="5"/>
  <c r="P177" i="5"/>
  <c r="Q9" i="5"/>
  <c r="Q4" i="5"/>
  <c r="P7" i="5"/>
  <c r="P8" i="5"/>
  <c r="O221" i="5"/>
  <c r="P10" i="5"/>
  <c r="P11" i="5"/>
  <c r="O177" i="5"/>
  <c r="P9" i="5"/>
  <c r="P4" i="5"/>
  <c r="O7" i="5"/>
  <c r="O8" i="5"/>
  <c r="N221" i="5"/>
  <c r="O10" i="5"/>
  <c r="O11" i="5"/>
  <c r="N177" i="5"/>
  <c r="O9" i="5"/>
  <c r="O4" i="5"/>
  <c r="N7" i="5"/>
  <c r="N8" i="5"/>
  <c r="M221" i="5"/>
  <c r="N10" i="5"/>
  <c r="N11" i="5"/>
  <c r="M177" i="5"/>
  <c r="N9" i="5"/>
  <c r="N4" i="5"/>
  <c r="M7" i="5"/>
  <c r="M8" i="5"/>
  <c r="L221" i="5"/>
  <c r="M10" i="5"/>
  <c r="M11" i="5"/>
  <c r="L177" i="5"/>
  <c r="M9" i="5"/>
  <c r="M4" i="5"/>
  <c r="L7" i="5"/>
  <c r="L8" i="5"/>
  <c r="K221" i="5"/>
  <c r="L10" i="5"/>
  <c r="L11" i="5"/>
  <c r="K177" i="5"/>
  <c r="L9" i="5"/>
  <c r="L4" i="5"/>
  <c r="K7" i="5"/>
  <c r="K8" i="5"/>
  <c r="J221" i="5"/>
  <c r="K10" i="5"/>
  <c r="K11" i="5"/>
  <c r="J177" i="5"/>
  <c r="K9" i="5"/>
  <c r="K4" i="5"/>
  <c r="J7" i="5"/>
  <c r="J8" i="5"/>
  <c r="I221" i="5"/>
  <c r="J10" i="5"/>
  <c r="J11" i="5"/>
  <c r="I177" i="5"/>
  <c r="J9" i="5"/>
  <c r="J4" i="5"/>
  <c r="I4" i="5"/>
  <c r="H4" i="5"/>
  <c r="G4" i="5"/>
  <c r="F4" i="5"/>
  <c r="E4" i="5"/>
  <c r="D4" i="5"/>
  <c r="AA1" i="5"/>
  <c r="AB1" i="5"/>
  <c r="AB8" i="5"/>
  <c r="AA8" i="5"/>
  <c r="AB7" i="5"/>
  <c r="AA7" i="5"/>
  <c r="AA63" i="5"/>
  <c r="Z63" i="5"/>
  <c r="Y63" i="5"/>
  <c r="X63" i="5"/>
  <c r="W63" i="5"/>
  <c r="V63" i="5"/>
  <c r="U63" i="5"/>
  <c r="T63" i="5"/>
  <c r="S63" i="5"/>
  <c r="R63" i="5"/>
  <c r="Q63" i="5"/>
  <c r="P63" i="5"/>
  <c r="O63" i="5"/>
  <c r="N63" i="5"/>
  <c r="M63" i="5"/>
  <c r="L63" i="5"/>
  <c r="K63" i="5"/>
  <c r="J63" i="5"/>
  <c r="I63" i="5"/>
  <c r="H63" i="5"/>
  <c r="G63" i="5"/>
  <c r="F63" i="5"/>
  <c r="E63" i="5"/>
  <c r="D63" i="5"/>
  <c r="AA62" i="5"/>
  <c r="Z62" i="5"/>
  <c r="Y62" i="5"/>
  <c r="X62" i="5"/>
  <c r="W62" i="5"/>
  <c r="V62" i="5"/>
  <c r="U62" i="5"/>
  <c r="T62" i="5"/>
  <c r="S62" i="5"/>
  <c r="R62" i="5"/>
  <c r="Q62" i="5"/>
  <c r="P62" i="5"/>
  <c r="O62" i="5"/>
  <c r="N62" i="5"/>
  <c r="M62" i="5"/>
  <c r="L62" i="5"/>
  <c r="K62" i="5"/>
  <c r="J62" i="5"/>
  <c r="I62" i="5"/>
  <c r="H62" i="5"/>
  <c r="G62" i="5"/>
  <c r="F62" i="5"/>
  <c r="E62" i="5"/>
  <c r="D62" i="5"/>
  <c r="AA61" i="5"/>
  <c r="Z61" i="5"/>
  <c r="Y61" i="5"/>
  <c r="X61" i="5"/>
  <c r="W61" i="5"/>
  <c r="V61" i="5"/>
  <c r="U61" i="5"/>
  <c r="T61" i="5"/>
  <c r="S61" i="5"/>
  <c r="R61" i="5"/>
  <c r="Q61" i="5"/>
  <c r="P61" i="5"/>
  <c r="O61" i="5"/>
  <c r="N61" i="5"/>
  <c r="M61" i="5"/>
  <c r="L61" i="5"/>
  <c r="K61" i="5"/>
  <c r="J61" i="5"/>
  <c r="I61" i="5"/>
  <c r="H61" i="5"/>
  <c r="G61" i="5"/>
  <c r="F61" i="5"/>
  <c r="E61" i="5"/>
  <c r="D61" i="5"/>
  <c r="AA64" i="5"/>
  <c r="Z64" i="5"/>
  <c r="C63" i="5"/>
  <c r="C62" i="5"/>
  <c r="C61" i="5"/>
  <c r="AA132" i="5"/>
  <c r="Z132" i="5"/>
  <c r="AA131" i="5"/>
  <c r="Z131" i="5"/>
  <c r="AA130" i="5"/>
  <c r="Z130" i="5"/>
  <c r="AA129" i="5"/>
  <c r="Z129" i="5"/>
  <c r="AA177" i="5"/>
  <c r="Z177" i="5"/>
  <c r="AA221" i="5"/>
  <c r="Z221" i="5"/>
  <c r="AA222" i="5"/>
  <c r="Z222" i="5"/>
  <c r="Z250" i="5"/>
  <c r="AA250" i="5"/>
  <c r="AB11" i="5"/>
  <c r="AA11" i="5"/>
  <c r="AB10" i="5"/>
  <c r="AA10" i="5"/>
  <c r="AB9" i="5"/>
  <c r="AA9" i="5"/>
  <c r="AA36" i="9"/>
  <c r="Z36" i="9"/>
  <c r="Y36" i="9"/>
  <c r="X36" i="9"/>
  <c r="W36" i="9"/>
  <c r="V36" i="9"/>
  <c r="U36" i="9"/>
  <c r="T36" i="9"/>
  <c r="S36" i="9"/>
  <c r="R36" i="9"/>
  <c r="Q36" i="9"/>
  <c r="P36" i="9"/>
  <c r="O36" i="9"/>
  <c r="N36" i="9"/>
  <c r="M36" i="9"/>
  <c r="L36" i="9"/>
  <c r="K36" i="9"/>
  <c r="J36" i="9"/>
  <c r="I36" i="9"/>
  <c r="AA35" i="9"/>
  <c r="Z35" i="9"/>
  <c r="Y35" i="9"/>
  <c r="X35" i="9"/>
  <c r="W35" i="9"/>
  <c r="V35" i="9"/>
  <c r="U35" i="9"/>
  <c r="T35" i="9"/>
  <c r="S35" i="9"/>
  <c r="R35" i="9"/>
  <c r="Q35" i="9"/>
  <c r="P35" i="9"/>
  <c r="O35" i="9"/>
  <c r="N35" i="9"/>
  <c r="M35" i="9"/>
  <c r="AA34" i="9"/>
  <c r="Z34" i="9"/>
  <c r="Y34" i="9"/>
  <c r="X34" i="9"/>
  <c r="W34" i="9"/>
  <c r="V34" i="9"/>
  <c r="U34" i="9"/>
  <c r="T34" i="9"/>
  <c r="S34" i="9"/>
  <c r="R34" i="9"/>
  <c r="Q34" i="9"/>
  <c r="P34" i="9"/>
  <c r="O34" i="9"/>
  <c r="N34" i="9"/>
  <c r="M34" i="9"/>
  <c r="L34" i="9"/>
  <c r="K34" i="9"/>
  <c r="J34" i="9"/>
  <c r="I34" i="9"/>
  <c r="AA33" i="9"/>
  <c r="Z33" i="9"/>
  <c r="Y33" i="9"/>
  <c r="X33" i="9"/>
  <c r="W33" i="9"/>
  <c r="V33" i="9"/>
  <c r="U33" i="9"/>
  <c r="T33" i="9"/>
  <c r="S33" i="9"/>
  <c r="R33" i="9"/>
  <c r="Q33" i="9"/>
  <c r="P33" i="9"/>
  <c r="O33" i="9"/>
  <c r="N33" i="9"/>
  <c r="M33" i="9"/>
  <c r="L33" i="9"/>
  <c r="K33" i="9"/>
  <c r="J33" i="9"/>
  <c r="I33" i="9"/>
  <c r="AA32" i="9"/>
  <c r="Z32" i="9"/>
  <c r="Y32" i="9"/>
  <c r="X32" i="9"/>
  <c r="W32" i="9"/>
  <c r="V32" i="9"/>
  <c r="U32" i="9"/>
  <c r="T32" i="9"/>
  <c r="S32" i="9"/>
  <c r="R32" i="9"/>
  <c r="Q32" i="9"/>
  <c r="P32" i="9"/>
  <c r="O32" i="9"/>
  <c r="N32" i="9"/>
  <c r="M32" i="9"/>
  <c r="L32" i="9"/>
  <c r="K32" i="9"/>
  <c r="J32" i="9"/>
  <c r="I32" i="9"/>
  <c r="AA98" i="9"/>
  <c r="Z98" i="9"/>
  <c r="Y98" i="9"/>
  <c r="X98" i="9"/>
  <c r="W98" i="9"/>
  <c r="V98" i="9"/>
  <c r="U98" i="9"/>
  <c r="T98" i="9"/>
  <c r="S98" i="9"/>
  <c r="R98" i="9"/>
  <c r="Q98" i="9"/>
  <c r="P98" i="9"/>
  <c r="O98" i="9"/>
  <c r="N98" i="9"/>
  <c r="M98" i="9"/>
  <c r="M20" i="15"/>
  <c r="L98" i="9"/>
  <c r="L20" i="15"/>
  <c r="K98" i="9"/>
  <c r="K20" i="15"/>
  <c r="J98" i="9"/>
  <c r="J20" i="15"/>
  <c r="I98" i="9"/>
  <c r="AA97" i="9"/>
  <c r="Z97" i="9"/>
  <c r="Y97" i="9"/>
  <c r="X97" i="9"/>
  <c r="W97" i="9"/>
  <c r="V97" i="9"/>
  <c r="U97" i="9"/>
  <c r="T97" i="9"/>
  <c r="S97" i="9"/>
  <c r="R97" i="9"/>
  <c r="Q97" i="9"/>
  <c r="P97" i="9"/>
  <c r="O97" i="9"/>
  <c r="N97" i="9"/>
  <c r="M97" i="9"/>
  <c r="M19" i="15"/>
  <c r="L97" i="9"/>
  <c r="L19" i="15"/>
  <c r="K97" i="9"/>
  <c r="K19" i="15"/>
  <c r="J97" i="9"/>
  <c r="J19" i="15"/>
  <c r="I97" i="9"/>
  <c r="AA96" i="9"/>
  <c r="Z96" i="9"/>
  <c r="Y96" i="9"/>
  <c r="X96" i="9"/>
  <c r="W96" i="9"/>
  <c r="V96" i="9"/>
  <c r="U96" i="9"/>
  <c r="T96" i="9"/>
  <c r="S96" i="9"/>
  <c r="R96" i="9"/>
  <c r="Q96" i="9"/>
  <c r="P96" i="9"/>
  <c r="O96" i="9"/>
  <c r="N96" i="9"/>
  <c r="M96" i="9"/>
  <c r="M18" i="15"/>
  <c r="L96" i="9"/>
  <c r="L18" i="15"/>
  <c r="K96" i="9"/>
  <c r="K18" i="15"/>
  <c r="J96" i="9"/>
  <c r="J18" i="15"/>
  <c r="I96" i="9"/>
  <c r="AA93" i="9"/>
  <c r="Z93" i="9"/>
  <c r="Y93" i="9"/>
  <c r="X93" i="9"/>
  <c r="W93" i="9"/>
  <c r="V93" i="9"/>
  <c r="U93" i="9"/>
  <c r="T93" i="9"/>
  <c r="S93" i="9"/>
  <c r="R93" i="9"/>
  <c r="Q93" i="9"/>
  <c r="P93" i="9"/>
  <c r="O93" i="9"/>
  <c r="N93" i="9"/>
  <c r="M93" i="9"/>
  <c r="L93" i="9"/>
  <c r="K93" i="9"/>
  <c r="J93" i="9"/>
  <c r="I93" i="9"/>
  <c r="AA90" i="9"/>
  <c r="Z90" i="9"/>
  <c r="Y90" i="9"/>
  <c r="X90" i="9"/>
  <c r="W90" i="9"/>
  <c r="V90" i="9"/>
  <c r="U90" i="9"/>
  <c r="T90" i="9"/>
  <c r="S90" i="9"/>
  <c r="R90" i="9"/>
  <c r="Q90" i="9"/>
  <c r="P90" i="9"/>
  <c r="O90" i="9"/>
  <c r="N90" i="9"/>
  <c r="M90" i="9"/>
  <c r="M15" i="16"/>
  <c r="L90" i="9"/>
  <c r="L15" i="16"/>
  <c r="K90" i="9"/>
  <c r="K15" i="16"/>
  <c r="J90" i="9"/>
  <c r="J15" i="16"/>
  <c r="I90" i="9"/>
  <c r="AA89" i="9"/>
  <c r="Z89" i="9"/>
  <c r="Y89" i="9"/>
  <c r="X89" i="9"/>
  <c r="W89" i="9"/>
  <c r="V89" i="9"/>
  <c r="U89" i="9"/>
  <c r="T89" i="9"/>
  <c r="S89" i="9"/>
  <c r="R89" i="9"/>
  <c r="Q89" i="9"/>
  <c r="P89" i="9"/>
  <c r="O89" i="9"/>
  <c r="N89" i="9"/>
  <c r="M89" i="9"/>
  <c r="M14" i="16"/>
  <c r="L89" i="9"/>
  <c r="L14" i="16"/>
  <c r="K89" i="9"/>
  <c r="K14" i="16"/>
  <c r="J89" i="9"/>
  <c r="J14" i="16"/>
  <c r="I89" i="9"/>
  <c r="AA88" i="9"/>
  <c r="Z88" i="9"/>
  <c r="Y88" i="9"/>
  <c r="X88" i="9"/>
  <c r="W88" i="9"/>
  <c r="V88" i="9"/>
  <c r="U88" i="9"/>
  <c r="T88" i="9"/>
  <c r="S88" i="9"/>
  <c r="R88" i="9"/>
  <c r="Q88" i="9"/>
  <c r="P88" i="9"/>
  <c r="O88" i="9"/>
  <c r="N88" i="9"/>
  <c r="M88" i="9"/>
  <c r="M13" i="16"/>
  <c r="L88" i="9"/>
  <c r="L13" i="16"/>
  <c r="K88" i="9"/>
  <c r="K13" i="16"/>
  <c r="J88" i="9"/>
  <c r="J13" i="16"/>
  <c r="I88" i="9"/>
  <c r="AA87" i="9"/>
  <c r="Z87" i="9"/>
  <c r="Y87" i="9"/>
  <c r="X87" i="9"/>
  <c r="W87" i="9"/>
  <c r="V87" i="9"/>
  <c r="U87" i="9"/>
  <c r="T87" i="9"/>
  <c r="S87" i="9"/>
  <c r="R87" i="9"/>
  <c r="Q87" i="9"/>
  <c r="P87" i="9"/>
  <c r="O87" i="9"/>
  <c r="N87" i="9"/>
  <c r="M87" i="9"/>
  <c r="M12" i="16"/>
  <c r="L87" i="9"/>
  <c r="L12" i="16"/>
  <c r="K87" i="9"/>
  <c r="K12" i="16"/>
  <c r="J87" i="9"/>
  <c r="J12" i="16"/>
  <c r="I87" i="9"/>
  <c r="AA84" i="9"/>
  <c r="Z84" i="9"/>
  <c r="Y84" i="9"/>
  <c r="X84" i="9"/>
  <c r="W84" i="9"/>
  <c r="V84" i="9"/>
  <c r="U84" i="9"/>
  <c r="T84" i="9"/>
  <c r="S84" i="9"/>
  <c r="R84" i="9"/>
  <c r="Q84" i="9"/>
  <c r="P84" i="9"/>
  <c r="O84" i="9"/>
  <c r="N84" i="9"/>
  <c r="M84" i="9"/>
  <c r="L84" i="9"/>
  <c r="K84" i="9"/>
  <c r="J84" i="9"/>
  <c r="I84" i="9"/>
  <c r="M18" i="14"/>
  <c r="L81" i="9"/>
  <c r="L18" i="14"/>
  <c r="K81" i="9"/>
  <c r="K18" i="14"/>
  <c r="J81" i="9"/>
  <c r="J18" i="14"/>
  <c r="I81" i="9"/>
  <c r="M17" i="14"/>
  <c r="L80" i="9"/>
  <c r="L17" i="14"/>
  <c r="K80" i="9"/>
  <c r="K17" i="14"/>
  <c r="J80" i="9"/>
  <c r="J17" i="14"/>
  <c r="I80" i="9"/>
  <c r="AA70" i="9"/>
  <c r="AA71" i="9"/>
  <c r="AA72" i="9"/>
  <c r="AA73" i="9"/>
  <c r="AA74" i="9"/>
  <c r="AA67" i="9"/>
  <c r="Z70" i="9"/>
  <c r="Z71" i="9"/>
  <c r="Z72" i="9"/>
  <c r="Z73" i="9"/>
  <c r="Z74" i="9"/>
  <c r="Z67" i="9"/>
  <c r="Y70" i="9"/>
  <c r="Y71" i="9"/>
  <c r="Y72" i="9"/>
  <c r="Y73" i="9"/>
  <c r="Y74" i="9"/>
  <c r="Y67" i="9"/>
  <c r="X70" i="9"/>
  <c r="X71" i="9"/>
  <c r="X72" i="9"/>
  <c r="X73" i="9"/>
  <c r="X74" i="9"/>
  <c r="X67" i="9"/>
  <c r="W70" i="9"/>
  <c r="W71" i="9"/>
  <c r="W72" i="9"/>
  <c r="W73" i="9"/>
  <c r="W74" i="9"/>
  <c r="W67" i="9"/>
  <c r="V70" i="9"/>
  <c r="V71" i="9"/>
  <c r="V72" i="9"/>
  <c r="V73" i="9"/>
  <c r="V74" i="9"/>
  <c r="V67" i="9"/>
  <c r="U70" i="9"/>
  <c r="U71" i="9"/>
  <c r="U72" i="9"/>
  <c r="U73" i="9"/>
  <c r="U74" i="9"/>
  <c r="U67" i="9"/>
  <c r="T70" i="9"/>
  <c r="T71" i="9"/>
  <c r="T72" i="9"/>
  <c r="T73" i="9"/>
  <c r="T74" i="9"/>
  <c r="T67" i="9"/>
  <c r="S70" i="9"/>
  <c r="S71" i="9"/>
  <c r="S72" i="9"/>
  <c r="S73" i="9"/>
  <c r="S74" i="9"/>
  <c r="S67" i="9"/>
  <c r="R70" i="9"/>
  <c r="R71" i="9"/>
  <c r="R72" i="9"/>
  <c r="R73" i="9"/>
  <c r="R74" i="9"/>
  <c r="R67" i="9"/>
  <c r="Q70" i="9"/>
  <c r="Q71" i="9"/>
  <c r="Q72" i="9"/>
  <c r="Q73" i="9"/>
  <c r="Q74" i="9"/>
  <c r="Q67" i="9"/>
  <c r="P70" i="9"/>
  <c r="P71" i="9"/>
  <c r="P72" i="9"/>
  <c r="P73" i="9"/>
  <c r="P74" i="9"/>
  <c r="P67" i="9"/>
  <c r="O70" i="9"/>
  <c r="O71" i="9"/>
  <c r="O72" i="9"/>
  <c r="O73" i="9"/>
  <c r="O74" i="9"/>
  <c r="O67" i="9"/>
  <c r="N70" i="9"/>
  <c r="N71" i="9"/>
  <c r="N72" i="9"/>
  <c r="N73" i="9"/>
  <c r="N74" i="9"/>
  <c r="N67" i="9"/>
  <c r="M70" i="9"/>
  <c r="M71" i="9"/>
  <c r="M72" i="9"/>
  <c r="M73" i="9"/>
  <c r="M74" i="9"/>
  <c r="M67" i="9"/>
  <c r="I363" i="13"/>
  <c r="J363" i="13"/>
  <c r="K363" i="13"/>
  <c r="L363" i="13"/>
  <c r="I362" i="13"/>
  <c r="J362" i="13"/>
  <c r="K362" i="13"/>
  <c r="L362" i="13"/>
  <c r="L365" i="13"/>
  <c r="M20" i="13"/>
  <c r="L74" i="9"/>
  <c r="K365" i="13"/>
  <c r="L20" i="13"/>
  <c r="K74" i="9"/>
  <c r="J365" i="13"/>
  <c r="K20" i="13"/>
  <c r="J74" i="9"/>
  <c r="I365" i="13"/>
  <c r="J20" i="13"/>
  <c r="I74" i="9"/>
  <c r="I333" i="13"/>
  <c r="J333" i="13"/>
  <c r="K333" i="13"/>
  <c r="L333" i="13"/>
  <c r="I332" i="13"/>
  <c r="J332" i="13"/>
  <c r="K332" i="13"/>
  <c r="L332" i="13"/>
  <c r="L335" i="13"/>
  <c r="M19" i="13"/>
  <c r="L73" i="9"/>
  <c r="K335" i="13"/>
  <c r="L19" i="13"/>
  <c r="K73" i="9"/>
  <c r="J335" i="13"/>
  <c r="K19" i="13"/>
  <c r="J73" i="9"/>
  <c r="I335" i="13"/>
  <c r="J19" i="13"/>
  <c r="I73" i="9"/>
  <c r="L196" i="13"/>
  <c r="L303" i="13"/>
  <c r="L304" i="13"/>
  <c r="L197" i="13"/>
  <c r="L189" i="13"/>
  <c r="L190" i="13"/>
  <c r="L191" i="13"/>
  <c r="L192" i="13"/>
  <c r="L193" i="13"/>
  <c r="L194" i="13"/>
  <c r="L195" i="13"/>
  <c r="L305" i="13"/>
  <c r="L306" i="13"/>
  <c r="L307" i="13"/>
  <c r="L308" i="13"/>
  <c r="L273" i="13"/>
  <c r="L292" i="13"/>
  <c r="L293" i="13"/>
  <c r="L294" i="13"/>
  <c r="L295" i="13"/>
  <c r="L296" i="13"/>
  <c r="L297" i="13"/>
  <c r="L272" i="13"/>
  <c r="L275" i="13"/>
  <c r="M18" i="13"/>
  <c r="L72" i="9"/>
  <c r="K196" i="13"/>
  <c r="K303" i="13"/>
  <c r="K304" i="13"/>
  <c r="K197" i="13"/>
  <c r="K189" i="13"/>
  <c r="K190" i="13"/>
  <c r="K191" i="13"/>
  <c r="K192" i="13"/>
  <c r="K193" i="13"/>
  <c r="K194" i="13"/>
  <c r="K195" i="13"/>
  <c r="K305" i="13"/>
  <c r="K306" i="13"/>
  <c r="K307" i="13"/>
  <c r="K308" i="13"/>
  <c r="K273" i="13"/>
  <c r="K292" i="13"/>
  <c r="K293" i="13"/>
  <c r="K294" i="13"/>
  <c r="K295" i="13"/>
  <c r="K296" i="13"/>
  <c r="K297" i="13"/>
  <c r="K272" i="13"/>
  <c r="K275" i="13"/>
  <c r="L18" i="13"/>
  <c r="K72" i="9"/>
  <c r="J196" i="13"/>
  <c r="J303" i="13"/>
  <c r="J304" i="13"/>
  <c r="J197" i="13"/>
  <c r="J189" i="13"/>
  <c r="J190" i="13"/>
  <c r="J191" i="13"/>
  <c r="J192" i="13"/>
  <c r="J193" i="13"/>
  <c r="J194" i="13"/>
  <c r="J195" i="13"/>
  <c r="J305" i="13"/>
  <c r="J306" i="13"/>
  <c r="J307" i="13"/>
  <c r="J308" i="13"/>
  <c r="J273" i="13"/>
  <c r="J292" i="13"/>
  <c r="J293" i="13"/>
  <c r="J294" i="13"/>
  <c r="J295" i="13"/>
  <c r="J296" i="13"/>
  <c r="J297" i="13"/>
  <c r="J272" i="13"/>
  <c r="J275" i="13"/>
  <c r="K18" i="13"/>
  <c r="J72" i="9"/>
  <c r="I196" i="13"/>
  <c r="I303" i="13"/>
  <c r="I304" i="13"/>
  <c r="I197" i="13"/>
  <c r="I189" i="13"/>
  <c r="I190" i="13"/>
  <c r="I191" i="13"/>
  <c r="I192" i="13"/>
  <c r="I193" i="13"/>
  <c r="I194" i="13"/>
  <c r="I195" i="13"/>
  <c r="I305" i="13"/>
  <c r="I306" i="13"/>
  <c r="I307" i="13"/>
  <c r="I308" i="13"/>
  <c r="I273" i="13"/>
  <c r="I292" i="13"/>
  <c r="I293" i="13"/>
  <c r="I294" i="13"/>
  <c r="I295" i="13"/>
  <c r="I296" i="13"/>
  <c r="I297" i="13"/>
  <c r="I272" i="13"/>
  <c r="I275" i="13"/>
  <c r="J18" i="13"/>
  <c r="I72" i="9"/>
  <c r="L165" i="13"/>
  <c r="L176" i="13"/>
  <c r="L177" i="13"/>
  <c r="L178" i="13"/>
  <c r="L179" i="13"/>
  <c r="L180" i="13"/>
  <c r="L181" i="13"/>
  <c r="L182" i="13"/>
  <c r="L164" i="13"/>
  <c r="L167" i="13"/>
  <c r="M17" i="13"/>
  <c r="L71" i="9"/>
  <c r="K165" i="13"/>
  <c r="K176" i="13"/>
  <c r="K177" i="13"/>
  <c r="K178" i="13"/>
  <c r="K179" i="13"/>
  <c r="K180" i="13"/>
  <c r="K181" i="13"/>
  <c r="K182" i="13"/>
  <c r="K164" i="13"/>
  <c r="K167" i="13"/>
  <c r="L17" i="13"/>
  <c r="K71" i="9"/>
  <c r="J165" i="13"/>
  <c r="J176" i="13"/>
  <c r="J177" i="13"/>
  <c r="J178" i="13"/>
  <c r="J179" i="13"/>
  <c r="J180" i="13"/>
  <c r="J181" i="13"/>
  <c r="J182" i="13"/>
  <c r="J164" i="13"/>
  <c r="J167" i="13"/>
  <c r="K17" i="13"/>
  <c r="J71" i="9"/>
  <c r="I165" i="13"/>
  <c r="I176" i="13"/>
  <c r="I177" i="13"/>
  <c r="I178" i="13"/>
  <c r="I179" i="13"/>
  <c r="I180" i="13"/>
  <c r="I181" i="13"/>
  <c r="I182" i="13"/>
  <c r="I164" i="13"/>
  <c r="I167" i="13"/>
  <c r="J17" i="13"/>
  <c r="I71" i="9"/>
  <c r="I139" i="13"/>
  <c r="J139" i="13"/>
  <c r="K139" i="13"/>
  <c r="L139" i="13"/>
  <c r="I137" i="13"/>
  <c r="J137" i="13"/>
  <c r="K137" i="13"/>
  <c r="L137" i="13"/>
  <c r="L46" i="13"/>
  <c r="I138" i="13"/>
  <c r="J138" i="13"/>
  <c r="K138" i="13"/>
  <c r="L138" i="13"/>
  <c r="L69" i="13"/>
  <c r="I127" i="13"/>
  <c r="J127" i="13"/>
  <c r="K127" i="13"/>
  <c r="L127" i="13"/>
  <c r="I125" i="13"/>
  <c r="J125" i="13"/>
  <c r="K125" i="13"/>
  <c r="L125" i="13"/>
  <c r="I126" i="13"/>
  <c r="J126" i="13"/>
  <c r="K126" i="13"/>
  <c r="L126" i="13"/>
  <c r="L68" i="13"/>
  <c r="L71" i="13"/>
  <c r="M16" i="13"/>
  <c r="L70" i="9"/>
  <c r="K69" i="13"/>
  <c r="K68" i="13"/>
  <c r="K71" i="13"/>
  <c r="L16" i="13"/>
  <c r="K70" i="9"/>
  <c r="J69" i="13"/>
  <c r="J68" i="13"/>
  <c r="J71" i="13"/>
  <c r="K16" i="13"/>
  <c r="J70" i="9"/>
  <c r="I69" i="13"/>
  <c r="I68" i="13"/>
  <c r="I71" i="13"/>
  <c r="J16" i="13"/>
  <c r="I70" i="9"/>
  <c r="AA58" i="9"/>
  <c r="Z58" i="9"/>
  <c r="Y58" i="9"/>
  <c r="X58" i="9"/>
  <c r="W58" i="9"/>
  <c r="V58" i="9"/>
  <c r="U58" i="9"/>
  <c r="T58" i="9"/>
  <c r="S58" i="9"/>
  <c r="R58" i="9"/>
  <c r="Q58" i="9"/>
  <c r="P58" i="9"/>
  <c r="O58" i="9"/>
  <c r="N58" i="9"/>
  <c r="M58" i="9"/>
  <c r="AA57" i="9"/>
  <c r="Z57" i="9"/>
  <c r="Y57" i="9"/>
  <c r="X57" i="9"/>
  <c r="W57" i="9"/>
  <c r="V57" i="9"/>
  <c r="U57" i="9"/>
  <c r="T57" i="9"/>
  <c r="S57" i="9"/>
  <c r="R57" i="9"/>
  <c r="Q57" i="9"/>
  <c r="P57" i="9"/>
  <c r="O57" i="9"/>
  <c r="N57" i="9"/>
  <c r="M57" i="9"/>
  <c r="AA56" i="9"/>
  <c r="Z56" i="9"/>
  <c r="Y56" i="9"/>
  <c r="X56" i="9"/>
  <c r="W56" i="9"/>
  <c r="V56" i="9"/>
  <c r="U56" i="9"/>
  <c r="T56" i="9"/>
  <c r="S56" i="9"/>
  <c r="R56" i="9"/>
  <c r="Q56" i="9"/>
  <c r="P56" i="9"/>
  <c r="O56" i="9"/>
  <c r="N56" i="9"/>
  <c r="M56" i="9"/>
  <c r="AA55" i="9"/>
  <c r="Z55" i="9"/>
  <c r="Y55" i="9"/>
  <c r="X55" i="9"/>
  <c r="W55" i="9"/>
  <c r="V55" i="9"/>
  <c r="U55" i="9"/>
  <c r="T55" i="9"/>
  <c r="S55" i="9"/>
  <c r="R55" i="9"/>
  <c r="Q55" i="9"/>
  <c r="P55" i="9"/>
  <c r="O55" i="9"/>
  <c r="N55" i="9"/>
  <c r="M55" i="9"/>
  <c r="AA54" i="9"/>
  <c r="Z54" i="9"/>
  <c r="Y54" i="9"/>
  <c r="X54" i="9"/>
  <c r="W54" i="9"/>
  <c r="V54" i="9"/>
  <c r="U54" i="9"/>
  <c r="T54" i="9"/>
  <c r="S54" i="9"/>
  <c r="R54" i="9"/>
  <c r="Q54" i="9"/>
  <c r="P54" i="9"/>
  <c r="O54" i="9"/>
  <c r="N54" i="9"/>
  <c r="M54" i="9"/>
  <c r="AA53" i="9"/>
  <c r="Z53" i="9"/>
  <c r="Y53" i="9"/>
  <c r="X53" i="9"/>
  <c r="W53" i="9"/>
  <c r="V53" i="9"/>
  <c r="U53" i="9"/>
  <c r="T53" i="9"/>
  <c r="S53" i="9"/>
  <c r="R53" i="9"/>
  <c r="Q53" i="9"/>
  <c r="P53" i="9"/>
  <c r="O53" i="9"/>
  <c r="N53" i="9"/>
  <c r="M53" i="9"/>
  <c r="AA50" i="9"/>
  <c r="Z50" i="9"/>
  <c r="Y50" i="9"/>
  <c r="X50" i="9"/>
  <c r="W50" i="9"/>
  <c r="V50" i="9"/>
  <c r="U50" i="9"/>
  <c r="T50" i="9"/>
  <c r="S50" i="9"/>
  <c r="R50" i="9"/>
  <c r="Q50" i="9"/>
  <c r="P50" i="9"/>
  <c r="O50" i="9"/>
  <c r="N50" i="9"/>
  <c r="M50" i="9"/>
  <c r="AA46" i="9"/>
  <c r="Z46" i="9"/>
  <c r="Y46" i="9"/>
  <c r="X46" i="9"/>
  <c r="W46" i="9"/>
  <c r="V46" i="9"/>
  <c r="U46" i="9"/>
  <c r="T46" i="9"/>
  <c r="S46" i="9"/>
  <c r="R46" i="9"/>
  <c r="Q46" i="9"/>
  <c r="P46" i="9"/>
  <c r="O46" i="9"/>
  <c r="N46" i="9"/>
  <c r="M46" i="9"/>
  <c r="AA45" i="9"/>
  <c r="Z45" i="9"/>
  <c r="Y45" i="9"/>
  <c r="X45" i="9"/>
  <c r="W45" i="9"/>
  <c r="V45" i="9"/>
  <c r="U45" i="9"/>
  <c r="T45" i="9"/>
  <c r="S45" i="9"/>
  <c r="R45" i="9"/>
  <c r="Q45" i="9"/>
  <c r="P45" i="9"/>
  <c r="O45" i="9"/>
  <c r="N45" i="9"/>
  <c r="M45" i="9"/>
  <c r="AA44" i="9"/>
  <c r="Z44" i="9"/>
  <c r="Y44" i="9"/>
  <c r="X44" i="9"/>
  <c r="W44" i="9"/>
  <c r="V44" i="9"/>
  <c r="U44" i="9"/>
  <c r="T44" i="9"/>
  <c r="S44" i="9"/>
  <c r="R44" i="9"/>
  <c r="Q44" i="9"/>
  <c r="P44" i="9"/>
  <c r="O44" i="9"/>
  <c r="N44" i="9"/>
  <c r="M44" i="9"/>
  <c r="AA43" i="9"/>
  <c r="Z43" i="9"/>
  <c r="Y43" i="9"/>
  <c r="X43" i="9"/>
  <c r="W43" i="9"/>
  <c r="V43" i="9"/>
  <c r="U43" i="9"/>
  <c r="T43" i="9"/>
  <c r="S43" i="9"/>
  <c r="R43" i="9"/>
  <c r="Q43" i="9"/>
  <c r="P43" i="9"/>
  <c r="O43" i="9"/>
  <c r="N43" i="9"/>
  <c r="M43" i="9"/>
  <c r="AA42" i="9"/>
  <c r="Z42" i="9"/>
  <c r="Y42" i="9"/>
  <c r="X42" i="9"/>
  <c r="W42" i="9"/>
  <c r="V42" i="9"/>
  <c r="U42" i="9"/>
  <c r="T42" i="9"/>
  <c r="S42" i="9"/>
  <c r="R42" i="9"/>
  <c r="Q42" i="9"/>
  <c r="P42" i="9"/>
  <c r="O42" i="9"/>
  <c r="N42" i="9"/>
  <c r="M42" i="9"/>
  <c r="AA39" i="9"/>
  <c r="Z39" i="9"/>
  <c r="Y39" i="9"/>
  <c r="X39" i="9"/>
  <c r="W39" i="9"/>
  <c r="V39" i="9"/>
  <c r="U39" i="9"/>
  <c r="T39" i="9"/>
  <c r="S39" i="9"/>
  <c r="R39" i="9"/>
  <c r="Q39" i="9"/>
  <c r="P39" i="9"/>
  <c r="O39" i="9"/>
  <c r="N39" i="9"/>
  <c r="M39" i="9"/>
  <c r="AA29" i="9"/>
  <c r="Z29" i="9"/>
  <c r="Y29" i="9"/>
  <c r="X29" i="9"/>
  <c r="W29" i="9"/>
  <c r="V29" i="9"/>
  <c r="U29" i="9"/>
  <c r="T29" i="9"/>
  <c r="S29" i="9"/>
  <c r="R29" i="9"/>
  <c r="Q29" i="9"/>
  <c r="P29" i="9"/>
  <c r="O29" i="9"/>
  <c r="N29" i="9"/>
  <c r="M29" i="9"/>
  <c r="AA26" i="9"/>
  <c r="Z26" i="9"/>
  <c r="Y26" i="9"/>
  <c r="X26" i="9"/>
  <c r="W26" i="9"/>
  <c r="V26" i="9"/>
  <c r="U26" i="9"/>
  <c r="T26" i="9"/>
  <c r="S26" i="9"/>
  <c r="R26" i="9"/>
  <c r="Q26" i="9"/>
  <c r="P26" i="9"/>
  <c r="O26" i="9"/>
  <c r="N26" i="9"/>
  <c r="M26" i="9"/>
  <c r="AA25" i="9"/>
  <c r="Z25" i="9"/>
  <c r="Y25" i="9"/>
  <c r="X25" i="9"/>
  <c r="W25" i="9"/>
  <c r="V25" i="9"/>
  <c r="U25" i="9"/>
  <c r="T25" i="9"/>
  <c r="S25" i="9"/>
  <c r="R25" i="9"/>
  <c r="Q25" i="9"/>
  <c r="P25" i="9"/>
  <c r="O25" i="9"/>
  <c r="N25" i="9"/>
  <c r="M25" i="9"/>
  <c r="AA24" i="9"/>
  <c r="Z24" i="9"/>
  <c r="Y24" i="9"/>
  <c r="X24" i="9"/>
  <c r="W24" i="9"/>
  <c r="V24" i="9"/>
  <c r="U24" i="9"/>
  <c r="T24" i="9"/>
  <c r="S24" i="9"/>
  <c r="R24" i="9"/>
  <c r="Q24" i="9"/>
  <c r="P24" i="9"/>
  <c r="O24" i="9"/>
  <c r="N24" i="9"/>
  <c r="M24" i="9"/>
  <c r="AA23" i="9"/>
  <c r="Z23" i="9"/>
  <c r="Y23" i="9"/>
  <c r="X23" i="9"/>
  <c r="W23" i="9"/>
  <c r="V23" i="9"/>
  <c r="U23" i="9"/>
  <c r="T23" i="9"/>
  <c r="S23" i="9"/>
  <c r="R23" i="9"/>
  <c r="Q23" i="9"/>
  <c r="P23" i="9"/>
  <c r="O23" i="9"/>
  <c r="N23" i="9"/>
  <c r="M23" i="9"/>
  <c r="AA22" i="9"/>
  <c r="Z22" i="9"/>
  <c r="Y22" i="9"/>
  <c r="X22" i="9"/>
  <c r="W22" i="9"/>
  <c r="V22" i="9"/>
  <c r="U22" i="9"/>
  <c r="T22" i="9"/>
  <c r="S22" i="9"/>
  <c r="R22" i="9"/>
  <c r="Q22" i="9"/>
  <c r="P22" i="9"/>
  <c r="O22" i="9"/>
  <c r="N22" i="9"/>
  <c r="M22" i="9"/>
  <c r="AA19" i="9"/>
  <c r="Z19" i="9"/>
  <c r="Y19" i="9"/>
  <c r="X19" i="9"/>
  <c r="W19" i="9"/>
  <c r="V19" i="9"/>
  <c r="U19" i="9"/>
  <c r="T19" i="9"/>
  <c r="S19" i="9"/>
  <c r="R19" i="9"/>
  <c r="Q19" i="9"/>
  <c r="P19" i="9"/>
  <c r="O19" i="9"/>
  <c r="N19" i="9"/>
  <c r="M19" i="9"/>
  <c r="I22" i="9"/>
  <c r="I23" i="9"/>
  <c r="I24" i="9"/>
  <c r="I26" i="9"/>
  <c r="I25" i="9"/>
  <c r="I19" i="9"/>
  <c r="I67" i="9"/>
  <c r="I77" i="9"/>
  <c r="J22" i="9"/>
  <c r="J23" i="9"/>
  <c r="J24" i="9"/>
  <c r="J26" i="9"/>
  <c r="J25" i="9"/>
  <c r="J19" i="9"/>
  <c r="J67" i="9"/>
  <c r="J77" i="9"/>
  <c r="K22" i="9"/>
  <c r="K23" i="9"/>
  <c r="K24" i="9"/>
  <c r="K26" i="9"/>
  <c r="K25" i="9"/>
  <c r="K19" i="9"/>
  <c r="K67" i="9"/>
  <c r="K77" i="9"/>
  <c r="L22" i="9"/>
  <c r="L23" i="9"/>
  <c r="L24" i="9"/>
  <c r="L26" i="9"/>
  <c r="L25" i="9"/>
  <c r="L19" i="9"/>
  <c r="L53" i="9"/>
  <c r="L56" i="9"/>
  <c r="L50" i="9"/>
  <c r="L67" i="9"/>
  <c r="L77" i="9"/>
  <c r="M10" i="9"/>
  <c r="N10" i="9"/>
  <c r="O10" i="9"/>
  <c r="P10" i="9"/>
  <c r="Q10" i="9"/>
  <c r="R10" i="9"/>
  <c r="S10" i="9"/>
  <c r="I35" i="9"/>
  <c r="I29" i="9"/>
  <c r="I53" i="9"/>
  <c r="I56" i="9"/>
  <c r="I50" i="9"/>
  <c r="J35" i="9"/>
  <c r="J29" i="9"/>
  <c r="J53" i="9"/>
  <c r="J56" i="9"/>
  <c r="J50" i="9"/>
  <c r="K35" i="9"/>
  <c r="K29" i="9"/>
  <c r="K53" i="9"/>
  <c r="K56" i="9"/>
  <c r="K50" i="9"/>
  <c r="L35" i="9"/>
  <c r="L29" i="9"/>
  <c r="T10" i="9"/>
  <c r="U10" i="9"/>
  <c r="V10" i="9"/>
  <c r="W10" i="9"/>
  <c r="X10" i="9"/>
  <c r="I42" i="9"/>
  <c r="I43" i="9"/>
  <c r="I44" i="9"/>
  <c r="I45" i="9"/>
  <c r="I46" i="9"/>
  <c r="I39" i="9"/>
  <c r="I10" i="9"/>
  <c r="I11" i="9"/>
  <c r="J42" i="9"/>
  <c r="J43" i="9"/>
  <c r="J44" i="9"/>
  <c r="J45" i="9"/>
  <c r="J46" i="9"/>
  <c r="J39" i="9"/>
  <c r="J10" i="9"/>
  <c r="J11" i="9"/>
  <c r="K42" i="9"/>
  <c r="K43" i="9"/>
  <c r="K44" i="9"/>
  <c r="K45" i="9"/>
  <c r="K46" i="9"/>
  <c r="K39" i="9"/>
  <c r="K10" i="9"/>
  <c r="K11" i="9"/>
  <c r="L42" i="9"/>
  <c r="L43" i="9"/>
  <c r="L44" i="9"/>
  <c r="L45" i="9"/>
  <c r="L46" i="9"/>
  <c r="L39" i="9"/>
  <c r="L10" i="9"/>
  <c r="L11" i="9"/>
  <c r="M11" i="9"/>
  <c r="N11" i="9"/>
  <c r="O11" i="9"/>
  <c r="P11" i="9"/>
  <c r="Q11" i="9"/>
  <c r="R11" i="9"/>
  <c r="S11" i="9"/>
  <c r="T11" i="9"/>
  <c r="U11" i="9"/>
  <c r="V11" i="9"/>
  <c r="W11" i="9"/>
  <c r="X11" i="9"/>
  <c r="Y10" i="9"/>
  <c r="Y11" i="9"/>
  <c r="Z10" i="9"/>
  <c r="Z11" i="9"/>
  <c r="AA10" i="9"/>
  <c r="AA11" i="9"/>
  <c r="C46" i="14"/>
  <c r="B9" i="16"/>
  <c r="B15" i="15"/>
  <c r="B14" i="14"/>
  <c r="B13" i="13"/>
  <c r="C15" i="5"/>
  <c r="C6" i="14"/>
  <c r="C361" i="13"/>
  <c r="D361" i="13"/>
  <c r="E361" i="13"/>
  <c r="F361" i="13"/>
  <c r="G361" i="13"/>
  <c r="H361" i="13"/>
  <c r="I361" i="13"/>
  <c r="J361" i="13"/>
  <c r="K361" i="13"/>
  <c r="L361" i="13"/>
  <c r="C331" i="13"/>
  <c r="D331" i="13"/>
  <c r="E331" i="13"/>
  <c r="F331" i="13"/>
  <c r="G331" i="13"/>
  <c r="H331" i="13"/>
  <c r="I331" i="13"/>
  <c r="J331" i="13"/>
  <c r="K331" i="13"/>
  <c r="L331" i="13"/>
  <c r="C313" i="13"/>
  <c r="D313" i="13"/>
  <c r="E313" i="13"/>
  <c r="F313" i="13"/>
  <c r="G313" i="13"/>
  <c r="H313" i="13"/>
  <c r="I313" i="13"/>
  <c r="J313" i="13"/>
  <c r="K313" i="13"/>
  <c r="L313" i="13"/>
  <c r="C302" i="13"/>
  <c r="D302" i="13"/>
  <c r="E302" i="13"/>
  <c r="F302" i="13"/>
  <c r="G302" i="13"/>
  <c r="H302" i="13"/>
  <c r="I302" i="13"/>
  <c r="J302" i="13"/>
  <c r="K302" i="13"/>
  <c r="L302" i="13"/>
  <c r="C291" i="13"/>
  <c r="D291" i="13"/>
  <c r="E291" i="13"/>
  <c r="F291" i="13"/>
  <c r="G291" i="13"/>
  <c r="H291" i="13"/>
  <c r="I291" i="13"/>
  <c r="J291" i="13"/>
  <c r="K291" i="13"/>
  <c r="L291" i="13"/>
  <c r="C271" i="13"/>
  <c r="D271" i="13"/>
  <c r="E271" i="13"/>
  <c r="F271" i="13"/>
  <c r="G271" i="13"/>
  <c r="H271" i="13"/>
  <c r="I271" i="13"/>
  <c r="J271" i="13"/>
  <c r="K271" i="13"/>
  <c r="L271" i="13"/>
  <c r="C201" i="13"/>
  <c r="D201" i="13"/>
  <c r="E201" i="13"/>
  <c r="F201" i="13"/>
  <c r="G201" i="13"/>
  <c r="H201" i="13"/>
  <c r="I201" i="13"/>
  <c r="J201" i="13"/>
  <c r="K201" i="13"/>
  <c r="L201" i="13"/>
  <c r="C188" i="13"/>
  <c r="D188" i="13"/>
  <c r="E188" i="13"/>
  <c r="F188" i="13"/>
  <c r="G188" i="13"/>
  <c r="H188" i="13"/>
  <c r="I188" i="13"/>
  <c r="J188" i="13"/>
  <c r="K188" i="13"/>
  <c r="L188" i="13"/>
  <c r="C175" i="13"/>
  <c r="D175" i="13"/>
  <c r="E175" i="13"/>
  <c r="F175" i="13"/>
  <c r="G175" i="13"/>
  <c r="H175" i="13"/>
  <c r="I175" i="13"/>
  <c r="J175" i="13"/>
  <c r="K175" i="13"/>
  <c r="L175" i="13"/>
  <c r="C163" i="13"/>
  <c r="D163" i="13"/>
  <c r="E163" i="13"/>
  <c r="F163" i="13"/>
  <c r="G163" i="13"/>
  <c r="H163" i="13"/>
  <c r="I163" i="13"/>
  <c r="J163" i="13"/>
  <c r="K163" i="13"/>
  <c r="L163" i="13"/>
  <c r="C145" i="13"/>
  <c r="D145" i="13"/>
  <c r="E145" i="13"/>
  <c r="F145" i="13"/>
  <c r="G145" i="13"/>
  <c r="H145" i="13"/>
  <c r="I145" i="13"/>
  <c r="J145" i="13"/>
  <c r="K145" i="13"/>
  <c r="L145" i="13"/>
  <c r="C132" i="13"/>
  <c r="D132" i="13"/>
  <c r="E132" i="13"/>
  <c r="F132" i="13"/>
  <c r="G132" i="13"/>
  <c r="H132" i="13"/>
  <c r="I132" i="13"/>
  <c r="J132" i="13"/>
  <c r="K132" i="13"/>
  <c r="L132" i="13"/>
  <c r="C120" i="13"/>
  <c r="D120" i="13"/>
  <c r="E120" i="13"/>
  <c r="F120" i="13"/>
  <c r="G120" i="13"/>
  <c r="H120" i="13"/>
  <c r="I120" i="13"/>
  <c r="J120" i="13"/>
  <c r="K120" i="13"/>
  <c r="L120" i="13"/>
  <c r="C108" i="13"/>
  <c r="C67" i="13"/>
  <c r="D67" i="13"/>
  <c r="E67" i="13"/>
  <c r="F67" i="13"/>
  <c r="G67" i="13"/>
  <c r="H67" i="13"/>
  <c r="I67" i="13"/>
  <c r="J67" i="13"/>
  <c r="K67" i="13"/>
  <c r="L67" i="13"/>
  <c r="C38" i="13"/>
  <c r="D38" i="13"/>
  <c r="E38" i="13"/>
  <c r="F38" i="13"/>
  <c r="G38" i="13"/>
  <c r="H38" i="13"/>
  <c r="I38" i="13"/>
  <c r="J38" i="13"/>
  <c r="K38" i="13"/>
  <c r="L38" i="13"/>
  <c r="C24" i="13"/>
  <c r="D12" i="13"/>
  <c r="C41" i="16"/>
  <c r="M9" i="16"/>
  <c r="L9" i="16"/>
  <c r="K9" i="16"/>
  <c r="J9" i="16"/>
  <c r="I9" i="16"/>
  <c r="H9" i="16"/>
  <c r="G9" i="16"/>
  <c r="F9" i="16"/>
  <c r="E9" i="16"/>
  <c r="D9" i="16"/>
  <c r="M15" i="15"/>
  <c r="L15" i="15"/>
  <c r="K15" i="15"/>
  <c r="J15" i="15"/>
  <c r="I15" i="15"/>
  <c r="H15" i="15"/>
  <c r="G15" i="15"/>
  <c r="F15" i="15"/>
  <c r="E15" i="15"/>
  <c r="D15" i="15"/>
  <c r="M14" i="14"/>
  <c r="L14" i="14"/>
  <c r="K14" i="14"/>
  <c r="J14" i="14"/>
  <c r="I14" i="14"/>
  <c r="H14" i="14"/>
  <c r="G14" i="14"/>
  <c r="F14" i="14"/>
  <c r="E14" i="14"/>
  <c r="D14" i="14"/>
  <c r="C364" i="13"/>
  <c r="D364" i="13"/>
  <c r="E364" i="13"/>
  <c r="F364" i="13"/>
  <c r="G364" i="13"/>
  <c r="H364" i="13"/>
  <c r="I364" i="13"/>
  <c r="J364" i="13"/>
  <c r="K364" i="13"/>
  <c r="L364" i="13"/>
  <c r="L366" i="13"/>
  <c r="K366" i="13"/>
  <c r="J366" i="13"/>
  <c r="I366" i="13"/>
  <c r="H366" i="13"/>
  <c r="G366" i="13"/>
  <c r="F366" i="13"/>
  <c r="E366" i="13"/>
  <c r="D366" i="13"/>
  <c r="C366" i="13"/>
  <c r="C344" i="13"/>
  <c r="C340" i="13"/>
  <c r="C334" i="13"/>
  <c r="D334" i="13"/>
  <c r="E334" i="13"/>
  <c r="F334" i="13"/>
  <c r="G334" i="13"/>
  <c r="H334" i="13"/>
  <c r="I334" i="13"/>
  <c r="J334" i="13"/>
  <c r="K334" i="13"/>
  <c r="L334" i="13"/>
  <c r="L336" i="13"/>
  <c r="K336" i="13"/>
  <c r="J336" i="13"/>
  <c r="I336" i="13"/>
  <c r="H336" i="13"/>
  <c r="G336" i="13"/>
  <c r="F336" i="13"/>
  <c r="E336" i="13"/>
  <c r="D336" i="13"/>
  <c r="C336" i="13"/>
  <c r="L210" i="13"/>
  <c r="L319" i="13"/>
  <c r="K210" i="13"/>
  <c r="K319" i="13"/>
  <c r="J210" i="13"/>
  <c r="J319" i="13"/>
  <c r="I210" i="13"/>
  <c r="I319" i="13"/>
  <c r="H210" i="13"/>
  <c r="H319" i="13"/>
  <c r="G210" i="13"/>
  <c r="G319" i="13"/>
  <c r="F210" i="13"/>
  <c r="F319" i="13"/>
  <c r="E210" i="13"/>
  <c r="E319" i="13"/>
  <c r="D210" i="13"/>
  <c r="D319" i="13"/>
  <c r="C319" i="13"/>
  <c r="L318" i="13"/>
  <c r="K318" i="13"/>
  <c r="J318" i="13"/>
  <c r="I318" i="13"/>
  <c r="H318" i="13"/>
  <c r="G318" i="13"/>
  <c r="F318" i="13"/>
  <c r="E318" i="13"/>
  <c r="D318" i="13"/>
  <c r="C318" i="13"/>
  <c r="L317" i="13"/>
  <c r="K317" i="13"/>
  <c r="J317" i="13"/>
  <c r="I317" i="13"/>
  <c r="H317" i="13"/>
  <c r="G317" i="13"/>
  <c r="F317" i="13"/>
  <c r="E317" i="13"/>
  <c r="D317" i="13"/>
  <c r="C317" i="13"/>
  <c r="L209" i="13"/>
  <c r="L316" i="13"/>
  <c r="K209" i="13"/>
  <c r="K316" i="13"/>
  <c r="J209" i="13"/>
  <c r="J316" i="13"/>
  <c r="I209" i="13"/>
  <c r="I316" i="13"/>
  <c r="H209" i="13"/>
  <c r="H316" i="13"/>
  <c r="G209" i="13"/>
  <c r="G316" i="13"/>
  <c r="F209" i="13"/>
  <c r="F316" i="13"/>
  <c r="E209" i="13"/>
  <c r="E316" i="13"/>
  <c r="D209" i="13"/>
  <c r="D316" i="13"/>
  <c r="C316" i="13"/>
  <c r="L315" i="13"/>
  <c r="K315" i="13"/>
  <c r="J315" i="13"/>
  <c r="I315" i="13"/>
  <c r="H315" i="13"/>
  <c r="G315" i="13"/>
  <c r="F315" i="13"/>
  <c r="E315" i="13"/>
  <c r="D315" i="13"/>
  <c r="C315" i="13"/>
  <c r="L314" i="13"/>
  <c r="K314" i="13"/>
  <c r="J314" i="13"/>
  <c r="I314" i="13"/>
  <c r="H314" i="13"/>
  <c r="G314" i="13"/>
  <c r="F314" i="13"/>
  <c r="E314" i="13"/>
  <c r="D314" i="13"/>
  <c r="C314" i="13"/>
  <c r="L274" i="13"/>
  <c r="L276" i="13"/>
  <c r="K274" i="13"/>
  <c r="K276" i="13"/>
  <c r="J274" i="13"/>
  <c r="J276" i="13"/>
  <c r="I274" i="13"/>
  <c r="I276" i="13"/>
  <c r="H274" i="13"/>
  <c r="H276" i="13"/>
  <c r="G274" i="13"/>
  <c r="G276" i="13"/>
  <c r="F274" i="13"/>
  <c r="F276" i="13"/>
  <c r="E274" i="13"/>
  <c r="E276" i="13"/>
  <c r="D274" i="13"/>
  <c r="D276" i="13"/>
  <c r="C274" i="13"/>
  <c r="C276" i="13"/>
  <c r="C246" i="13"/>
  <c r="C241" i="13"/>
  <c r="C236" i="13"/>
  <c r="L202" i="13"/>
  <c r="L203" i="13"/>
  <c r="L204" i="13"/>
  <c r="L205" i="13"/>
  <c r="L206" i="13"/>
  <c r="L207" i="13"/>
  <c r="L208" i="13"/>
  <c r="K202" i="13"/>
  <c r="K203" i="13"/>
  <c r="K204" i="13"/>
  <c r="K205" i="13"/>
  <c r="K206" i="13"/>
  <c r="K207" i="13"/>
  <c r="K208" i="13"/>
  <c r="J202" i="13"/>
  <c r="J203" i="13"/>
  <c r="J204" i="13"/>
  <c r="J205" i="13"/>
  <c r="J206" i="13"/>
  <c r="J207" i="13"/>
  <c r="J208" i="13"/>
  <c r="I202" i="13"/>
  <c r="I203" i="13"/>
  <c r="I204" i="13"/>
  <c r="I205" i="13"/>
  <c r="I206" i="13"/>
  <c r="I207" i="13"/>
  <c r="I208" i="13"/>
  <c r="H202" i="13"/>
  <c r="H203" i="13"/>
  <c r="H204" i="13"/>
  <c r="H205" i="13"/>
  <c r="H206" i="13"/>
  <c r="H207" i="13"/>
  <c r="H208" i="13"/>
  <c r="G202" i="13"/>
  <c r="G203" i="13"/>
  <c r="G204" i="13"/>
  <c r="G205" i="13"/>
  <c r="G206" i="13"/>
  <c r="G207" i="13"/>
  <c r="G208" i="13"/>
  <c r="F202" i="13"/>
  <c r="F203" i="13"/>
  <c r="F204" i="13"/>
  <c r="F205" i="13"/>
  <c r="F206" i="13"/>
  <c r="F207" i="13"/>
  <c r="F208" i="13"/>
  <c r="E202" i="13"/>
  <c r="E203" i="13"/>
  <c r="E204" i="13"/>
  <c r="E205" i="13"/>
  <c r="E206" i="13"/>
  <c r="E207" i="13"/>
  <c r="E208" i="13"/>
  <c r="D202" i="13"/>
  <c r="D203" i="13"/>
  <c r="D204" i="13"/>
  <c r="D205" i="13"/>
  <c r="D206" i="13"/>
  <c r="D207" i="13"/>
  <c r="D208" i="13"/>
  <c r="C202" i="13"/>
  <c r="C203" i="13"/>
  <c r="C204" i="13"/>
  <c r="C205" i="13"/>
  <c r="C206" i="13"/>
  <c r="C208" i="13"/>
  <c r="C207" i="13"/>
  <c r="C194" i="13"/>
  <c r="L166" i="13"/>
  <c r="L168" i="13"/>
  <c r="K166" i="13"/>
  <c r="K168" i="13"/>
  <c r="J166" i="13"/>
  <c r="J168" i="13"/>
  <c r="I166" i="13"/>
  <c r="I168" i="13"/>
  <c r="H166" i="13"/>
  <c r="H168" i="13"/>
  <c r="G166" i="13"/>
  <c r="G168" i="13"/>
  <c r="F166" i="13"/>
  <c r="F168" i="13"/>
  <c r="E166" i="13"/>
  <c r="E168" i="13"/>
  <c r="D166" i="13"/>
  <c r="D168" i="13"/>
  <c r="C166" i="13"/>
  <c r="C168" i="13"/>
  <c r="C152" i="13"/>
  <c r="D152" i="13"/>
  <c r="E152" i="13"/>
  <c r="F152" i="13"/>
  <c r="G152" i="13"/>
  <c r="H152" i="13"/>
  <c r="I152" i="13"/>
  <c r="J152" i="13"/>
  <c r="K152" i="13"/>
  <c r="L152" i="13"/>
  <c r="C151" i="13"/>
  <c r="D151" i="13"/>
  <c r="E151" i="13"/>
  <c r="F151" i="13"/>
  <c r="G151" i="13"/>
  <c r="H151" i="13"/>
  <c r="I151" i="13"/>
  <c r="J151" i="13"/>
  <c r="K151" i="13"/>
  <c r="L151" i="13"/>
  <c r="C150" i="13"/>
  <c r="D150" i="13"/>
  <c r="E150" i="13"/>
  <c r="F150" i="13"/>
  <c r="G150" i="13"/>
  <c r="H150" i="13"/>
  <c r="I150" i="13"/>
  <c r="J150" i="13"/>
  <c r="K150" i="13"/>
  <c r="L150" i="13"/>
  <c r="C149" i="13"/>
  <c r="D149" i="13"/>
  <c r="E149" i="13"/>
  <c r="F149" i="13"/>
  <c r="G149" i="13"/>
  <c r="H149" i="13"/>
  <c r="I149" i="13"/>
  <c r="J149" i="13"/>
  <c r="K149" i="13"/>
  <c r="L149" i="13"/>
  <c r="C148" i="13"/>
  <c r="D148" i="13"/>
  <c r="E148" i="13"/>
  <c r="F148" i="13"/>
  <c r="G148" i="13"/>
  <c r="H148" i="13"/>
  <c r="I148" i="13"/>
  <c r="J148" i="13"/>
  <c r="K148" i="13"/>
  <c r="L148" i="13"/>
  <c r="C147" i="13"/>
  <c r="D147" i="13"/>
  <c r="E147" i="13"/>
  <c r="F147" i="13"/>
  <c r="G147" i="13"/>
  <c r="H147" i="13"/>
  <c r="I147" i="13"/>
  <c r="J147" i="13"/>
  <c r="K147" i="13"/>
  <c r="L147" i="13"/>
  <c r="C146" i="13"/>
  <c r="D146" i="13"/>
  <c r="E146" i="13"/>
  <c r="F146" i="13"/>
  <c r="G146" i="13"/>
  <c r="H146" i="13"/>
  <c r="I146" i="13"/>
  <c r="J146" i="13"/>
  <c r="K146" i="13"/>
  <c r="L146" i="13"/>
  <c r="C136" i="13"/>
  <c r="D136" i="13"/>
  <c r="E136" i="13"/>
  <c r="F136" i="13"/>
  <c r="G136" i="13"/>
  <c r="H136" i="13"/>
  <c r="I136" i="13"/>
  <c r="J136" i="13"/>
  <c r="K136" i="13"/>
  <c r="L136" i="13"/>
  <c r="C135" i="13"/>
  <c r="D135" i="13"/>
  <c r="E135" i="13"/>
  <c r="F135" i="13"/>
  <c r="G135" i="13"/>
  <c r="H135" i="13"/>
  <c r="I135" i="13"/>
  <c r="J135" i="13"/>
  <c r="K135" i="13"/>
  <c r="L135" i="13"/>
  <c r="C134" i="13"/>
  <c r="D134" i="13"/>
  <c r="E134" i="13"/>
  <c r="F134" i="13"/>
  <c r="G134" i="13"/>
  <c r="H134" i="13"/>
  <c r="I134" i="13"/>
  <c r="J134" i="13"/>
  <c r="K134" i="13"/>
  <c r="L134" i="13"/>
  <c r="C133" i="13"/>
  <c r="D133" i="13"/>
  <c r="E133" i="13"/>
  <c r="F133" i="13"/>
  <c r="G133" i="13"/>
  <c r="H133" i="13"/>
  <c r="I133" i="13"/>
  <c r="J133" i="13"/>
  <c r="K133" i="13"/>
  <c r="L133" i="13"/>
  <c r="C124" i="13"/>
  <c r="D124" i="13"/>
  <c r="E124" i="13"/>
  <c r="F124" i="13"/>
  <c r="G124" i="13"/>
  <c r="H124" i="13"/>
  <c r="I124" i="13"/>
  <c r="J124" i="13"/>
  <c r="K124" i="13"/>
  <c r="L124" i="13"/>
  <c r="C123" i="13"/>
  <c r="D123" i="13"/>
  <c r="E123" i="13"/>
  <c r="F123" i="13"/>
  <c r="G123" i="13"/>
  <c r="H123" i="13"/>
  <c r="I123" i="13"/>
  <c r="J123" i="13"/>
  <c r="K123" i="13"/>
  <c r="L123" i="13"/>
  <c r="C122" i="13"/>
  <c r="C121" i="13"/>
  <c r="D121" i="13"/>
  <c r="E121" i="13"/>
  <c r="F121" i="13"/>
  <c r="G121" i="13"/>
  <c r="H121" i="13"/>
  <c r="I121" i="13"/>
  <c r="J121" i="13"/>
  <c r="K121" i="13"/>
  <c r="L121" i="13"/>
  <c r="C115" i="13"/>
  <c r="C114" i="13"/>
  <c r="C113" i="13"/>
  <c r="C112" i="13"/>
  <c r="C111" i="13"/>
  <c r="C110" i="13"/>
  <c r="C109" i="13"/>
  <c r="L51" i="13"/>
  <c r="L54" i="13"/>
  <c r="L52" i="13"/>
  <c r="L70" i="13"/>
  <c r="L72" i="13"/>
  <c r="K70" i="13"/>
  <c r="K72" i="13"/>
  <c r="J70" i="13"/>
  <c r="J72" i="13"/>
  <c r="I70" i="13"/>
  <c r="I72" i="13"/>
  <c r="H70" i="13"/>
  <c r="H72" i="13"/>
  <c r="G70" i="13"/>
  <c r="G72" i="13"/>
  <c r="F70" i="13"/>
  <c r="F72" i="13"/>
  <c r="E70" i="13"/>
  <c r="E72" i="13"/>
  <c r="D70" i="13"/>
  <c r="D72" i="13"/>
  <c r="C70" i="13"/>
  <c r="C72" i="13"/>
  <c r="L27" i="13"/>
  <c r="L25" i="13"/>
  <c r="L29" i="13"/>
  <c r="K27" i="13"/>
  <c r="K25" i="13"/>
  <c r="K29" i="13"/>
  <c r="J27" i="13"/>
  <c r="J25" i="13"/>
  <c r="J29" i="13"/>
  <c r="I27" i="13"/>
  <c r="I25" i="13"/>
  <c r="I29" i="13"/>
  <c r="H27" i="13"/>
  <c r="H25" i="13"/>
  <c r="H29" i="13"/>
  <c r="G27" i="13"/>
  <c r="G25" i="13"/>
  <c r="G29" i="13"/>
  <c r="F27" i="13"/>
  <c r="F25" i="13"/>
  <c r="F29" i="13"/>
  <c r="E27" i="13"/>
  <c r="E25" i="13"/>
  <c r="E29" i="13"/>
  <c r="D27" i="13"/>
  <c r="D25" i="13"/>
  <c r="D29" i="13"/>
  <c r="C27" i="13"/>
  <c r="C25" i="13"/>
  <c r="C29" i="13"/>
  <c r="L26" i="13"/>
  <c r="L28" i="13"/>
  <c r="K26" i="13"/>
  <c r="K28" i="13"/>
  <c r="J26" i="13"/>
  <c r="J28" i="13"/>
  <c r="I26" i="13"/>
  <c r="I28" i="13"/>
  <c r="H26" i="13"/>
  <c r="H28" i="13"/>
  <c r="G26" i="13"/>
  <c r="G28" i="13"/>
  <c r="F26" i="13"/>
  <c r="F28" i="13"/>
  <c r="E26" i="13"/>
  <c r="E28" i="13"/>
  <c r="D26" i="13"/>
  <c r="D28" i="13"/>
  <c r="C26" i="13"/>
  <c r="C28" i="13"/>
  <c r="D24" i="13"/>
  <c r="E24" i="13"/>
  <c r="F24" i="13"/>
  <c r="G24" i="13"/>
  <c r="H24" i="13"/>
  <c r="I24" i="13"/>
  <c r="J24" i="13"/>
  <c r="K24" i="13"/>
  <c r="L24" i="13"/>
  <c r="M13" i="13"/>
  <c r="L13" i="13"/>
  <c r="K13" i="13"/>
  <c r="J13" i="13"/>
  <c r="I13" i="13"/>
  <c r="H13" i="13"/>
  <c r="G13" i="13"/>
  <c r="F13" i="13"/>
  <c r="E13" i="13"/>
  <c r="D13" i="13"/>
  <c r="E12" i="13"/>
  <c r="F12" i="13"/>
  <c r="G12" i="13"/>
  <c r="H12" i="13"/>
  <c r="I12" i="13"/>
  <c r="J12" i="13"/>
  <c r="K12" i="13"/>
  <c r="L12" i="13"/>
  <c r="M12" i="13"/>
  <c r="D50" i="7"/>
  <c r="D49" i="7"/>
  <c r="D48" i="7"/>
  <c r="D47" i="7"/>
  <c r="D46" i="7"/>
  <c r="D45" i="7"/>
  <c r="D44" i="7"/>
  <c r="D43" i="7"/>
  <c r="D42" i="7"/>
  <c r="D40" i="7"/>
  <c r="D25" i="7"/>
  <c r="C16" i="5"/>
  <c r="L58" i="9"/>
  <c r="K58" i="9"/>
  <c r="J58" i="9"/>
  <c r="I58" i="9"/>
  <c r="H58" i="9"/>
  <c r="G58" i="9"/>
  <c r="F58" i="9"/>
  <c r="E58" i="9"/>
  <c r="D58" i="9"/>
  <c r="C58" i="9"/>
  <c r="L57" i="9"/>
  <c r="K57" i="9"/>
  <c r="J57" i="9"/>
  <c r="I57" i="9"/>
  <c r="H57" i="9"/>
  <c r="G57" i="9"/>
  <c r="F57" i="9"/>
  <c r="E57" i="9"/>
  <c r="D57" i="9"/>
  <c r="C57" i="9"/>
  <c r="L55" i="9"/>
  <c r="K55" i="9"/>
  <c r="J55" i="9"/>
  <c r="I55" i="9"/>
  <c r="H55" i="9"/>
  <c r="G55" i="9"/>
  <c r="F55" i="9"/>
  <c r="E55" i="9"/>
  <c r="C55" i="9"/>
  <c r="L54" i="9"/>
  <c r="K54" i="9"/>
  <c r="J54" i="9"/>
  <c r="I54" i="9"/>
  <c r="H54" i="9"/>
  <c r="G54" i="9"/>
  <c r="F54" i="9"/>
  <c r="E54" i="9"/>
  <c r="D54" i="9"/>
  <c r="C54" i="9"/>
  <c r="B58" i="9"/>
  <c r="B57" i="9"/>
  <c r="C13" i="11"/>
  <c r="B56" i="9"/>
  <c r="B55" i="9"/>
  <c r="B54" i="9"/>
  <c r="C10" i="11"/>
  <c r="B53" i="9"/>
  <c r="D7" i="11"/>
  <c r="E197" i="11"/>
  <c r="E114" i="11"/>
  <c r="E100" i="11"/>
  <c r="C10" i="3"/>
  <c r="C9" i="3"/>
  <c r="C8" i="3"/>
  <c r="C7" i="3"/>
  <c r="C6" i="3"/>
  <c r="B26" i="9"/>
  <c r="B25" i="9"/>
  <c r="B24" i="9"/>
  <c r="B23" i="9"/>
  <c r="B22" i="9"/>
  <c r="C12" i="4"/>
  <c r="C11" i="4"/>
  <c r="C10" i="4"/>
  <c r="C9" i="4"/>
  <c r="C8" i="4"/>
  <c r="B46" i="9"/>
  <c r="B45" i="9"/>
  <c r="B44" i="9"/>
  <c r="B43" i="9"/>
  <c r="B42" i="9"/>
  <c r="C11" i="5"/>
  <c r="C10" i="5"/>
  <c r="C9" i="5"/>
  <c r="C8" i="5"/>
  <c r="C7" i="5"/>
  <c r="B36" i="9"/>
  <c r="B35" i="9"/>
  <c r="B34" i="9"/>
  <c r="B33" i="9"/>
  <c r="B32" i="9"/>
  <c r="E122" i="3"/>
  <c r="N5" i="9"/>
  <c r="D1" i="9"/>
  <c r="E1" i="9"/>
  <c r="F1" i="9"/>
  <c r="G1" i="9"/>
  <c r="H1" i="9"/>
  <c r="I1" i="9"/>
  <c r="J1" i="9"/>
  <c r="K1" i="9"/>
  <c r="L1" i="9"/>
  <c r="N4" i="9"/>
  <c r="N3" i="9"/>
  <c r="N2" i="9"/>
  <c r="B159" i="5"/>
  <c r="B153" i="5"/>
  <c r="B147" i="5"/>
  <c r="B141" i="5"/>
  <c r="E107" i="3"/>
  <c r="E180" i="4"/>
  <c r="E166" i="4"/>
  <c r="E67" i="4"/>
  <c r="D55" i="9"/>
  <c r="M5" i="4"/>
  <c r="L5" i="4"/>
  <c r="K5" i="4"/>
  <c r="J5" i="4"/>
  <c r="I5" i="4"/>
  <c r="H5" i="4"/>
  <c r="G5" i="4"/>
  <c r="F5" i="4"/>
  <c r="E8" i="4"/>
  <c r="E9" i="4"/>
  <c r="E10" i="4"/>
  <c r="E11" i="4"/>
  <c r="E12" i="4"/>
  <c r="E5"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<sst xmlns="http://schemas.openxmlformats.org/spreadsheetml/2006/main" count="9158" uniqueCount="1342">
  <si>
    <t>km</t>
  </si>
  <si>
    <t>%</t>
  </si>
  <si>
    <t>kWh/Go</t>
  </si>
  <si>
    <t>kWh/an</t>
  </si>
  <si>
    <t>Unité</t>
  </si>
  <si>
    <t>kgCO2eq/unité</t>
  </si>
  <si>
    <t>Taux de remplacement cuivre vers FO</t>
  </si>
  <si>
    <t>Evolution des données projets</t>
  </si>
  <si>
    <t>Année</t>
  </si>
  <si>
    <t>Taux de pénétration FFTH (IDATE/CALIA Conseil)</t>
  </si>
  <si>
    <t>Population raccordés</t>
  </si>
  <si>
    <t>p(t)</t>
  </si>
  <si>
    <t>Employés  raccordés</t>
  </si>
  <si>
    <t>a(t)</t>
  </si>
  <si>
    <t>Ménages raccordés</t>
  </si>
  <si>
    <t>m(t)</t>
  </si>
  <si>
    <t>Prises raccordées</t>
  </si>
  <si>
    <t>c(t)</t>
  </si>
  <si>
    <t>Donnée</t>
  </si>
  <si>
    <t>Valeur</t>
  </si>
  <si>
    <t>Source</t>
  </si>
  <si>
    <t>Population sur la zone du projet</t>
  </si>
  <si>
    <t>Nombre d'employés sur la zone du projet</t>
  </si>
  <si>
    <t>Ménages sur la zone du projet</t>
  </si>
  <si>
    <t>Prises sur la zone du projet</t>
  </si>
  <si>
    <t>Taux de croissance démographique sur la période 2021-2030</t>
  </si>
  <si>
    <t>Dynamique</t>
  </si>
  <si>
    <t>Consommation du réseau par ligne FTTH</t>
  </si>
  <si>
    <t>kWh/ligne/an</t>
  </si>
  <si>
    <t>Paramètres dynamiques</t>
  </si>
  <si>
    <t>Consommation électrique 4G par Go</t>
  </si>
  <si>
    <t>Consommation électrique réseau fixe par Go</t>
  </si>
  <si>
    <t>Go/an</t>
  </si>
  <si>
    <t>FE Modem Fibre Cradle to Grave</t>
  </si>
  <si>
    <r>
      <t>téqCO</t>
    </r>
    <r>
      <rPr>
        <vertAlign val="subscript"/>
        <sz val="11"/>
        <color theme="1"/>
        <rFont val="Gill Sans MT"/>
        <family val="2"/>
      </rPr>
      <t>2</t>
    </r>
    <r>
      <rPr>
        <sz val="11"/>
        <color theme="1"/>
        <rFont val="Gill Sans MT"/>
        <family val="2"/>
      </rPr>
      <t>/unité</t>
    </r>
  </si>
  <si>
    <t>Base Carbone 2018</t>
  </si>
  <si>
    <t>FE WEE - DEFRA (50% combustion, 50 % landfill)</t>
  </si>
  <si>
    <r>
      <t>téqCO</t>
    </r>
    <r>
      <rPr>
        <vertAlign val="subscript"/>
        <sz val="11"/>
        <color theme="1"/>
        <rFont val="Gill Sans MT"/>
        <family val="2"/>
      </rPr>
      <t>2</t>
    </r>
    <r>
      <rPr>
        <sz val="11"/>
        <color theme="1"/>
        <rFont val="Gill Sans MT"/>
        <family val="2"/>
      </rPr>
      <t>/tonnes</t>
    </r>
  </si>
  <si>
    <t>DEFRA</t>
  </si>
  <si>
    <t>Masse d'un Modem (livebox 4 Orange)</t>
  </si>
  <si>
    <t>tonnes/unité</t>
  </si>
  <si>
    <t>Orange</t>
  </si>
  <si>
    <t xml:space="preserve">Durée de vie typique d'un projet fibre </t>
  </si>
  <si>
    <t>ans</t>
  </si>
  <si>
    <t>CNDP</t>
  </si>
  <si>
    <t>FE TV Cradle to Grave</t>
  </si>
  <si>
    <t>Masse d'une TV</t>
  </si>
  <si>
    <t>Site Revendeur</t>
  </si>
  <si>
    <t>FE WEEE - DEFRA (50% combustion, 50 % landfill)</t>
  </si>
  <si>
    <t>Poids d'un Ordinateur</t>
  </si>
  <si>
    <t xml:space="preserve">tonnes/unité </t>
  </si>
  <si>
    <t>Site Revendeur Fnac</t>
  </si>
  <si>
    <t>FE tablette Cradle to Grave</t>
  </si>
  <si>
    <t>Masse d'une tablette</t>
  </si>
  <si>
    <t>FE smartphone Cradle to Grave</t>
  </si>
  <si>
    <t>Masse d'un Smartphone</t>
  </si>
  <si>
    <t>Consommation du réseau par ligne ADSL</t>
  </si>
  <si>
    <t>Consommation du réseau par ligne RTC</t>
  </si>
  <si>
    <t>Shehabi, A., Smith, S.J., Horner, N., Azevedo, I., Brown, R., Koomey, J., Masanet, E., Sartor, D., Herrlin, M., Lintner, W. (2016). United States Data Center Energy Usage Report. Lawrence Berkeley National Laboratory, Berkeley, California. LBNL-1005775</t>
  </si>
  <si>
    <t>% de la consommation reportée</t>
  </si>
  <si>
    <t>Date de début du projet</t>
  </si>
  <si>
    <t>Dynamiques de population</t>
  </si>
  <si>
    <t>Taille du réseau fibre optique additionnel</t>
  </si>
  <si>
    <t>kgCO2eq</t>
  </si>
  <si>
    <t>ADEME 2012</t>
  </si>
  <si>
    <t>Christopher R. Hannemann, Van P. Carey, Amip J. Shah, Chandrakant Patel, "Lifetime energy consumption of an enterprise server," ISEE, pp.1-5, 2008 IEEE International Symposium on Electronics and the Environment, 2008.</t>
  </si>
  <si>
    <t>FE phase production du serveur (extraction/assemblage/transport)</t>
  </si>
  <si>
    <t>Limites de l'analyse</t>
  </si>
  <si>
    <t>MW</t>
  </si>
  <si>
    <t>m2</t>
  </si>
  <si>
    <t>Production de nouveaux terminaux</t>
  </si>
  <si>
    <t>TCAM Augmentation du débit mobile</t>
  </si>
  <si>
    <t>TCAM hausse du flux de données</t>
  </si>
  <si>
    <t>FE électricité pays hôte du data center</t>
  </si>
  <si>
    <t>Part de la population active en télétravail</t>
  </si>
  <si>
    <t>Nombre moyen de kms du trajet domicile-travail en télétravail</t>
  </si>
  <si>
    <t>Part des trajets domicile-travail effectués à pied/vélo</t>
  </si>
  <si>
    <t>Part des trajets domicile-travail effectués en transports en commun</t>
  </si>
  <si>
    <t>Nombre de jours complets de télétravail hebdomadaires : profil 1</t>
  </si>
  <si>
    <t>Nombre de jours complets de télétravail hebdomadaires : profil 2</t>
  </si>
  <si>
    <t>Nombre de jours complets de télétravail hebdomadaires : profil 3</t>
  </si>
  <si>
    <t>Facteurs d'émission et hypothèses</t>
  </si>
  <si>
    <t>kWh/j</t>
  </si>
  <si>
    <t>Sources et hypothèses</t>
  </si>
  <si>
    <t>FE électricité</t>
  </si>
  <si>
    <t>Part de la population active en télétravail profil 1</t>
  </si>
  <si>
    <t>Part de la population active en télétravail profil 3</t>
  </si>
  <si>
    <t>Part de la population active en télétravail profil 2</t>
  </si>
  <si>
    <t>Nombre de foyers impactés</t>
  </si>
  <si>
    <t xml:space="preserve">Evolution des émissions de GES </t>
  </si>
  <si>
    <t>Avec dispositif de télétravail (tCO2eq/an)</t>
  </si>
  <si>
    <t>Sans dispositif de télétravail (tCO2eq/an)</t>
  </si>
  <si>
    <t>Impact d'un m2 de bureau</t>
  </si>
  <si>
    <t>kgCO2/m2/an</t>
  </si>
  <si>
    <t>Surface par collaborateur référence</t>
  </si>
  <si>
    <t>Surface par collaborateur projet</t>
  </si>
  <si>
    <t>Taux de foisonnement référence</t>
  </si>
  <si>
    <t>Taux de foisonnement projet</t>
  </si>
  <si>
    <t>Nombre de serveurs physiques</t>
  </si>
  <si>
    <t>tCO2eq</t>
  </si>
  <si>
    <t>FE TV production (extraction, transport, assemblage)</t>
  </si>
  <si>
    <t>FE Ordinateur production (extraction, transport, assemblage)</t>
  </si>
  <si>
    <t>FE smartphone production (extraction, transport, assemblage)</t>
  </si>
  <si>
    <t>3 à 5 ans</t>
  </si>
  <si>
    <t>Facteur d'émission</t>
  </si>
  <si>
    <t>Valeur adoptée</t>
  </si>
  <si>
    <t>Commentaires associés</t>
  </si>
  <si>
    <t>Baie de disques</t>
  </si>
  <si>
    <t>EcoInvent</t>
  </si>
  <si>
    <t>Serveur informatique</t>
  </si>
  <si>
    <t>Climatisation</t>
  </si>
  <si>
    <t>EUP room air</t>
  </si>
  <si>
    <t>Poids de 7 à 16kgs par unité
Des évaluations modulaires sur la base de données EcoInvent 
donnent des valeurs approchantes :
- Rapport Bilan Carbone d’Aubervilliers O2France pour 
ATOS (données EcoInvent) : 23 kg eq C/kg d’équipement, 
soit 85 kg CO2e/ kg d’équipement
- Evaluation modulaire Zen’to (EcoInvent/Bilan Produit 
2008) : 50 à 100 kg CO2e par kg d’équipement</t>
  </si>
  <si>
    <t>Générateur froid (air &amp; eau)</t>
  </si>
  <si>
    <t>Groupe électrogène</t>
  </si>
  <si>
    <t>Racks</t>
  </si>
  <si>
    <t>Incertitude en % (quand disponible)</t>
  </si>
  <si>
    <t>Projet</t>
  </si>
  <si>
    <t xml:space="preserve">Phase </t>
  </si>
  <si>
    <t>Production</t>
  </si>
  <si>
    <t>Data center</t>
  </si>
  <si>
    <t>kgCO2eq/kg d'équipement IT</t>
  </si>
  <si>
    <t>Source : L’évaluation a été faite en croisant :
• une ACV constructeurs Environmental Product Declaration (EPD) Minkels Cold Corridor : 475 kg CO2e
• Une analyse modulaire effectuée par un bureau d’études en valorisant le matériau principal (Acier) via EcoInvent : 550 kg CO2e</t>
  </si>
  <si>
    <t>Tableau électrique</t>
  </si>
  <si>
    <t>Profil environnemental de Produit « Prisma Plus EPD » Schneider Electric donnée constructeur ;
• Guide des facteurs d’émissions V6 de l’ADEME (Valorisation CO2 des matériaux utilisés dans la phase de fabrication).</t>
  </si>
  <si>
    <t>Nombre de baies de disques</t>
  </si>
  <si>
    <t>FE tableau électrique</t>
  </si>
  <si>
    <t>FE rack</t>
  </si>
  <si>
    <t>Poids d'un serveur</t>
  </si>
  <si>
    <t>FE climatisation</t>
  </si>
  <si>
    <t>FE groupe électrogène</t>
  </si>
  <si>
    <t>kgCO2eq/kg d'éq. IT</t>
  </si>
  <si>
    <t>Nouveau data center : Production</t>
  </si>
  <si>
    <t>Nombre d'employés impactés</t>
  </si>
  <si>
    <t>Nombre d'employés impactés profil 1</t>
  </si>
  <si>
    <t>Nombre d'employés impactés profil 2</t>
  </si>
  <si>
    <t>Nombre d'employés impactés profil 3</t>
  </si>
  <si>
    <t>Variation du nombre de km/an profil 1</t>
  </si>
  <si>
    <t>Variation du nombre de km/an profil 2</t>
  </si>
  <si>
    <t>Variation du nombre de km/an profil 3</t>
  </si>
  <si>
    <t>kgCO2eq/passager.km</t>
  </si>
  <si>
    <t>kgCO2eq/kWh</t>
  </si>
  <si>
    <t>Vehicle construction</t>
  </si>
  <si>
    <t>MJ/kWh</t>
  </si>
  <si>
    <t>MJ/passager.km</t>
  </si>
  <si>
    <t>Conversion MJ - kWh</t>
  </si>
  <si>
    <t>Gas/Diesel Oil (en kWh)</t>
  </si>
  <si>
    <t>Nombre moyen de kms du trajet domicile-travail référence aller retour</t>
  </si>
  <si>
    <t>FE baie de disques</t>
  </si>
  <si>
    <t>kgCO2eq/kg</t>
  </si>
  <si>
    <t>Emissions comparées (tCO2eq/an)</t>
  </si>
  <si>
    <t>Nombre de smartphones par foyer</t>
  </si>
  <si>
    <t>Nombre de TV par foyer</t>
  </si>
  <si>
    <t>Référence (tCO2eq/an)</t>
  </si>
  <si>
    <t>Avec projet (tCO2eq/an)</t>
  </si>
  <si>
    <t>PUE réel</t>
  </si>
  <si>
    <t>Nouveau data center (tCO2eq/an)</t>
  </si>
  <si>
    <t>Scénario de référence (tCO2eq/an)</t>
  </si>
  <si>
    <t>IFI Harmonization Grid, UNFCC, exemple illustratif de la Colombie</t>
  </si>
  <si>
    <t>gCO2eq/kWh</t>
  </si>
  <si>
    <t>Nombre final de racks</t>
  </si>
  <si>
    <t>Le poids des équipements IT est au 1er ordre associé à celui des serveurs</t>
  </si>
  <si>
    <t>kg</t>
  </si>
  <si>
    <t>Scénario avec projet (tCO2eq/an)</t>
  </si>
  <si>
    <t>TCAM Augmentation du débit FFTH</t>
  </si>
  <si>
    <t>Nombre de personnes raccordées</t>
  </si>
  <si>
    <t>Hypothèse utilisateur</t>
  </si>
  <si>
    <t>Production des Modem Fibre</t>
  </si>
  <si>
    <t>Rapport ARCEP, 2019</t>
  </si>
  <si>
    <t>Nombre de ménages raccordés</t>
  </si>
  <si>
    <t>Production des modem fibre (tCO2eq/an)</t>
  </si>
  <si>
    <t>Emissions de gaz à effet de serre générées par an par rapport au scénario de référence</t>
  </si>
  <si>
    <t>Donnée ARCEP, 2019</t>
  </si>
  <si>
    <t>Emissions totales (tCO2eq/an)</t>
  </si>
  <si>
    <t>GSMA Mobile Economy LATAM 2020. 
Donnée agrégée Amérique Latine pour l'utilisateur moyen.
Détails : 56.5 Go en 2019, avec un TCAM de 29% sur la consommation de donnée.</t>
  </si>
  <si>
    <t>Production TV (tCO2eq/an)</t>
  </si>
  <si>
    <t>Emissions (tCO2eq/an)</t>
  </si>
  <si>
    <t>Taux de pénétration smartphone</t>
  </si>
  <si>
    <t>Nombre de TV par ménage</t>
  </si>
  <si>
    <t>% remplacement additionnel smartphone</t>
  </si>
  <si>
    <t>% remplacement additionnel tablette</t>
  </si>
  <si>
    <t>Nombre d'ordinateur par ménage</t>
  </si>
  <si>
    <t>Nombre de tablette par ménage</t>
  </si>
  <si>
    <r>
      <t>tCO</t>
    </r>
    <r>
      <rPr>
        <vertAlign val="subscript"/>
        <sz val="11"/>
        <color theme="1"/>
        <rFont val="Gill Sans MT"/>
        <family val="2"/>
      </rPr>
      <t>2eq</t>
    </r>
    <r>
      <rPr>
        <sz val="11"/>
        <color theme="1"/>
        <rFont val="Gill Sans MT"/>
        <family val="2"/>
      </rPr>
      <t>/unité</t>
    </r>
  </si>
  <si>
    <t>REN, The Shift Project, 2018</t>
  </si>
  <si>
    <t>tCO2eq/unité</t>
  </si>
  <si>
    <t>Durée de vie projet fibre</t>
  </si>
  <si>
    <t>Production smartphone (tCO2eq/an)</t>
  </si>
  <si>
    <t>Production tablette (tCO2eq/an)</t>
  </si>
  <si>
    <t>TCAM nombre de TV</t>
  </si>
  <si>
    <t>TCAM nombre d'ordinateurs</t>
  </si>
  <si>
    <t>TCAM nombre de smartphones</t>
  </si>
  <si>
    <t>TCAM nombre de tablettes</t>
  </si>
  <si>
    <t>Statista, 2018, Colombia, ex illustratif</t>
  </si>
  <si>
    <t>Consommation initiale annuelle moyenne de données 4G par utilisateur forfait mobile</t>
  </si>
  <si>
    <t>Consommation initiale de donnée par ménage RTC</t>
  </si>
  <si>
    <t>FE mix électrique pays hôte des data centers</t>
  </si>
  <si>
    <t>Consommation des Data-centers</t>
  </si>
  <si>
    <t>IEA, moyenne agrégée monde</t>
  </si>
  <si>
    <t>Débit moyen ménage RTC</t>
  </si>
  <si>
    <t>Débit moyen ménage FFTH</t>
  </si>
  <si>
    <t>OUI</t>
  </si>
  <si>
    <t>Augmentation de la consommation de données 
dans les data-centers</t>
  </si>
  <si>
    <t xml:space="preserve">Facteur de conversion IT
</t>
  </si>
  <si>
    <t xml:space="preserve">PUE : a comprehensive examination of the metric, the GreenGrid, 2012
</t>
  </si>
  <si>
    <t>Valeur par défaut : Christopher R. Hannemann, Van P. Carey, Amip J. Shah, Chandrakant Patel, "Lifetime energy consumption of an enterprise server," ISEE, pp.1-5, 2008 IEEE International Symposium on Electronics and the Environment, 2008.</t>
  </si>
  <si>
    <t>Surface du data center</t>
  </si>
  <si>
    <t>FE matériaux divers (portes, murs, sols, toit, …) par m2</t>
  </si>
  <si>
    <t>FE total matériaux divers (portes, murs, sols, toit, …)</t>
  </si>
  <si>
    <t>kgCO2eq/m2</t>
  </si>
  <si>
    <t>kW</t>
  </si>
  <si>
    <t>Facteur d'émission VP, Amérique Latine</t>
  </si>
  <si>
    <t>Facteur d'émission transport en commun, Amérique Latine</t>
  </si>
  <si>
    <t>km/an</t>
  </si>
  <si>
    <t>Worldstat</t>
  </si>
  <si>
    <t xml:space="preserve"> +28% de conso en Europe par jour suite au passage en TT
 </t>
  </si>
  <si>
    <t>Contexte européen, Röder (2014), +7,5kWh/jour/personne sur une base de 25,5kWh/j/personne</t>
  </si>
  <si>
    <t>Consommation d'énergie par personne par an</t>
  </si>
  <si>
    <t>Moyenne pondérée des jours avec ou sans télétravail par profil</t>
  </si>
  <si>
    <t>Moyenn pondérée des consos des profils de télétravail</t>
  </si>
  <si>
    <t>Consommation d'énergie par personne par jour hors télétravail</t>
  </si>
  <si>
    <t>Consommation énergétique par personne par jour avec télétravail</t>
  </si>
  <si>
    <t>Part des trajets domicile-travail effectués en VP</t>
  </si>
  <si>
    <t>Part des trajets effectués en VP</t>
  </si>
  <si>
    <t>Part des trajets effectués en transports en commun</t>
  </si>
  <si>
    <t>BC outil AFD</t>
  </si>
  <si>
    <t>Identique  à priori au scénario de référence</t>
  </si>
  <si>
    <t>IEA 2009</t>
  </si>
  <si>
    <t>Amélioration annuelle de l'efficacité énergétique</t>
  </si>
  <si>
    <t>Emissions totales phase production du data center</t>
  </si>
  <si>
    <t xml:space="preserve">Poids de 7 à 16kg par unité, adapter la case correspondante si infos spécifiques. 
</t>
  </si>
  <si>
    <t>ADEME 2012, Guide sectoriel TNIC</t>
  </si>
  <si>
    <t>Durée de vie moyenne des serveurs</t>
  </si>
  <si>
    <t>Date de pleine exploitation</t>
  </si>
  <si>
    <t>Consommation d'énergie par personne par jour avec télétravail profil 1</t>
  </si>
  <si>
    <t>Consommation d'énergie par personne par jour avec télétravail profil 2</t>
  </si>
  <si>
    <t>Consommation d'énergie par personne par jour avec télétravail profil 3</t>
  </si>
  <si>
    <t>Facteur émission électricité pays du projet (gCO2eq/kWh)</t>
  </si>
  <si>
    <t>ADEME 2020 données France, à adapter</t>
  </si>
  <si>
    <t>FE Construction d'un m2 de bureau</t>
  </si>
  <si>
    <t>kgCO2/m2</t>
  </si>
  <si>
    <t>FE rénovation/rafraichissement/restructuration d'un m2 bureau</t>
  </si>
  <si>
    <t>FE entretien et services au bâtiment</t>
  </si>
  <si>
    <t xml:space="preserve">Observatoire de l'Immobilier durable, 2019. 
</t>
  </si>
  <si>
    <t>Prend en compte l'ensemble de l'ACV (construction, exploitation, entretien, maintenance, fin de vie…)</t>
  </si>
  <si>
    <t>FE consommation énergétique d'un m2 de bureau</t>
  </si>
  <si>
    <t>1 fois en 50 ans</t>
  </si>
  <si>
    <t>kWh/m2/an</t>
  </si>
  <si>
    <t>Durée de vie moyenne d'un bureau</t>
  </si>
  <si>
    <t>Hypothèse France par défaut, OID 2019</t>
  </si>
  <si>
    <t xml:space="preserve">Aide pour la lecture des onglets </t>
  </si>
  <si>
    <t>Remarques générales liées au caractère en construction des onglets et à l'architecture choisie</t>
  </si>
  <si>
    <t>2. Pour chaque brique, si l'utilisateur bénéficie de valeurs plus adéquates/plus robustes liées aux hypothèses de calcul généralistes effectuées dans l'outil, il peut modifier la cellule correspondante.</t>
  </si>
  <si>
    <t>Hypothèse générale de calcul</t>
  </si>
  <si>
    <t>Année de fonctionnement à pleine capacité</t>
  </si>
  <si>
    <t>Nouveau data center : Consommations énergétiques en phase utilisation</t>
  </si>
  <si>
    <t>Illustratif, hypothèse utilisateur</t>
  </si>
  <si>
    <t>Emissions totales phase production (tCO2eq/an)</t>
  </si>
  <si>
    <t>TCAM débit wifi : moyenne tous modems confondus</t>
  </si>
  <si>
    <t xml:space="preserve">Nature des hypothèses principales : Le calcul des émissions évitées via un dispositif accru de télétravail se fait en suivant la méthodologie ADEME, 2020, afin de tenter de prendre en compte les multiples effets rebonds existants. Ceci suppose de définir plusieurs profils de télétravailleurs afin de nuancer les hypothèses liées aux modifications des usages et comportements dans chaque brique. </t>
  </si>
  <si>
    <t>World Population Review, Colombia, 2020</t>
  </si>
  <si>
    <t>Ilustratif</t>
  </si>
  <si>
    <t>Code couleur</t>
  </si>
  <si>
    <t>Structure du fichier</t>
  </si>
  <si>
    <t xml:space="preserve">2. Chaque sous-catégorie est découpée selon les principaux postes d'émission identifiés. </t>
  </si>
  <si>
    <t>3. De nombreuses valeurs ont été remplies uniquement à titre illustratif à ce stade, afin de souligner les logiques de calcul en place.</t>
  </si>
  <si>
    <t>1. Le contenu des postes d'émission est en développement. Certains postes sont incomplets à l'heure actuelle, dans l'attente des retours de l'AFD et des discussions à venir. Pour chaque poste déjà fonctionnel, les données associées sont probablement amenées à être modifiées.</t>
  </si>
  <si>
    <t>Taux d’utilisation des serveurs virtuels scénario de référence</t>
  </si>
  <si>
    <t>Taux d’utilisation des serveurs physiques scénario de référence</t>
  </si>
  <si>
    <t>Taux d’utilisation des serveurs physiques scénario futur</t>
  </si>
  <si>
    <t>Taux d’utilisation des serveurs virtuels scénario futur</t>
  </si>
  <si>
    <t>Hypothèses utilisateur</t>
  </si>
  <si>
    <t>Taux d'utilisation des serveurs physiques</t>
  </si>
  <si>
    <t>Taux d'utilisation des serveurs virtuels</t>
  </si>
  <si>
    <t>Nombre de serveurs virtuels</t>
  </si>
  <si>
    <t>PUE théorique (suppose 100% de taux d'utilisation des serveurs)</t>
  </si>
  <si>
    <t>FE total phase production du serveur (extraction/assemblage/transport)</t>
  </si>
  <si>
    <t>Nombre de foyers sur la zone du projet</t>
  </si>
  <si>
    <t>Profils à définir à la discrétion du chef de projet AFD selon la localisation du projet</t>
  </si>
  <si>
    <t>AWS, 2015
NRDC, 2014, Scaling Up Energy Efficiency Across the Data Center Industry</t>
  </si>
  <si>
    <t>Emissions comparées ville type 1 (tCO2eq/an)</t>
  </si>
  <si>
    <t>Emissions comparées ville type 2 (tCO2eq/an)</t>
  </si>
  <si>
    <t>Emissions comparées ville type 3 (tCO2eq/an)</t>
  </si>
  <si>
    <t>Emissions comparées ville type 4 (tCO2eq/an)</t>
  </si>
  <si>
    <t>ville type 1 : Sans dispositif de télétravail (tCO2eq/an)</t>
  </si>
  <si>
    <t>ville type 1 : Avec dispositif de télétravail (tCO2eq/an)</t>
  </si>
  <si>
    <t>ville type 2 : Sans dispositif de télétravail (tCO2eq/an)</t>
  </si>
  <si>
    <t>ville type 2 : Avec dispositif de télétravail (tCO2eq/an)</t>
  </si>
  <si>
    <t>ville type 3 : Sans dispositif de télétravail (tCO2eq/an)</t>
  </si>
  <si>
    <t>ville type 3 : Avec dispositif de télétravail (tCO2eq/an)</t>
  </si>
  <si>
    <t>ville type 4 : Sans dispositif de télétravail (tCO2eq/an)</t>
  </si>
  <si>
    <t>ville type 4 : Avec dispositif de télétravail (tCO2eq/an)</t>
  </si>
  <si>
    <t>Nombre de tablettes par foyer</t>
  </si>
  <si>
    <t>Durée de vie ordinateur portable</t>
  </si>
  <si>
    <t>Durée de vie smartphone</t>
  </si>
  <si>
    <t>Durée de vie tablette</t>
  </si>
  <si>
    <t>Durée de vie TV</t>
  </si>
  <si>
    <t>• Durée de vie des tablettes par durée en France 2019 | Statista</t>
  </si>
  <si>
    <t>Nombre d'ordinateurs portables par foyer</t>
  </si>
  <si>
    <t>Inclut taux d'utilisation des serveurs et facteur de conversion IT</t>
  </si>
  <si>
    <t>Inclut le taux d'utilisation des serveurs physiques et virtuels et le facteur de conversion IT</t>
  </si>
  <si>
    <t>Data Center</t>
  </si>
  <si>
    <t>Fibre optique</t>
  </si>
  <si>
    <t xml:space="preserve"> exemple de profil 1, issu de l'ADEME pour la zone France, homeshoring : (&gt;3j/semaine au domicile)</t>
  </si>
  <si>
    <t>exemple de profil 2, issu de l'ADEME pour la zone France, teleworking (conditions variables chaque semaine)</t>
  </si>
  <si>
    <t>exemple de profil 3, issu de l'ADEME pour la zone France, telecommuting (plusieurs j/mois à partir du domicile ou tiers-lieu)</t>
  </si>
  <si>
    <t>Mb/s</t>
  </si>
  <si>
    <t>Quel débit pour la fibre optique ? (ariase.com)</t>
  </si>
  <si>
    <t>Augmentation du volume d'utilisation liée à l'accroissement du débit de la fibre optique par rapport au RTC</t>
  </si>
  <si>
    <t>Hypothèse utilisateur selon pays</t>
  </si>
  <si>
    <t>Valeur par défaut issue de Andrae &amp; Al (2015)</t>
  </si>
  <si>
    <t>Part des consommations de data liées au "data center to user"</t>
  </si>
  <si>
    <t>Cisco global cloud index report 2015-2020, périmètre monde</t>
  </si>
  <si>
    <t>Part des consommations de data liées aux opérations "within data center"</t>
  </si>
  <si>
    <t>Part des consommations de data liées aux opérations "data center to data center"</t>
  </si>
  <si>
    <t>Ratio consommation liée au poste "data center to user" vs consommations induites dans les DC</t>
  </si>
  <si>
    <t>Taux de pénétration FFTH initial (%)</t>
  </si>
  <si>
    <t>Taux de pénétration FFTH final (%)</t>
  </si>
  <si>
    <t>Valeur par défaut : GSMA Mobile Economy LATAM 2020, zone Amérique Latine</t>
  </si>
  <si>
    <t>Données projet</t>
  </si>
  <si>
    <t>Evolution des émissions GES au cours du deploiement du projet en téqCO2/an
 par rapport au scénario de référence sans projet</t>
  </si>
  <si>
    <t>Elargissement du télétravail</t>
  </si>
  <si>
    <t>NON</t>
  </si>
  <si>
    <t>Sous-catégorie utilisée</t>
  </si>
  <si>
    <t>kgCO2eq/km</t>
  </si>
  <si>
    <t>kgCO2eq/pylone</t>
  </si>
  <si>
    <t>Pylone électrique en bois</t>
  </si>
  <si>
    <t>Pylone électrique en acier</t>
  </si>
  <si>
    <t>Pylone électrique en béton</t>
  </si>
  <si>
    <t>Cable souterrain - 25mm2</t>
  </si>
  <si>
    <t>Cable souterrain - 150mm2</t>
  </si>
  <si>
    <t>Cable souterrain - 240mm2</t>
  </si>
  <si>
    <t>Nombre de pylones en bois</t>
  </si>
  <si>
    <t>Nombre de pylones en acier</t>
  </si>
  <si>
    <t>Nombre de pylones en béton</t>
  </si>
  <si>
    <t>Outil BC AFD, partie construction, sous-partie matériaux</t>
  </si>
  <si>
    <t xml:space="preserve"> </t>
  </si>
  <si>
    <t>https://en.wikipedia.org/wiki/Modal_share</t>
  </si>
  <si>
    <t>Passenger Transport Mode Shares in World Cities</t>
  </si>
  <si>
    <t>Modal share - Wikipedia</t>
  </si>
  <si>
    <t>Transportation in African Cities, 2016</t>
  </si>
  <si>
    <t>Facteur d'émission transport en commun, Afrique</t>
  </si>
  <si>
    <t>Facteur d'émission transport en commun, Europe</t>
  </si>
  <si>
    <t>Facteur d'émission transports en commun, Asie</t>
  </si>
  <si>
    <t>Facteur d'émission transports en commun, Amerique Latine</t>
  </si>
  <si>
    <t>Facteur d'émission transports en commun, Afrique</t>
  </si>
  <si>
    <t>Facteur d'émission transports en commun, Europe</t>
  </si>
  <si>
    <t>ADEME BC véhicule construction + FE fuel IEA</t>
  </si>
  <si>
    <t xml:space="preserve">ADEME BC véhicule construction + FE fuel </t>
  </si>
  <si>
    <t>ADEME BC véhicule construction + FE fuel</t>
  </si>
  <si>
    <t>ADEME BC véhicule construction + facteur d'émission fuel</t>
  </si>
  <si>
    <t>Facteur d'émission VP Amerique Latine</t>
  </si>
  <si>
    <t>Facteur d'émission VP Afrique</t>
  </si>
  <si>
    <t>Facteur d'émission VP Europe</t>
  </si>
  <si>
    <t>Facteur d'émission VP Asie</t>
  </si>
  <si>
    <t>Facteur d'émission VP, Afrique</t>
  </si>
  <si>
    <t>Facteur d'émission VP, Europe</t>
  </si>
  <si>
    <t>Facteur d'émission VP, Asie Sud Est</t>
  </si>
  <si>
    <t>Facteur d'émission transport en commun, Asie Sud Est</t>
  </si>
  <si>
    <t>Mode simple</t>
  </si>
  <si>
    <t>Mode avancé</t>
  </si>
  <si>
    <t>Facteur d'émission VP, Asie du Sud Est</t>
  </si>
  <si>
    <t>Facteur d'émission transport en commun, Asie du Sud Est</t>
  </si>
  <si>
    <t>Hypothèse sous-jacente : 4-5 fois en 50 ans (correspondant à  la durée de vie du bureau)</t>
  </si>
  <si>
    <t>* Le poste lié à la construction évitée des bureaux représente la très grande majorité du gain et doit donc si possible être étudié en adaptant au pays d'application l'ensemble des hypothèses sous-jacentes</t>
  </si>
  <si>
    <t>South America consommation transports commun</t>
  </si>
  <si>
    <t>South America consommation VP</t>
  </si>
  <si>
    <t>Valeur par défaut : TCAM 2018-2023 du nombre de terminaux par habitant en zone LATAM, CISCO 2018-2023</t>
  </si>
  <si>
    <t>Valeur par défaut : Cisco 2015-2020, LATAM</t>
  </si>
  <si>
    <t>Profil type n°1 de ville : Amérique Latine, Bogota</t>
  </si>
  <si>
    <t>Profil type n°2 de ville : Lagos, Afrique</t>
  </si>
  <si>
    <t>Profil type n°3 de ville : Minsk, Europe</t>
  </si>
  <si>
    <t>Profil type n°4 de ville : Jakarta, Asie du Sud-Est</t>
  </si>
  <si>
    <t xml:space="preserve">FE Electricité du pays </t>
  </si>
  <si>
    <t>The GreenIT : PUE A Comprehensive Examination of the Metric</t>
  </si>
  <si>
    <t>Ordre de grandeur illustratif, étude ADEME 2020, périmètre France :</t>
  </si>
  <si>
    <t>Hypothèse utilisateur, donnée projet. Valeur par défaut : Borne inférieure données opérateur pour la France</t>
  </si>
  <si>
    <t>Hypothèse utilisateur, donnée projet. Valeur par défaut : données opérateur pour la France, adaptées LATAM</t>
  </si>
  <si>
    <t>Ecoinvent : valeur d’un disque de référence :
• 12,2 kg CO2e par unité
• 23 kg CO2e par kg de disque
• 12 kg CO2e + « 30% d’enveloppe » correspondant à l'intégration dans un châssis : 15,5kg CO2e</t>
  </si>
  <si>
    <t>Suppose par défaut 1500 serveurs dont 1/3 de serveurs physiques</t>
  </si>
  <si>
    <t>Suppose par défaut des rack 42U</t>
  </si>
  <si>
    <t>Hypothèse de base (cellule C4)</t>
  </si>
  <si>
    <t xml:space="preserve">Nouveau data center : Renouvellement des équipements
</t>
  </si>
  <si>
    <t>Cellule C5</t>
  </si>
  <si>
    <t>Emissions totales liées aux pylones</t>
  </si>
  <si>
    <t>Emissions totales liées aux matériaux pour l'extension du réseau fibre optique</t>
  </si>
  <si>
    <t>Cable souterrain 240mm2 pris par défaut afin de favoriser une surestimation potentielle des émissions à une sous-estimation.</t>
  </si>
  <si>
    <t xml:space="preserve">Valeur de 1000m2 par défaut, moyenne des data center USA en 2019 :
</t>
  </si>
  <si>
    <t>APC Schneider Electric, "Estimating data center carbon footprint", hypothèses menant à 128tCO2eq pour 530m2.
Permet d'en déduire un ratio au m2 appliqué.</t>
  </si>
  <si>
    <t>Nombre de serveurs dans le data center</t>
  </si>
  <si>
    <t>Par défaut : chiffre de BOGOTA</t>
  </si>
  <si>
    <t>Réduction (avant/après la mise en place du télétravail) du kilométrage annuel de 4 814 km sur les trajets Domicile – Bureau de la population des télétravailleurs pendulaires, le kilométrage annuel des déplacements personnels augmentait corrélativement de 1 201 km, soit un effet rebond de 24,9 % du kilométrage initial.</t>
  </si>
  <si>
    <t>Moyenne pondérée des hypothèses rentrées au début de l'onglet</t>
  </si>
  <si>
    <t>Nombre moyen de jour de télétravail hebdomadaire parmi les télétravailleurs</t>
  </si>
  <si>
    <t>** Forte incertitude sur le poste lié aux émissions issues des consommations électriques accrues des foyers, bien que ce poste soit négligeable au premier ordre.</t>
  </si>
  <si>
    <t>*** Données socioéconomiques propres à la ville nécessaires pour une évaluation pertinente des postes de report modal direct et indirect</t>
  </si>
  <si>
    <t>2. Au sein de chaque sous-catégorie de projet, un mode simple ou un mode avancé seront disponibles pour chaque brique afin de s'adapter au mieux à la granularité des données dont disposent les chefs de projet. Cette distinction est effectuée à titre indicatif afin d'avoir des retours finaux de l'AFD sur le bon niveau de granularité à adopter.</t>
  </si>
  <si>
    <t>Texte en rouge dans une cellule (Remarque méthodologique ou point d'attention)</t>
  </si>
  <si>
    <t>RTC</t>
  </si>
  <si>
    <t>FO</t>
  </si>
  <si>
    <t>FE</t>
  </si>
  <si>
    <t>VP</t>
  </si>
  <si>
    <t>Taux de foisonnement</t>
  </si>
  <si>
    <t>FFTH</t>
  </si>
  <si>
    <t>TCAM</t>
  </si>
  <si>
    <t>Cradle to grave</t>
  </si>
  <si>
    <t>WEE</t>
  </si>
  <si>
    <t>PUE</t>
  </si>
  <si>
    <t>Acronyme</t>
  </si>
  <si>
    <t>Définition</t>
  </si>
  <si>
    <t>Réseau téléphonique commuté, réseau historique des téléphones fixes, assimilé ici au réseau câble</t>
  </si>
  <si>
    <t>Véhicule privé</t>
  </si>
  <si>
    <t>"Fiber to the home", réseau qui permet notamment l'accès à internet à très haut débit et dans lequel la fibre optique se termine au domicile de l'abonné</t>
  </si>
  <si>
    <t>Taux de croissance annuel moyen</t>
  </si>
  <si>
    <t>Décrit le fait que le facteur associé au produit est considéré sur l'ensemble de son cycle de vie</t>
  </si>
  <si>
    <t>Facteur de pondération en base pour l'électricité</t>
  </si>
  <si>
    <t>Ratio du nombre de poste de travail par salarié</t>
  </si>
  <si>
    <t xml:space="preserve">Les émissions liées à la production du data center sont assimilables à la somme de celle de ses composantes principales*.
</t>
  </si>
  <si>
    <t>Somme des poids des composantes IT * facteur d'émission associés au kg + sommes pondérée des composantes non IT * facteurs d'émissions associés+ somme de la surface du data center * facteur d'émission lié au m2 (pour prendre en compte la construction)</t>
  </si>
  <si>
    <t>FE Home Cinéma Cradle to Grave</t>
  </si>
  <si>
    <t>Masse d'un home cinéma</t>
  </si>
  <si>
    <t>Masse d'une imprimante laser</t>
  </si>
  <si>
    <t>Poids d'un Ordinateur portable</t>
  </si>
  <si>
    <t>FE Ordinateur fixe</t>
  </si>
  <si>
    <t>Poids d'un Ordinateur fixe</t>
  </si>
  <si>
    <t>Production home cinéma (tCO2eq/an)</t>
  </si>
  <si>
    <t>Production ordinateur portable (tCO2eq/an)</t>
  </si>
  <si>
    <t>Production ordinateur fixe (tCO2eq/an)</t>
  </si>
  <si>
    <t xml:space="preserve">FE Ordinateur portable production (extraction, transport, assemblage) valeur haute
</t>
  </si>
  <si>
    <t>ACV de constructeur Brother, 2009</t>
  </si>
  <si>
    <t>FE Imprimante Laser Cradle to Grave A3 couleur</t>
  </si>
  <si>
    <t>FE Imprimante Laser Cradle to Grave A4 couleur</t>
  </si>
  <si>
    <t>ENTREPRISES</t>
  </si>
  <si>
    <t>MENAGES</t>
  </si>
  <si>
    <t>BASE DE DONNEES RACCOURCIE</t>
  </si>
  <si>
    <t>Nombre de home cinéma par ménage</t>
  </si>
  <si>
    <t>Nombre d'ordinateur fixe par ménage</t>
  </si>
  <si>
    <t>Nombre d'ordinateur portable par ménage</t>
  </si>
  <si>
    <t>Nombre de box par ménage</t>
  </si>
  <si>
    <t>Nombre d'employés</t>
  </si>
  <si>
    <t>….</t>
  </si>
  <si>
    <t>Utilisation terminaux et IoT</t>
  </si>
  <si>
    <t>Utilisation ordinateur fixe (tCO2eq/an)</t>
  </si>
  <si>
    <t>Utilistion ordinateur portable (tCO2eq/an)</t>
  </si>
  <si>
    <t>Utilisation routeurs (tCO2eq/an)</t>
  </si>
  <si>
    <t>Utilisation TV (tCO2eq/an)</t>
  </si>
  <si>
    <t>Utilisation ordinateur portable (tCO2eq/an)</t>
  </si>
  <si>
    <t>Utilisation smartphone (tCO2eq/an)</t>
  </si>
  <si>
    <t>Utilisation tablette (tCO2eq/an)</t>
  </si>
  <si>
    <t>Utilisation modem (tCO2eq/an)</t>
  </si>
  <si>
    <t>Production modem (tCO2eq/an)</t>
  </si>
  <si>
    <t>Nombre d'heures d'utilisation du smartphone par jour</t>
  </si>
  <si>
    <t>Nombre d'heures d'utilisation ordinateur par jour</t>
  </si>
  <si>
    <t>Taux d'utilisation des routeurs</t>
  </si>
  <si>
    <t>Facteur utilisation routeur résidentiel</t>
  </si>
  <si>
    <t>Facteur utilisation smartphone</t>
  </si>
  <si>
    <t>[Lean ICT Materials] Forecast Model, by The Shift Project</t>
  </si>
  <si>
    <t>Facteur utilisation serveurs</t>
  </si>
  <si>
    <t>Hypotheses</t>
  </si>
  <si>
    <t>[Lean ICT Materials] REN, by The Shift Project</t>
  </si>
  <si>
    <t>Hypothèse associée à 8h d'utilisation par jour</t>
  </si>
  <si>
    <t>Hypothèse associée à 2,5h d'utilisation par jour</t>
  </si>
  <si>
    <t>Kantar TNS study : https://www.tns-sofres.com/publications/les-millennials-passent-un-jour-par-semaine-sur-leur-smartphone, visited 01/10/2018.</t>
  </si>
  <si>
    <t>Energy Star Requirements, p. 16 : https://www.energystar.gov/products/office_equipment/computers/key_product_criteria, "Computer Version 6.1Program Requirements "</t>
  </si>
  <si>
    <t xml:space="preserve">https://www.lesnumeriques.com/prix-consommation-electrique-a704/la-consommation-des-box-internet-ap549.html </t>
  </si>
  <si>
    <t>https://www.echosdunet.net/dossiers/facture-denergie-peut-on-reduire-consommation-electrique-sa-box-internet</t>
  </si>
  <si>
    <t>Samsung (2017). Energy Guide of the "55" Class J6201 Full HD LED TV". EnergyGuide Label.</t>
  </si>
  <si>
    <t>Samsung (2017). Energy Guide of the "55" Class MU7000 4K UHD TV". EnergyGuide Label.</t>
  </si>
  <si>
    <t>Sony (2017). Specifications of the "X940E / X930E | LED | 4K Ultra HD | High Dynamic Range (HDR) | Smart TV (Android TV™)" . https://www.sony.com/electronics/televisions/XBR-X930E-X940E-Series/specifications#features. Official Sony Website.</t>
  </si>
  <si>
    <t>Hischier, R. (2014). Life Cycle Assessment sSudy of a Field Emission Display Television Device. LCI Methodology and Databases.</t>
  </si>
  <si>
    <t>Facteur utilisation TV  connectée</t>
  </si>
  <si>
    <t>Moyenne selon les modèles entre les sources ci-dessous ( intervalle [99,215])</t>
  </si>
  <si>
    <t>Hypothèse utilisateur, 100% par défaut</t>
  </si>
  <si>
    <t>Acquisition d'ordinateur additionnelle annuelle</t>
  </si>
  <si>
    <t>Acquisition de smartphones additionnelle annuelle</t>
  </si>
  <si>
    <t>Acquisition de TV additionnelle annuelle</t>
  </si>
  <si>
    <t>Acquisition de tablettes additionnelle annuelle</t>
  </si>
  <si>
    <t>TCAM nombre d'ordinateurs portables</t>
  </si>
  <si>
    <t>TCAM nombre d'ordinateurs fixes</t>
  </si>
  <si>
    <t>FE Ordinateur portable production (extraction, transport, assemblage)</t>
  </si>
  <si>
    <t>FE Ordinateur portable Cradle to Grave</t>
  </si>
  <si>
    <t>Nombre de personnes sur la zone projet</t>
  </si>
  <si>
    <t>Nombre de ménages sur la zone projet</t>
  </si>
  <si>
    <t>Pour chaque ligne : emissions annuelles liées à la production totale = % de production/remplacement annuel additionnel / durée de vie du terminal * nombre de terminaux * facteur d'émission lié à la production</t>
  </si>
  <si>
    <t>Nombre de routeurs pour 1000 employés</t>
  </si>
  <si>
    <t>Nombre d'ordinateurs portables pour 1000 employés</t>
  </si>
  <si>
    <t>Nombre d'ordinateurs fixes pour 1000 employés</t>
  </si>
  <si>
    <t>Nombre d'imprimantes laser A3 pour 1000 employés</t>
  </si>
  <si>
    <t>Nombre d'imprimantes laser A4 pour 1000 employés</t>
  </si>
  <si>
    <t>Terminaux utilisateurs et IOT</t>
  </si>
  <si>
    <t>Entreprises</t>
  </si>
  <si>
    <t>Ménages</t>
  </si>
  <si>
    <t>Remplacement ordinateur fixe par ordi portable (tCO2eq/an)</t>
  </si>
  <si>
    <t>% de production additionnelle TV</t>
  </si>
  <si>
    <t>% de production additionnelle ordinateur fixe</t>
  </si>
  <si>
    <t>% de production additionnelle ordinateur portable</t>
  </si>
  <si>
    <t>% de production additionnelle smartphone</t>
  </si>
  <si>
    <t>% de production additionnelle tablette</t>
  </si>
  <si>
    <t>% de production additionnelle imprimantes</t>
  </si>
  <si>
    <t>Hypotheses utilisateur qui définissent les taux de production et remplacement de terminaux associés à un projet avec une composante numérique. Dans le cas où le projet evite la production de terminaux, rentrer une valeur négative (à comprendre comme la production additionnelle "évitée")</t>
  </si>
  <si>
    <t>Dérouler le bandeau des cellules groupées afin de voir les facteurs utilisés pour la production</t>
  </si>
  <si>
    <t>Hypothèse utilisateur selon projet</t>
  </si>
  <si>
    <t>Choix arbitraire de taux pour 1000 employés par absence de données sur des ratios employés</t>
  </si>
  <si>
    <t>% de production additionnelle routeur (pour entreprise)</t>
  </si>
  <si>
    <t>% de remplacement additionnel ordinateur fixe par ordinateur portable (pour entreprise)</t>
  </si>
  <si>
    <t>% de production additionnelle modem (pour ménage)</t>
  </si>
  <si>
    <t>% de production additionnelle home cinéma (pour ménage)</t>
  </si>
  <si>
    <t>…</t>
  </si>
  <si>
    <t>Nombre de personnes sur la zone du projet</t>
  </si>
  <si>
    <t>Nombre de ménages sur la zone du projet</t>
  </si>
  <si>
    <t>Facteur utilisation ordinateur portable/fixe</t>
  </si>
  <si>
    <t xml:space="preserve">Remarque préliminaire : </t>
  </si>
  <si>
    <t>La littérature souligne bien que la phase production compte pour la majeure partie des émissions liées aux terminaux utilisateurs, en particulier dans les pays à faible facteur d'émission pour l'électricité. Il est donc cohérent que les briques liées à la production aient des empreintes bien plus importantes que celles utilisation</t>
  </si>
  <si>
    <t>Nature du calcul : Somme des émissions additionnelles liées à l'utilisation de chaque type de terminal additionnel produit dans le cadre d'un projet avec une composante numérique. 
Les hypothèses liées aux volumes d'utilisation de chaque terminal sont listées ci-dessous.</t>
  </si>
  <si>
    <t>Pour chaque ligne liées à l'utilisation : émissions annuelles = nombre de terminaux additionnels utilisés * facteur d'utilisation (kWh/an) * facteur d'émission de l'électricité du pays</t>
  </si>
  <si>
    <t xml:space="preserve">Nature du calcul : Somme des émissions liées à la production additionnelle de chaque type de terminal dans le cadre d'un projet avec une composante numérique. La brique fonctionne en entrant des %age de production de terminaux additionnels. </t>
  </si>
  <si>
    <t>Cisco annual report 2018, 30% pour scénario tendanciel</t>
  </si>
  <si>
    <t>Valeur par défaut issue de Andrae &amp; Al (2015), 10% pour scénario tendanciel</t>
  </si>
  <si>
    <t>CISCO annual report 2018, TCAM 2018-2023 zone LATAM, 30% pour scénario tendanciel</t>
  </si>
  <si>
    <t>Valeur par défaut : 8% pour scénario tendanciel, TCAM 2018-2023 du nombre de terminaux par habitant en zone LATAM, CISCO 2018-2023</t>
  </si>
  <si>
    <t>Valeur pour scénario tendanciel : 29%, CISCO annual report 2018, TCAM Amérique Latine pour la période 2018-2023</t>
  </si>
  <si>
    <t>Valeur pour scénario tendanciel : 30%, CISCO annual report 2018, TCAM Amérique Latine pour la période 2018-2023</t>
  </si>
  <si>
    <t>Pourcentage de la bande passante utilisé en moyenne</t>
  </si>
  <si>
    <t xml:space="preserve">A iso-temps d'utilisation, les consommations énergétiques sont plus importantes. De plus, de nouveaux usages sont induits par l'augmentation du débit. </t>
  </si>
  <si>
    <t>On suppose par défaut que 50% de la bande passante de la fibre est utilisée en moyenne</t>
  </si>
  <si>
    <t>Nature de l'approche :</t>
  </si>
  <si>
    <t>Méthode de calcul :</t>
  </si>
  <si>
    <t>emissions évitées = somme pour l'ensemble des 3 profils de télétravailleurs des émissions évitées liées à chaque profil
émissions évitées pour chaque profil = nombre d'employés * nombre de jours de télétravail annuel * (part modale du transport public * émissions liées à un trajet A/R + part modale du véhicule privé * émissions liées à un trajet A/R)</t>
  </si>
  <si>
    <t>émissions = somme pour l'ensemble des 3 profils de télétravailleurs des émissions liées à chaque profil
émissions pour chaque profil = nombre d'employés * nombre de km additionnel par an * (part modale du transport public * émissions liées à un km + part modale du véhicule privé * émissions liées à un km)</t>
  </si>
  <si>
    <t xml:space="preserve">Nature du calcul : </t>
  </si>
  <si>
    <t>Comparaison entre la surface de bureaux nécessaire pour l'ensemble des employés impactés avec dispositif de télétravail avec celle par défaut. Pour le scénario de référence et le scénario projet, une surface par employé et un taux de foisonnement sont pris en hypothèse. Un ratio d'émissions par m2/an permet d'obtenir les émissions totales pour chaque scénario. Les pourcentages d'employés en télétravail 1 à plusieurs jours hebdomadaires modifient le résultat dans le scénario avec projet.</t>
  </si>
  <si>
    <t>Le résultat est très sensible aux hypothèses de surface par employé et taux de foisonnement entrées. Le Facteur d'émission de bureau par m2 par an provient de l'OID, périmètre France, incluant toute l'ACV. L'ensemble des hypothèses listées ci-dessous permettent théoriquement de définir un ratio équivalent pour le pays d'application du projet en reproduisant la méthodologie OID, mais leur disponibilité est peu probable</t>
  </si>
  <si>
    <t>Source des données : BBCA &amp; HQE Performance : 1,5 teqCO2 /m² émis, dont 60% correspondent à la construction. Calcul reprenant le poids carbone de la construction auquel sont retranchés les lots techniques non concernés, à hauteur des pondérations du référentiel BBCA Neuf • Périmètre inclus au sens du Bilan Carbone : Scope 1, 2 et 3 (Energie consommée sur le chantier, matériaux)</t>
  </si>
  <si>
    <t>Brownfield</t>
  </si>
  <si>
    <t>Greenfield</t>
  </si>
  <si>
    <t xml:space="preserve">Methode de calcul : </t>
  </si>
  <si>
    <t xml:space="preserve">Nature de l'approche : </t>
  </si>
  <si>
    <t xml:space="preserve">Les émissions liées à la production du data center sont assimilables à la somme de celle de ses composantes principales, équipements IT et non-IT. </t>
  </si>
  <si>
    <t>Emissions totales phase production = émissions liées aux composantes IT + émissions liées aux composantes non-IT</t>
  </si>
  <si>
    <t>Emissions liées aux composantes IT = nombre de serveurs * facteur d'émission au kg * poids moyen d'un serveur</t>
  </si>
  <si>
    <t>Emissions liées aux composantes non-IT = nombre de baies de disques * FE associé + nombre de racks * FE associé + emissions pour un tableau électrique + nombre de kg d'équipements IT * emissions liées à la climatisation et au fonctionnement du groupe électrogène pour un kg d'éq. IT + surface du Data center * émissions liées à un m2 de data center (portes, mur, sol, ...)</t>
  </si>
  <si>
    <t>Les émissions liées au renouvellement des équipements prennent en compte celui des serveurs. Avant l'année de pleine exploitation du DC, par défaut, un pourcentage croissant linéaire de serveurs est supposé être en exploitation. On suppose qu'un pourcentage du parc de serveurs est renouvelé chaque année selon la durée de vie entrée en hypothèse</t>
  </si>
  <si>
    <t>Emissions avant fonctionnement à 100% du data center = émissions liées au renouvellement d'une fraction du parc de serveurs en service</t>
  </si>
  <si>
    <t>Emissions après fonctionnement à 100% du data center = émissions liées au renouvellement d'1/3 du parc de serveurs</t>
  </si>
  <si>
    <t>La comparaison des émissions entre le scénario de référence et le scénario projet se fait en considérant une amélioration du PUE. La dynamique d'évolution inclut la possibilité d'ajouter des hypothèses sur l'amélioration globale de l'efficacité énergétique et la croissance des flux de données, initialisées à 0 par défaut dans le cadre d'un scénario iso-consommation.</t>
  </si>
  <si>
    <t>Nature du calcul :</t>
  </si>
  <si>
    <t xml:space="preserve">Le scénario de référence suppose qu'il n'y a pas d'émissions en amont en l'absence de cas d'usage spécifique pour définir un scénario de référence pertinent. Avant l'année de pleine exploitation du DC, un pourcentage croissant linéaire de serveurs est supposé être en exploitation. </t>
  </si>
  <si>
    <t>Méthode de calcul:</t>
  </si>
  <si>
    <t>Pour ce poste d'émissions ainsi que le précéden lié au report modal direct, 4 profils type de ville sont définis. Ces villes comportent une part modale de transports en commun et une distance de trajet domicile-travail fortement variables. 
Le but est de pouvoir lier en 1ère approche la ville du projet à l'un de ces profils types selon ses caractéristiques.</t>
  </si>
  <si>
    <t xml:space="preserve">Note additionnelle: </t>
  </si>
  <si>
    <t>emissions comparées = somme pondérée pour l'ensemble des 3 profils de télétravailleurs définis de : énergie consommée par personne par jour hors/en télétravail *nombre de jours de télétravail *nombre de télétravaillleurs du profil concerné * facteur d'émission de l'électricité du pays</t>
  </si>
  <si>
    <t>Consommation d'énergie moyenne par personne par jour en télétravail (tous profils)</t>
  </si>
  <si>
    <t>Application du résultat synthétique d'un papier de 2014 sur le périmètre européen, appliqué à la consommation énergétique annuelle moyenne par personne du pays d'application. Le résultat est très sensible à l'hypothèse implicite de transférabilité du résultat européen au pays d'application.</t>
  </si>
  <si>
    <t>L'élargissement du télétravail occasionne un achat d'équipements additionnels</t>
  </si>
  <si>
    <t>Nature de l'approche:</t>
  </si>
  <si>
    <t>emissions = somme pour l'ensemble des types de terminaux considérés des émissions liées à la production de terminaux additionnels de chaque type</t>
  </si>
  <si>
    <t>emissions pour un type de terminal = nombre de terminaux par foyer * nombre de foyer * %age d'acquisition supplémentaire * durée de vie du terminal * facteur d'émission liée à la production du terminal</t>
  </si>
  <si>
    <t>emissions pour un type de terminal = nombre de terminaux par foyer * nombre de foyers raccordés * %age d'acquisition supplémentaire * durée de vie du terminal * facteur d'émission liée à la production du terminal</t>
  </si>
  <si>
    <t>Somme des émissions liées à la production additionnelle de chaque type de terminal induite par le raccordement en FO. Le nombre de ménages raccordés par rapport au scénario de référence est donné à la fin de l'onglet selon les hypothèses de dynamiques de population entrées.</t>
  </si>
  <si>
    <t>emissions = nombre d'employés impactés * surface moyenne par employé avec ou sans télétravail * taux de foisonnement avec ou sans télétravail * facteur d'émission par m2 par an lié à l'ensemble de l'ACV du batiment de bureau</t>
  </si>
  <si>
    <t>Hypothèse utilisateur en cellule C19</t>
  </si>
  <si>
    <t xml:space="preserve">Scénario de référence sans fibre. Le calcul de la somme dynamique des émissions liées au report utilisateurs 4G vers fibre se fait via une hypothèse utilisateur sur le taux de report, variable selon appréciation chef de projet. </t>
  </si>
  <si>
    <t>emissions comparées = nombre de personnes raccordées * % de la consommation reportée * consommation initiale annuelle moyenne de données * variation de la consommation électrique par Go * facteur d'émission de l'électricité pour le pays</t>
  </si>
  <si>
    <t>emissions comparées = nombre de personnes raccordées * % de la consommation reportée * consommation initiale annuelle moyenne de données * variation de la consommation électrique par ligne * facteur d'émission de l'électricité pour le pays</t>
  </si>
  <si>
    <t xml:space="preserve">Méthode de calcul : </t>
  </si>
  <si>
    <t>Ce poste d'émissions capture les émissions additionnelles dans les data center liées au flux/stockage de données addtionnelles induits par le développement de la fibre optique.  La forte augmentation du débit conduit à une augmentation des consommations à iso-temps d'usage ( effet rebond direct).
Or, ces flux supplémentaires catégorisés comme "data center to user" ne représentent que 14% de l'ensemble du traffic réel lié aux data centers ( source : Cisco Global Cloud Index 2015-2020). Chaque octet induit donc 6,7 octet de traffic au total, qui sont comptabilisés ici.</t>
  </si>
  <si>
    <t>emissions comparées = évolution de la consommation de Go annuelle des ménages suite au raccordement en fibre optique * ratio consommation de Go lié au poste "data center to user" vs toutes consommations de Go induites dans le data center * facteur de consommation énergétique par Go *facteur d'émission de l'électricité du pays hote des data center
evolution de la consommation de Go annuelle des ménages = évolution du débit * consommation initiale par ménage</t>
  </si>
  <si>
    <t>Switch/routeur/firewall</t>
  </si>
  <si>
    <t>la notion de Switch / Routeur / Firewall a été évaluée à partir d’une étude modulaire sur la base de données EcoInvent : Rapport Bilan Carbone  d’Aubervilliers O2France pour ATOS (données EcoInvent). Cette précédente donnée est convergente avec des données en provenance d’ACV produit par exemple la  Livebox d’Orange - France Telecom qui publie 90kg CO2e (phase d’usage inclus).</t>
  </si>
  <si>
    <t>FE switch/routeur/firewall</t>
  </si>
  <si>
    <t>Puissance moyenne d'un serveur</t>
  </si>
  <si>
    <t>FE ventilation/aération</t>
  </si>
  <si>
    <t>Ventilation/aération</t>
  </si>
  <si>
    <t>Rapport Bilan Carbone d’Aubervilliers O2France pour ATOS (données EcoInvent)</t>
  </si>
  <si>
    <t>Nouveau PUE théorique incluant uniquement la composante non-IT</t>
  </si>
  <si>
    <t>Ancien PUE théorique incluant uniquement la composante non-IT</t>
  </si>
  <si>
    <t>Nouveau PUE réel (incluant taux d'utilisation des serveurs et facteur de conversion IT)</t>
  </si>
  <si>
    <t>Ancien PUE réel (incluant taux d'utilisation des serveurs et facteur de conversion IT)</t>
  </si>
  <si>
    <t>Cette cellule peut être directement modifiée si l'utilisateur a accès au PUE du data center</t>
  </si>
  <si>
    <t xml:space="preserve">Inclut taux d'utilisation des serveurs et facteur de conversion IT. </t>
  </si>
  <si>
    <t>Cette cellule peut être directement modifiée si l'utilisateur a accès à l'ancien PUE du data center</t>
  </si>
  <si>
    <t>Cette cellule peut être directement modifiée si l'utilisateur a accès au nouveau PUE du data center</t>
  </si>
  <si>
    <t>How Much Energy Do Data Centers Really Use? - Energy Innovation: Policy and Technology</t>
  </si>
  <si>
    <t>Shehabi, 2016. United States Data Center Energy Usage Report, Lawrence Berkeley National Laboratory, Berkeley, California.</t>
  </si>
  <si>
    <t>Une surpondération de 40% est appliquée afin de prendre en compte la consommation électrique liée aux composantes non-IT. La valeur de 43% provient de l'étude ci-dessous sur la moyenne des data centers aux US en 2014, aucun chiffre plus récent et robuste n'a été trouvé.</t>
  </si>
  <si>
    <t>Hypothèse utilisateur à renseigner. Permet de prendre en compte les modifications d'infrastructure qui abaisseraient le PUE. Similaire à la cellule E172 si aucune modification d'infrastructure n'est effectuée. Valeur de 1,3 illustrative afin d'indiquer que cette cellule peut être modifiée.</t>
  </si>
  <si>
    <t>Production de routeurs évitée (tCO2eq/an)</t>
  </si>
  <si>
    <t>Production imprimante laser évitée (tCO2eq/an)</t>
  </si>
  <si>
    <t>Terminaux utilisateur et IoT</t>
  </si>
  <si>
    <t>Source : IFI Harmonization GRID, UNFCC, 2020</t>
  </si>
  <si>
    <t>IFI TWG - List of methodologies | UNFCCC</t>
  </si>
  <si>
    <t>Combined Margin Grid Emission 
Factor, gCO2/kWh</t>
  </si>
  <si>
    <t>Operating Margin Grid Emission 
Factor, gCO2/kWh (including for use in PCAF GHG accounting)</t>
  </si>
  <si>
    <t>Firm Energy (e.g., Hydro, Geothermal)</t>
  </si>
  <si>
    <t>Intermittent Energy (e.g., Solar, Wind, Tidal)</t>
  </si>
  <si>
    <t>Energy Efficiency</t>
  </si>
  <si>
    <t>Electricity Consumption</t>
  </si>
  <si>
    <t>Country / Territory / Island</t>
  </si>
  <si>
    <t>Afghanistan</t>
  </si>
  <si>
    <t>Albania</t>
  </si>
  <si>
    <t>Algeria</t>
  </si>
  <si>
    <t>American Samoa (U.S.)</t>
  </si>
  <si>
    <t>Andorra</t>
  </si>
  <si>
    <t>Angola</t>
  </si>
  <si>
    <t>Anguilla (U.K.)</t>
  </si>
  <si>
    <t>Antigua and Barbuda</t>
  </si>
  <si>
    <t>Argentina</t>
  </si>
  <si>
    <t>Armenia</t>
  </si>
  <si>
    <t>Aruba</t>
  </si>
  <si>
    <t>Australia</t>
  </si>
  <si>
    <t>Austria</t>
  </si>
  <si>
    <t>Azerbaijan</t>
  </si>
  <si>
    <t>Azores (Portugal)</t>
  </si>
  <si>
    <t>Bahamas</t>
  </si>
  <si>
    <t>Bahrain</t>
  </si>
  <si>
    <t>Bangladesh</t>
  </si>
  <si>
    <t>Barbados</t>
  </si>
  <si>
    <t>Belarus</t>
  </si>
  <si>
    <t>Belgium</t>
  </si>
  <si>
    <t>Belize</t>
  </si>
  <si>
    <t>Benin</t>
  </si>
  <si>
    <t>Bermuda (U.K.)</t>
  </si>
  <si>
    <t>Bhutan</t>
  </si>
  <si>
    <t>Bolivia</t>
  </si>
  <si>
    <t>Bosnia and Herzegovina</t>
  </si>
  <si>
    <t>Botswana</t>
  </si>
  <si>
    <t>Brazil</t>
  </si>
  <si>
    <t>British Virgin Islands (U.K.)</t>
  </si>
  <si>
    <t>Brunei</t>
  </si>
  <si>
    <t>Bulgaria</t>
  </si>
  <si>
    <t>Burkina Faso</t>
  </si>
  <si>
    <t>Burundi</t>
  </si>
  <si>
    <t>Cambodia</t>
  </si>
  <si>
    <t>Cameroon</t>
  </si>
  <si>
    <t>Canada</t>
  </si>
  <si>
    <t>Canary Islands (Spain)</t>
  </si>
  <si>
    <t>Cape Verde</t>
  </si>
  <si>
    <t>Cayman Islands</t>
  </si>
  <si>
    <t>Central African Republic</t>
  </si>
  <si>
    <t>Chad</t>
  </si>
  <si>
    <t>Channel Islands</t>
  </si>
  <si>
    <t>Chile</t>
  </si>
  <si>
    <t>China (P.R. China &amp; Hong Kong)</t>
  </si>
  <si>
    <t>Colombia</t>
  </si>
  <si>
    <t>Comoros</t>
  </si>
  <si>
    <t>Congo, Democratic Republic of</t>
  </si>
  <si>
    <t>Congo, Republic of</t>
  </si>
  <si>
    <t>Cook Islands</t>
  </si>
  <si>
    <t>Costa Rica</t>
  </si>
  <si>
    <t>Côte d'Ivoire</t>
  </si>
  <si>
    <t>Croatia</t>
  </si>
  <si>
    <t>Cuba</t>
  </si>
  <si>
    <t>Curaçao (Netherlands)</t>
  </si>
  <si>
    <t>Cyprus</t>
  </si>
  <si>
    <t>Czech Republic</t>
  </si>
  <si>
    <t>Denmark</t>
  </si>
  <si>
    <t>Djibouti</t>
  </si>
  <si>
    <t>Dominica</t>
  </si>
  <si>
    <t>Dominican Republic</t>
  </si>
  <si>
    <t>Ecuador</t>
  </si>
  <si>
    <t>Egypt</t>
  </si>
  <si>
    <t>El Salvador</t>
  </si>
  <si>
    <t>Equatorial Guinea</t>
  </si>
  <si>
    <t>Eritrea</t>
  </si>
  <si>
    <t>Estonia</t>
  </si>
  <si>
    <t>Eswatini</t>
  </si>
  <si>
    <t>Ethiopia</t>
  </si>
  <si>
    <t>Falkland Islands (U.K.)</t>
  </si>
  <si>
    <t>Faroe Islands (Denmark)</t>
  </si>
  <si>
    <t>Fiji</t>
  </si>
  <si>
    <t>Finland</t>
  </si>
  <si>
    <t>France</t>
  </si>
  <si>
    <t>French Guiana</t>
  </si>
  <si>
    <t>French Polynesia</t>
  </si>
  <si>
    <t>Gabon</t>
  </si>
  <si>
    <t>Gambia</t>
  </si>
  <si>
    <t>Georgia</t>
  </si>
  <si>
    <t>Germany</t>
  </si>
  <si>
    <t>Ghana</t>
  </si>
  <si>
    <t>Gibraltar (U.K.)</t>
  </si>
  <si>
    <t>Greece</t>
  </si>
  <si>
    <t>Greenland</t>
  </si>
  <si>
    <t>Grenada</t>
  </si>
  <si>
    <t>Guadeloupe (France)</t>
  </si>
  <si>
    <t>Guam</t>
  </si>
  <si>
    <t>Guatemala</t>
  </si>
  <si>
    <t>Guinea</t>
  </si>
  <si>
    <t>Guinea-Bissau</t>
  </si>
  <si>
    <t>Guyana</t>
  </si>
  <si>
    <t>Haiti</t>
  </si>
  <si>
    <t>Honduras</t>
  </si>
  <si>
    <t>Hong Kong (China)</t>
  </si>
  <si>
    <t>Hungary</t>
  </si>
  <si>
    <t>Iceland</t>
  </si>
  <si>
    <t>India</t>
  </si>
  <si>
    <t>Indonesia</t>
  </si>
  <si>
    <t>Iran</t>
  </si>
  <si>
    <t>Iraq</t>
  </si>
  <si>
    <t>Ireland</t>
  </si>
  <si>
    <t>Isle of Man</t>
  </si>
  <si>
    <t>Israel</t>
  </si>
  <si>
    <t>Italy</t>
  </si>
  <si>
    <t>Jamaica</t>
  </si>
  <si>
    <t>Japan</t>
  </si>
  <si>
    <t>Jordan</t>
  </si>
  <si>
    <t>Kazakhstan</t>
  </si>
  <si>
    <t>Kenya</t>
  </si>
  <si>
    <t>Kiribati</t>
  </si>
  <si>
    <t>Korea (North), Dem. People's Rep. of</t>
  </si>
  <si>
    <t>Korea (South), Republic of</t>
  </si>
  <si>
    <t>Kosovo</t>
  </si>
  <si>
    <t>Kuwait</t>
  </si>
  <si>
    <t>Kyrgyzstan</t>
  </si>
  <si>
    <t>Laos</t>
  </si>
  <si>
    <t>Latvia</t>
  </si>
  <si>
    <t>Lebanon</t>
  </si>
  <si>
    <t>Lesotho</t>
  </si>
  <si>
    <t>Liberia</t>
  </si>
  <si>
    <t>Libya</t>
  </si>
  <si>
    <t>Liechtenstein</t>
  </si>
  <si>
    <t>Lithuania</t>
  </si>
  <si>
    <t>Luxembourg</t>
  </si>
  <si>
    <t>Macao (China)</t>
  </si>
  <si>
    <t>Macedonia, North</t>
  </si>
  <si>
    <t>Madagascar</t>
  </si>
  <si>
    <t>Madeira (Portugal)</t>
  </si>
  <si>
    <t>Malawi</t>
  </si>
  <si>
    <t>Malaysia</t>
  </si>
  <si>
    <t>Maldives</t>
  </si>
  <si>
    <t>Mali</t>
  </si>
  <si>
    <t>Malta</t>
  </si>
  <si>
    <t>Marshall Islands</t>
  </si>
  <si>
    <t>Martinique (France)</t>
  </si>
  <si>
    <t>Mauritania</t>
  </si>
  <si>
    <t>Mauritius</t>
  </si>
  <si>
    <t>Mayotte (France)</t>
  </si>
  <si>
    <t>Mexico</t>
  </si>
  <si>
    <t>Micronesia</t>
  </si>
  <si>
    <t>Moldova</t>
  </si>
  <si>
    <t>Monaco</t>
  </si>
  <si>
    <t>Mongolia</t>
  </si>
  <si>
    <t>Montenegro</t>
  </si>
  <si>
    <t>Montserrat</t>
  </si>
  <si>
    <t>Morocco</t>
  </si>
  <si>
    <t>Mozambique</t>
  </si>
  <si>
    <t>Myanmar</t>
  </si>
  <si>
    <t>Namibia</t>
  </si>
  <si>
    <t>Nauru</t>
  </si>
  <si>
    <t>Nepal</t>
  </si>
  <si>
    <t>Netherlands</t>
  </si>
  <si>
    <t>Netherlands Antilles</t>
  </si>
  <si>
    <t>New Caledonia (France)</t>
  </si>
  <si>
    <t>New Zealand</t>
  </si>
  <si>
    <t>Nicaragua</t>
  </si>
  <si>
    <t>Niger</t>
  </si>
  <si>
    <t>Nigeria</t>
  </si>
  <si>
    <t>Niue</t>
  </si>
  <si>
    <t>Northern Mariana Islands (U.S.)</t>
  </si>
  <si>
    <t>Norway</t>
  </si>
  <si>
    <t>Oman</t>
  </si>
  <si>
    <t>Pakistan</t>
  </si>
  <si>
    <t>Palau</t>
  </si>
  <si>
    <t>Panama</t>
  </si>
  <si>
    <t>Papua New Guinea</t>
  </si>
  <si>
    <t>Paraguay</t>
  </si>
  <si>
    <t>Peru</t>
  </si>
  <si>
    <t>Philippines</t>
  </si>
  <si>
    <t>Poland</t>
  </si>
  <si>
    <t>Portugal</t>
  </si>
  <si>
    <t>Puerto Rico (U.S.)</t>
  </si>
  <si>
    <t>Qatar</t>
  </si>
  <si>
    <t>Reunion (France)</t>
  </si>
  <si>
    <t>Romania</t>
  </si>
  <si>
    <t>Russian Federation</t>
  </si>
  <si>
    <t>Rwanda</t>
  </si>
  <si>
    <t>Saint Helena (U.K.)</t>
  </si>
  <si>
    <t>Saint Kitts and Nevis</t>
  </si>
  <si>
    <t>Saint Lucia</t>
  </si>
  <si>
    <t>Saint Martin (France)</t>
  </si>
  <si>
    <t>Saint Pierre and Miquelon (France)</t>
  </si>
  <si>
    <t>Saint Vincent and Grenadines</t>
  </si>
  <si>
    <t>Samoa</t>
  </si>
  <si>
    <t>San Marino</t>
  </si>
  <si>
    <t>Sao Tomé &amp; Principe</t>
  </si>
  <si>
    <t>Saudi Arabia</t>
  </si>
  <si>
    <t>Senegal</t>
  </si>
  <si>
    <t>Serbia</t>
  </si>
  <si>
    <t>Seychelles</t>
  </si>
  <si>
    <t>Sierra Leone</t>
  </si>
  <si>
    <t>Singapore</t>
  </si>
  <si>
    <t>Sint Martin (Netherlands)</t>
  </si>
  <si>
    <t>Slovak Republic</t>
  </si>
  <si>
    <t>Slovenia</t>
  </si>
  <si>
    <t>Solomon Islands</t>
  </si>
  <si>
    <t>Somalia</t>
  </si>
  <si>
    <t>South Africa</t>
  </si>
  <si>
    <t>South Sudan</t>
  </si>
  <si>
    <t>Spain</t>
  </si>
  <si>
    <t>Sri Lanka</t>
  </si>
  <si>
    <t>Sudan</t>
  </si>
  <si>
    <t>Suriname</t>
  </si>
  <si>
    <t>Sweden</t>
  </si>
  <si>
    <t>Switzerland</t>
  </si>
  <si>
    <t>Syrian Arab Republic</t>
  </si>
  <si>
    <t>Taipei (Chinese)</t>
  </si>
  <si>
    <t>Tajikistan</t>
  </si>
  <si>
    <t>Tanzania</t>
  </si>
  <si>
    <t>Thailand</t>
  </si>
  <si>
    <t>Timor-Leste</t>
  </si>
  <si>
    <t>Togo</t>
  </si>
  <si>
    <t>Tonga</t>
  </si>
  <si>
    <t>Trinidad and Tobago</t>
  </si>
  <si>
    <t>Tunisia</t>
  </si>
  <si>
    <t>Turkey</t>
  </si>
  <si>
    <t>Turkmenistan</t>
  </si>
  <si>
    <t>Turks and Caicos Islands (U.K.)</t>
  </si>
  <si>
    <t>Tuvalu</t>
  </si>
  <si>
    <t>Uganda</t>
  </si>
  <si>
    <t>Ukraine</t>
  </si>
  <si>
    <t>United Arab Emirates</t>
  </si>
  <si>
    <t>United Kingdom</t>
  </si>
  <si>
    <t>United States</t>
  </si>
  <si>
    <t>Uruguay</t>
  </si>
  <si>
    <t>Uzbekistan</t>
  </si>
  <si>
    <t>Vanatu</t>
  </si>
  <si>
    <t>Venezuela</t>
  </si>
  <si>
    <t>Vietnam</t>
  </si>
  <si>
    <t>Virgin Islands (U.S.)</t>
  </si>
  <si>
    <t>West Bank and Gaza</t>
  </si>
  <si>
    <t>Yemen</t>
  </si>
  <si>
    <t>Zambia</t>
  </si>
  <si>
    <t>Zanzibar (Tanzania)</t>
  </si>
  <si>
    <t>Zimbabwe</t>
  </si>
  <si>
    <t>Pays du projet</t>
  </si>
  <si>
    <t>Mise à jour automatique une fois le pays du projet entré. 
Source : IFI Harmonization Grid, UNFCC, exemple illustratif de la Colombie</t>
  </si>
  <si>
    <t>FE électricité du pays (gCO2eq/kWh)</t>
  </si>
  <si>
    <t>Hypothèse utilisateur à remplir selon données projet (cellules pré-remplies par défaut à titre illustratif)</t>
  </si>
  <si>
    <t>Déforestation drones</t>
  </si>
  <si>
    <t>Changement d'usage des sols</t>
  </si>
  <si>
    <t>Biomasse aérienne forêt tropicale</t>
  </si>
  <si>
    <t>tCO2eq/ha/an</t>
  </si>
  <si>
    <t>Projet AFD REDD+, région de la Mé, FAO 2017</t>
  </si>
  <si>
    <t>Biomasse aérienne forêt décidue humide tropicale</t>
  </si>
  <si>
    <t>tCO2eq/ha</t>
  </si>
  <si>
    <t>Litière forêt tropicale</t>
  </si>
  <si>
    <t>Litière forêt décidue humide tropicale</t>
  </si>
  <si>
    <t>Biomasse souterraine forêt tropicale</t>
  </si>
  <si>
    <t>GIEC 2006</t>
  </si>
  <si>
    <t>Biomasse souterraine forêt décidue humide tropicale</t>
  </si>
  <si>
    <t>Bois mort forêt tropicale</t>
  </si>
  <si>
    <t>FAO, 2017</t>
  </si>
  <si>
    <t>Bois mort forêt décidue humide tropicale</t>
  </si>
  <si>
    <t>Forêt vers culture</t>
  </si>
  <si>
    <t>Land Use, Land Use Change and Forestry, IPCC, 2006</t>
  </si>
  <si>
    <t>Forêt vers prairie</t>
  </si>
  <si>
    <t>Prairie vers forêt</t>
  </si>
  <si>
    <t>Culture vers forêt</t>
  </si>
  <si>
    <t>Forêt vers sols imperméabilisés</t>
  </si>
  <si>
    <t>Production des équipements</t>
  </si>
  <si>
    <t>Fibre de carbone</t>
  </si>
  <si>
    <t>Valeur par défaut : FE référence du plastique, BC ADEME</t>
  </si>
  <si>
    <t>Plastique</t>
  </si>
  <si>
    <t>AFD Carbon Footprint tool, inclut toute l'ACV</t>
  </si>
  <si>
    <t>Aluminium</t>
  </si>
  <si>
    <t>BC ADEME</t>
  </si>
  <si>
    <t>Déforestation imagerie satellite</t>
  </si>
  <si>
    <t>Déforestation</t>
  </si>
  <si>
    <t>Carbone en équivalent CO2</t>
  </si>
  <si>
    <t>CO2/Carbone</t>
  </si>
  <si>
    <t>171122_rapport_technique_nerf_me.pdf (nitidae.org)</t>
  </si>
  <si>
    <t>Extension 5G</t>
  </si>
  <si>
    <t>Production de terminaux additionnels</t>
  </si>
  <si>
    <t>TV production (extraction, transport, assemblage)</t>
  </si>
  <si>
    <t>TV Cradle to Grave</t>
  </si>
  <si>
    <t>WEEE - DEFRA (50% combustion, 50 % landfill)</t>
  </si>
  <si>
    <t>Ordinateur production (extraction, transport, assemblage)</t>
  </si>
  <si>
    <t>Ordinateur Cradle to Grave</t>
  </si>
  <si>
    <t>Smartphone production (extraction, transport, assemblage)</t>
  </si>
  <si>
    <t>Smartphone Cradle to Grave</t>
  </si>
  <si>
    <t>Tablette Cradle to Grave</t>
  </si>
  <si>
    <t>FE écran Cradle to Grave</t>
  </si>
  <si>
    <t>FE box Cradle to Grave</t>
  </si>
  <si>
    <t>Facteur d'émission électricité du pays</t>
  </si>
  <si>
    <t xml:space="preserve">Choix du scénario 5G en projet : </t>
  </si>
  <si>
    <t>Scénario 5G sélective</t>
  </si>
  <si>
    <t>Consommation électrique du réseau 5G</t>
  </si>
  <si>
    <t>Utilisation de terminaux additionnels</t>
  </si>
  <si>
    <t>Augmentation de la consommation de données (End Users)
dans les data-centers (End Users)</t>
  </si>
  <si>
    <t>Augmentation de la consommation de données (within data centers)
dans les data-centers (Within data-centers)</t>
  </si>
  <si>
    <t>Nature des hypothèses principales: Le calcul des émissions évitées via l'extension du réseau 5G se fait en suivant la méthodologie Citizing pour le Haut Conseil pour le Climat 2020. Cela suppose de définir plusieurs profils de pénétration de la 5G afin de nuancer les hypothèses liées aux modifications des usages dans chaque brique.
Par défaut, 3 profils de pénétration de la 5G à renseigner (Scénario de non déploiement/de référence, scénario 5G séléctive, et scénario 5 pour tous)</t>
  </si>
  <si>
    <t>Scénario 5G sélective(tCO2eq/an)</t>
  </si>
  <si>
    <t>Scénario 5G pour tous (tCO2eq/an)</t>
  </si>
  <si>
    <t>Emissions comparées 5G sélective (tCO2eq/an)</t>
  </si>
  <si>
    <t>Emissions comparées 5G pour tous (tCO2eq/an)</t>
  </si>
  <si>
    <t xml:space="preserve">Nombre de sites qui composent le réseau </t>
  </si>
  <si>
    <t>L'estimation de l'empreinte environnementale du réseau 5G requiert d'évaluer sa consommation électrique. Pour cela, il est nécessaire d'estimer le nombre de sites-opérateurs 5G déployés sur le territoire et la consommation par site-opérateur.
NB: 3 scénarios sont ici pris en compte, un scénario de non déploiement, un scénario de 5G déployée dans certaines zones du pays uniquement, et un scénario où la 5G est déployée partout dans le pays.</t>
  </si>
  <si>
    <t xml:space="preserve">Evolution du maillage 5G </t>
  </si>
  <si>
    <t>Scénario de non déploiement (scénario de référence)</t>
  </si>
  <si>
    <t>Nombre de smallcell 5G déployés, bande 700 MHz</t>
  </si>
  <si>
    <t>Nombre de smallcell 5G déployés, bande 3,5 MHz</t>
  </si>
  <si>
    <t>Nombre de smallcell 5G déployés, bande 26 GHz</t>
  </si>
  <si>
    <t>Nombre de macrocell 5G déployés, bande 700 MHz</t>
  </si>
  <si>
    <t>Nombre de macrocell 5G déployés, bande 3,5 MHz</t>
  </si>
  <si>
    <t>Nombre de macrocell 5G déployés, bande 26 GHz</t>
  </si>
  <si>
    <t>Scénario 5G pour tous</t>
  </si>
  <si>
    <t>La consommation électrique d’un réseau (2G, 3G, 4G ou 5G) est obtenue par la multiplication du nombre de sites qui composent le réseau, par la consommation électrique moyenne par site-opérateur. Ce second paramètre comprend la consommation d’électricité du site_x0002_opérateur dans son ensemble, c’est-à-dire d’une ou plusieurs antennes et des autres équipements qui permettent le fonctionnement du site-opérateur.</t>
  </si>
  <si>
    <t>Emissions = Nombre de smallcell et de macrocell d'un site opératuer de la même fréquence * consommation électrique des sites opérateur de la même fréquence * Facteur d'émissions électricité pays
Le décliner par site opérateur et par scénario, et comparer les deux scénarios de pénétration 5G au scénario de référence/non déploiement</t>
  </si>
  <si>
    <t>Evolution des consommations énergétiques</t>
  </si>
  <si>
    <t>Puissance en charge électrique d'un site opérateur 2G</t>
  </si>
  <si>
    <t>rapport-5g_haut-conseil-pour-le-climat_etude-exterieure.pdf (hautconseilclimat.fr)</t>
  </si>
  <si>
    <t>Puissance en charge électrique d'un site opérateur 3G</t>
  </si>
  <si>
    <t>Puissance en charge électrique d'un site opérateur 4G multi générations</t>
  </si>
  <si>
    <t>Puissance en charge électrique d'un site opérateur 4G seule</t>
  </si>
  <si>
    <t>Puissance en charge électrique d'un site opérateur 5G 700 MHz</t>
  </si>
  <si>
    <t>Puissance en charge électrique d'un site opérateur 5G 3,5 GHz</t>
  </si>
  <si>
    <t>Puissance en charge électrique d'un site opérateur 5G 26 GHz</t>
  </si>
  <si>
    <t>Facteur multiplicateur</t>
  </si>
  <si>
    <t>h</t>
  </si>
  <si>
    <t>j</t>
  </si>
  <si>
    <t>4G multigénérations</t>
  </si>
  <si>
    <t>TCAM (Taux de croissance annuel moyen) entre 2020 et 2025</t>
  </si>
  <si>
    <t>Scénario non déploiement</t>
  </si>
  <si>
    <t>TCAM (Taux de croissance annuel moyen) entre 2025 et 2030</t>
  </si>
  <si>
    <t>4G seule</t>
  </si>
  <si>
    <t>5G 3,5 GHz</t>
  </si>
  <si>
    <t>TCAM (Taux de croissance annuel moyen) entre 2020 et 2024</t>
  </si>
  <si>
    <t>TCAM (Taux de croissance annuel moyen) entre 2024 et 2030</t>
  </si>
  <si>
    <t>Paramètres statiques</t>
  </si>
  <si>
    <t>Statique</t>
  </si>
  <si>
    <t>Consommation électrique d'un site opérateur 2G (kWh)</t>
  </si>
  <si>
    <t>kWh</t>
  </si>
  <si>
    <t>Consommation électrique d'un site opérateur 3G (kWh)</t>
  </si>
  <si>
    <t>Consommation électrique d'un site opérateur 4G multi-générations (kWh)</t>
  </si>
  <si>
    <t>Consommation électrique d'un site opérateur 4G seule (kWh)</t>
  </si>
  <si>
    <t>Consommation électrique d'un site opérateur 5G 700 MHz (kWh)</t>
  </si>
  <si>
    <t>Consommation électrique d'un site opérateur 5G 3,5 GHz (kWh)</t>
  </si>
  <si>
    <t>Consommation électrique d'un site opérateur 5G 26 GHz (kWh)</t>
  </si>
  <si>
    <t>Le développement de la 5G induit la production de terminaux additionnels, dont font partie les télévisions, les ordinateurs, les smartphones ou encore les box. Des hypothèses sur le nombre de personnes ayant accès à la 5G ainsi que les ménages ayant accès à la 5G sont faites.</t>
  </si>
  <si>
    <t>Emissions = Nombre de ménages * (Nombre de TV par ménage * Facteur d'émissions par TV + Nombre d'ordinateurs par ménage * Facteur d'émissions par ordinateur + Nombre de smartphones par ménage * Facteur d'émissions par smartphone + Nombre de tablettes par ménage * Facteur d'émissions par tablette + Nombre d'écrans par ménage * Facteur d'émissions par écran + Nombre de box par ménage * Facteur d'émissions par box).
Le décliner par scénario, et comparer les deux scénarios de pénétration 5G au scénario de référence/non déploiement</t>
  </si>
  <si>
    <t>Uniquement les émissions liées aux terminaux produits</t>
  </si>
  <si>
    <t>Emissions de gaz à effet de serre du scénario de référence</t>
  </si>
  <si>
    <t>Production ordinateur (tCO2eq/an)</t>
  </si>
  <si>
    <t>Production écran (tCO2eq/an)</t>
  </si>
  <si>
    <t>Production box (tCO2eq/an)</t>
  </si>
  <si>
    <t>Nombre de personnes ayant accès à la 5G</t>
  </si>
  <si>
    <t>Nombre de ménages ayant accès à la 5G</t>
  </si>
  <si>
    <t>% de remplacement additionnel TV</t>
  </si>
  <si>
    <t>% de remplacement additionnel ordinateur</t>
  </si>
  <si>
    <t>% remplacement additionnel écran</t>
  </si>
  <si>
    <t>% remplacement additionnel box</t>
  </si>
  <si>
    <t>Hypothèse générale ou hypothèse utilisateur?</t>
  </si>
  <si>
    <t xml:space="preserve">GSMA Mobile Economy LATAM 2020. </t>
  </si>
  <si>
    <t>Nombre d'écrans par ménage</t>
  </si>
  <si>
    <t>SOURCE ?</t>
  </si>
  <si>
    <t>Niveau 2 de granularité : prise en compte de l'accroissement du nb de terminaux</t>
  </si>
  <si>
    <t>TCAM nombre d'écrans</t>
  </si>
  <si>
    <t>TCAM nombre de box</t>
  </si>
  <si>
    <t>Moyenne (30% d'incertitude)</t>
  </si>
  <si>
    <t>Fiable (10 % d'incertitude)</t>
  </si>
  <si>
    <t>FE Ordinateur Cradle to Grave</t>
  </si>
  <si>
    <t>Masse d'un écran</t>
  </si>
  <si>
    <t>Masse d'une box</t>
  </si>
  <si>
    <t>La phase construction des terminaux additionnels ayant été traitée, il est également important de considérer la phase utilisation de ces terminaux.</t>
  </si>
  <si>
    <t>Emissions = Nombre de ménages * (Consommation d'une TV * Facteur d'émissions électricité pays + Consommation d'un ordinateur * Facteur d'émissions électricité pays + Consommation d'un smartphone * Facteur d'émissions électricité pays + Consommation d'une tablette * Facteur d'émissions électricité pays + Consommation d'un écran * Facteur d'émissions électricité pays + Consommation d'une box * Facteur d'émissions électricité pays).
Le décliner par scénario, et comparer les deux scénarios de pénétration 5G au scénario de référence/non déploiement</t>
  </si>
  <si>
    <t>Consommation d'une télévision</t>
  </si>
  <si>
    <t>Consommation d'un ordinateur</t>
  </si>
  <si>
    <t>Combien consomme une tablette ? - Green IT</t>
  </si>
  <si>
    <t>Consommation d'un smartphone</t>
  </si>
  <si>
    <t>https://www.bing.com/search?q=consommation+énergétique+d%27un+smartphone&amp;qs=n&amp;form=QBRE&amp;sp=-1&amp;pq=consommation+énergétique+d%27un+smartphone&amp;sc=1-40&amp;sk=&amp;cvid=864422214885496C989B48B9C4F3633C</t>
  </si>
  <si>
    <t>Consommation d'une tablette</t>
  </si>
  <si>
    <t>Consommation d'un écran</t>
  </si>
  <si>
    <t>TOUT SAVOIR SUR LA CONSOMMATION ÉLECTRIQUE D’UN ÉCRAN GÉANT | Agence France Electricite (agence-france-electricite.fr)</t>
  </si>
  <si>
    <t>Consommation d'une box</t>
  </si>
  <si>
    <t>Calcul de la consommation électrique des box ADSL (calculconsommationelectrique.com)</t>
  </si>
  <si>
    <t>Utilisation de nouveaux terminaux</t>
  </si>
  <si>
    <t>Uniquement les émissions liées à l'utilisation de nouveaux terminaux</t>
  </si>
  <si>
    <t>Utilisation ordinateur (tCO2eq/an)</t>
  </si>
  <si>
    <t>Utilisation écran (tCO2eq/an)</t>
  </si>
  <si>
    <t>Utilisation box (tCO2eq/an)</t>
  </si>
  <si>
    <t>Nous parlons ici de l'empreinte carbone du trafic des données entre data centers et terminaux, qui représentent selon Cisco 14% des consommations énergétiques induites par les data centers.</t>
  </si>
  <si>
    <t>Emissions = Volume total de données en Go * Consommation des data centers en kWh/Go * Facteur d'émissions électricité pays</t>
  </si>
  <si>
    <t>Scénario de non déploiement (tCO2eq/an)</t>
  </si>
  <si>
    <t>Scénario 5G sélective (tCO2eq/an)</t>
  </si>
  <si>
    <t>Volume total de données en 2020 en Suisse</t>
  </si>
  <si>
    <t>mn GB</t>
  </si>
  <si>
    <t>Next generation mobile networks: Problem or opportunity for climate protection? (uzh.ch)</t>
  </si>
  <si>
    <t>Volume total de données en 2030 en Suisse</t>
  </si>
  <si>
    <t>Pourcentage d'augmentation annuel</t>
  </si>
  <si>
    <t>Population Suisse</t>
  </si>
  <si>
    <t>mn habitants</t>
  </si>
  <si>
    <t>Facteur de conversion</t>
  </si>
  <si>
    <t>Go/GB</t>
  </si>
  <si>
    <t>Augmentation du volume d'utilisation (modification des usages) liée à l'extension de la 5G (scénario non déploiement)</t>
  </si>
  <si>
    <t>SOURCE ou proxy de calcul via la comparaison des débits A TROUVER</t>
  </si>
  <si>
    <t>Augmentation du volume d'utilisation (modification des usages) liée à l'extension de la 5G (scénario 5G sélective)</t>
  </si>
  <si>
    <t>Augmentation du volume d'utilisation (modification des usages) liée à l'extension de la 5G (scénario 5G pour tous)</t>
  </si>
  <si>
    <t>Augmentation de la consommation de données 
dans les data-centers (Within data-centers)</t>
  </si>
  <si>
    <t>Nous parlons ici de l'empreinte carbone du trafic des données à l'intérieur des data centers, qui représentent selon Cisco 77% des consommations énergétiques induites par les data centers.</t>
  </si>
  <si>
    <t>Même méthode que précedemment</t>
  </si>
  <si>
    <t>Trafic de données dans les data centers - End Users</t>
  </si>
  <si>
    <t>Cisco Global Cloud Index 2015–2020</t>
  </si>
  <si>
    <t>Trafic de données dans les data centers - Within data centers</t>
  </si>
  <si>
    <t>Pratiques agricoles</t>
  </si>
  <si>
    <t>Emissions = Nombre d'agriculteurs travaillant dans les cultures et paturages * Emissions du domaine agricole des cultures et paturages + Nombre d'agriculteurs travaillant dans l'élevage * Emissions du domaine agricole de l'élevage + Nombre d'agriculteurs travaillant dans la riziculture * Emissions du domaine agricole de la riziculture.
Appliquer les potentiels de réduction pour ces différentes filières pour obtenir les émissions évitées</t>
  </si>
  <si>
    <t>Agriculteurs consultant des vidéos agricoles pour la formation (2019)</t>
  </si>
  <si>
    <t>etude-agrinautes2019 Pages 1 - 50 - Flip PDF Download | FlipHTML5</t>
  </si>
  <si>
    <t>Nb</t>
  </si>
  <si>
    <t>Population rural (% de la population totale) - Colombia | Data (banquemondiale.org)</t>
  </si>
  <si>
    <t>Données à estimer</t>
  </si>
  <si>
    <t>Nombre d'agriculteurs</t>
  </si>
  <si>
    <t>Part d'agriculteurs en Colombie qui travaillent dans les cultures et paturages</t>
  </si>
  <si>
    <t>Part d'agriculteurs en Colombie qui travaillent dans l'élevage</t>
  </si>
  <si>
    <t>Part d'agriculteurs en Colombie qui travaillent dans la riziculture</t>
  </si>
  <si>
    <t>Agriculteurs en Colombie qui travaillent dans les cultures et paturages</t>
  </si>
  <si>
    <t>Agriculteurs en Colombie qui travaillent dans l'élevage</t>
  </si>
  <si>
    <t>Agriculteurs en Colombie qui travaillent dans la riziculture</t>
  </si>
  <si>
    <t>Agriculteurs en Colombie qui travaillent dans les cultures et paturages qui consultent des vidéos agricoles pour la formation</t>
  </si>
  <si>
    <t>Agriculteurs en Colombie qui travaillent dans l'élevage qui consultent des vidéos agricoles pour la formation</t>
  </si>
  <si>
    <t>Agriculteurs en Colombie qui travaillent dans la riziculture qui consultent des vidéos agricoles pour la formation</t>
  </si>
  <si>
    <t>Emissions du domaine agricole spécialisé dans les cultures et paturages par agriculteur</t>
  </si>
  <si>
    <t>tCO2/agriculteur</t>
  </si>
  <si>
    <t>Emissions du domaine agricole spécialisé dans l'élevage</t>
  </si>
  <si>
    <t>Emissions du domaine agricole spécialisé dans la riziculture</t>
  </si>
  <si>
    <t>Potentiel de réduction des émissions du CO2 pour les cultures et paturages</t>
  </si>
  <si>
    <t>LES PROJETS DE COMPENSATION CARBONE DANS LE SECTEUR AGRICOLE (i4ce.org)</t>
  </si>
  <si>
    <t>Potentiel de réduction des émissions du CO2 pour l'élevage</t>
  </si>
  <si>
    <t>Potentiel de réduction des émissions du CO2 pour la riziculture</t>
  </si>
  <si>
    <t xml:space="preserve">TCAM des agriculteurs consultant des vidéos agricoles pour la formation </t>
  </si>
  <si>
    <t>TCAM des agriculteurs consultant des vidéos agricoles pour la formation - Scénario 5G sélective</t>
  </si>
  <si>
    <t>TCAM des agriculteurs consultant des vidéos agricoles pour la formation - Scénario 5G pour tous</t>
  </si>
  <si>
    <t>Emissions de gaz à effet de serre générées par an</t>
  </si>
  <si>
    <t>Afin d'être le plus complet possible, une étude réalisée par les chercheurs suisses sur l'impact du déploiement de la 5G sur les pratiques agricoles a été réalisée et met en avant ces 2 cas d'usage, permettant d'avoir un impact sur les émissions de GES.</t>
  </si>
  <si>
    <t>Emissions totales de CO2 émises en Colombie par la production et l'utilisation d'engrais synthétiques</t>
  </si>
  <si>
    <t>tCO2</t>
  </si>
  <si>
    <t xml:space="preserve">Proxi utilisé dans l'étude suisse </t>
  </si>
  <si>
    <t>Potentiel de réduction des émissions de GES grâce à l'application d'azote à taux variable (scénario 5G sélective par rapport au scénario sans déploiement)</t>
  </si>
  <si>
    <t>Page 60</t>
  </si>
  <si>
    <t>Potentiel de réduction des émissions de GES grâce à l'application d'azote à taux variable (scénario 5G pour tous par rapport au scénario sans déploiement)</t>
  </si>
  <si>
    <t>Emissions totales de CO2 émises en Colombie par la fermentation entérique du bétail</t>
  </si>
  <si>
    <t>Potentiel de réduction des émissions de GES grâce à l'alimentation de précision du bétail (scénario 5G sélective par rapport au scénario sans déploiement)</t>
  </si>
  <si>
    <t>Potentiel de réduction des émissions de GES grâce à l'alimentation de précision du bétail (scénario 5G pour tous par rapport au scénario sans déploiement)</t>
  </si>
  <si>
    <t>TCAM production et utilisation d'engrais synthétiques</t>
  </si>
  <si>
    <t>Donnée à estimer</t>
  </si>
  <si>
    <t>TCAM fermentation entérique du bétail</t>
  </si>
  <si>
    <t>Emissions de gaz à effet de serre générées par an par scénario</t>
  </si>
  <si>
    <t>Production et utilisation d'engrais synthétiques (tCO2)</t>
  </si>
  <si>
    <t>Fermentation entérique du bétail (tCO2)</t>
  </si>
  <si>
    <t>Déforestation imagerie drones</t>
  </si>
  <si>
    <t>Production des équipements : projet drone</t>
  </si>
  <si>
    <t>Phase utilisation : drones et équipement IT</t>
  </si>
  <si>
    <t>Emissions liées aux usages des sols</t>
  </si>
  <si>
    <t>La phase production en scénario projet prend en compte la production des équipements suivants : ordinateurs, drones, tablettes, bureaux.
Scénario de référence : aucun drone ni aucun équipement IT n'existe.</t>
  </si>
  <si>
    <t xml:space="preserve">Emissions = Nombre de drones utilisés * (Poids fibre de carbone dans un drone * Facteur d'émissions de la fibre de carbone + Poids plastique dans un drone * Facteur d'émissions du plastique + Poids aluminium dans un drone * Facteur d'émissions de l'aluminium) + Nombre d'ordinateurs * Facteur d'émissions d'un ordinateur + Nombre de tablettes * Facteur d'émissions d'une tablette + Surface de bureaux construites * Facteur d'émissions du bureau </t>
  </si>
  <si>
    <t>Nombre de drones utilisés</t>
  </si>
  <si>
    <t>Poids des drones</t>
  </si>
  <si>
    <t xml:space="preserve">L'ensemble des hypothèses propres aux spécifications choisies par défaut s'appuie sur : 
</t>
  </si>
  <si>
    <t>https://www.dji.com/fr</t>
  </si>
  <si>
    <t>% de fibre de carbone</t>
  </si>
  <si>
    <t>% de plastique</t>
  </si>
  <si>
    <t>% aluminium</t>
  </si>
  <si>
    <t>Poids fibre de carbone</t>
  </si>
  <si>
    <t>Poids plastique</t>
  </si>
  <si>
    <t>Poids aluminium</t>
  </si>
  <si>
    <t>Durée de vie d'un drone</t>
  </si>
  <si>
    <t>Surface de bureaux construites</t>
  </si>
  <si>
    <t>Nombre d'ordinateurs</t>
  </si>
  <si>
    <t>Nombre de tablettes</t>
  </si>
  <si>
    <t>FE du bureau sur toute l'ACV (construction, exploitation, maintenance, fin de vie)</t>
  </si>
  <si>
    <t>kgCO2eq/m2/an</t>
  </si>
  <si>
    <t>OID, 2019. Périmètre France</t>
  </si>
  <si>
    <t>FE fibre de carbone</t>
  </si>
  <si>
    <t>FE plastique</t>
  </si>
  <si>
    <t>FE aluminium</t>
  </si>
  <si>
    <t>Durée de vie moyenne d'une tablette</t>
  </si>
  <si>
    <t>Durée de vie moyenne d'un ordinateur</t>
  </si>
  <si>
    <t>La phase utilisation en scénario projet comporte les émissions liées aux vols des drones, à la capture des images et vidéos par les drones, au suivi des drones par ordinateur et tablette, au stockage et traitement des images par tablette et ordinateur.
Scénario de référence : aucun drone ni aucun équipement IT n'existe.</t>
  </si>
  <si>
    <t>Emissions = Emissions liées à la consommation en vol + Emissions liées à la capture et au traitement des données
Emissions liées à la consommation en vol = Nombre de drones utilisés * Nombre moyen d'heure de vol par drone * Energie consommée par heure de vol * Facteur d'émissions électricité pays
Emissions liées à la capture et au traitement des données = Nombre de tablettes utilisées * Energie consommée pour le fonctionnement d'une tablette * Facteur d'émissions électricité pays + Nombre d'ordinateurs utilisés * Energie consommée pour le fonctionnement d'un ordinateur * Facteur d'émissions électricité pays + (Energie consommée par la capture vidéo + Energie consommée par le traitement vidéo) * Facteur d'émissions électricité pays</t>
  </si>
  <si>
    <t>Nombre de tablettes utilisées</t>
  </si>
  <si>
    <t>Nombre d'ordinateurs utilisés</t>
  </si>
  <si>
    <t>Energie liée à la consommation en vol</t>
  </si>
  <si>
    <t>Nombre moyen d'heures de vol par jour par drone</t>
  </si>
  <si>
    <t xml:space="preserve">Nombre moyen de vols par jour par drone </t>
  </si>
  <si>
    <t>Energie consommée par heure de vol</t>
  </si>
  <si>
    <t>Energie consommée par km par drone</t>
  </si>
  <si>
    <t>MJ/km</t>
  </si>
  <si>
    <t>Valeur moyenne par défaut, selon les modèles et les usages précis effectués, forte variation entre 0,02 et 0,4MJ/km
Sources : 
Jarotwan Koiwanit, Analysis of environmental impacts of drone delivery on an online shopping system, 2018
Juan Zhang et al., Energy consumption models for delivery drones: A comparison and assessment, 2021</t>
  </si>
  <si>
    <t>Durée moyenne d'un vol</t>
  </si>
  <si>
    <t>min</t>
  </si>
  <si>
    <t>Selon les caractéristiques des modèles, la batterie des drones permet entre 15 et 30km d'autonomie</t>
  </si>
  <si>
    <t>Distance moyenne d'un vol</t>
  </si>
  <si>
    <t xml:space="preserve">Sources : </t>
  </si>
  <si>
    <t>Juan Zhang et al., Energy consumption models for delivery drones: A comparison and assessment, 2021</t>
  </si>
  <si>
    <t>Paneque-Gálvez et al., Small Drones for Community-Based Forest Monitoring: An Assessment of Their Feasibility and Potential in Tropical Areas. Forests 2014,</t>
  </si>
  <si>
    <t xml:space="preserve">https://doi.org/10.3390/f5061481 </t>
  </si>
  <si>
    <t>Utilisation liée  à la capture et au traitement des données</t>
  </si>
  <si>
    <t>Taille moyenne de vidéo capturée par jour totale</t>
  </si>
  <si>
    <t>Go</t>
  </si>
  <si>
    <t>Taille de vidéo journalière capturée totale : Nombre de drones en vol * nombre de vols par jour * taille de vidéo par drone par vol</t>
  </si>
  <si>
    <t>Taille moyenne de vidéo associée à un vol</t>
  </si>
  <si>
    <t>Taille de la vidéo : durée du vol * taille d'une seconde de vidéo</t>
  </si>
  <si>
    <t>Taille d'une seconde de vidéo</t>
  </si>
  <si>
    <t>Mo/s</t>
  </si>
  <si>
    <t>Hypothèses : caméra type GoPro avec résolution 1080x720 pixels, 8 bits par pixel, à la fréquence de 60 images/seconde.</t>
  </si>
  <si>
    <t>GoPro Video Size Calculator: GoPro HERO Recording Time per GB (videoproc.com)</t>
  </si>
  <si>
    <t>Capture vidéo par jour</t>
  </si>
  <si>
    <t>Taille de vidéo capturée par jour * consommation électrique par Go de donnée</t>
  </si>
  <si>
    <t>Traitement vidéo par jour</t>
  </si>
  <si>
    <t>Energie consommée pour le fonctionnement d'un ordinateur de bureau</t>
  </si>
  <si>
    <t>Energie consommée pour le fonctionnement d'une tablette</t>
  </si>
  <si>
    <t>Emissions liées au changement d'usage des sols</t>
  </si>
  <si>
    <t>Scénario de référence : il se base sur un taux de déforestation moyen sur la zone entrée par hypothèse, supposé correspondre à un passage de foret à culture par hypothèse de défaut.
Scénario avec projet : il capture les émissions évitées liées à une diminution du taux de déforestation sur la zone du projet et augmentation du taux de reboisement permis par le projet.
Note : très forte sensibilité au type de sol lié à la déforestation (prairie, culture, ou sol imperméabilisé).
Le mode simple est utilisé par défaut pour les calculs dans l'onglet "drones" tandis que le mode avancé est utilisé par défaut dans l'onglet "imagerie satellite", ceci afin de montrer les 2 niveaux de précision possibles selon le niveau de granularité des données disponibles.</t>
  </si>
  <si>
    <t>Emissions = somme des différentes émissions liées aux natures de surfaces perdues à cause de la déforestation (qui ne stockeront pas de CO2)</t>
  </si>
  <si>
    <t>Taux de déforestation pays</t>
  </si>
  <si>
    <t>Taux de déforestation pays illustratif CIV, à partir du Projet REDD+, la Mé, 2017</t>
  </si>
  <si>
    <t>Taux de déforestation évité par le projet</t>
  </si>
  <si>
    <t>Exemple de référence :  
projet REDD+, région de la Mé, avec 500ha de déforestation évités pour une superficie de 8200km2, soit 0,06%</t>
  </si>
  <si>
    <t>Taux de reboisement permis par le projet</t>
  </si>
  <si>
    <t>Exemple de référence :  
projet REDD+, région de la Mé, avec 400ha de reboisement effectués pour une superficie de 8200km2, soit 0,05%</t>
  </si>
  <si>
    <t>Superficie de forêts couverte</t>
  </si>
  <si>
    <t>km2</t>
  </si>
  <si>
    <t>FE forêt vers culture</t>
  </si>
  <si>
    <t>FE forêt vers prairie</t>
  </si>
  <si>
    <t>FE prairie vers forêt</t>
  </si>
  <si>
    <t>FE culture vers forêt</t>
  </si>
  <si>
    <t>FE forêt vers sols imperméabilisés</t>
  </si>
  <si>
    <t>Part de forêt dense tropicale</t>
  </si>
  <si>
    <t>Part de forêt décidue humide tropicale</t>
  </si>
  <si>
    <t>Facteur d'émission de la biomasse aérienne en forêt dense tropicale</t>
  </si>
  <si>
    <t>Facteur d'émission de la biomasse aérienne en forêt décidue humide tropicale</t>
  </si>
  <si>
    <t>Facteur d'émission de la biomasse souterraine en forêt dense tropicale</t>
  </si>
  <si>
    <t>Facteur d'émission de la biomasse souterraine en forêt décidue humide tropicale</t>
  </si>
  <si>
    <t>Facteur d'émission de la litière en forêt mature sempervirente</t>
  </si>
  <si>
    <t>Facteur d'émission de la litière en forêt mature décidue humide tropicale</t>
  </si>
  <si>
    <t>Facteur d'émission du bois mort en forêt dense tropicale</t>
  </si>
  <si>
    <t>Facteur d'émission du bois mort en forêt décidue humide tropicale</t>
  </si>
  <si>
    <t>Production des équipements : imagerie satellite</t>
  </si>
  <si>
    <t>Phase utilisation : imagerie satellite</t>
  </si>
  <si>
    <t>Emissions liées à la reforestation</t>
  </si>
  <si>
    <t>Emissions liées à la déforestation</t>
  </si>
  <si>
    <t>Nature des hypothèses principales: Le calcul des émissions évitées via la surveillance de la déforestation par imagerie satellite est permis en prenant en compte les seules données projet disponibles (Projet AFD REDD+, région de la Mé).</t>
  </si>
  <si>
    <t>Pour ce poste d'émissions, nous considérons que l'image satellitaire ne nécessite pas la construction de satellite supplémentaire. La production des équipements dépend ainsi uniquement des terminaux produits sur terre pour analyser les images dérivées des satellites.  Nous ne disposons pas de données permettant d'imputer une quote-part du coût carbone du satellite lui-même.</t>
  </si>
  <si>
    <t>Emissions = Nombre d'ordinateurs * Facteur d'émission d'un ordinateur + émissions liées à l'espace bureaux nécessaire pour le traitement et l'analyse satellitaire</t>
  </si>
  <si>
    <t>Nombre de satellites orbitant autour de la Terre</t>
  </si>
  <si>
    <t>Satellite Database | Union of Concerned Scientists (ucsusa.org)</t>
  </si>
  <si>
    <t>Utilisation des satellites existant?</t>
  </si>
  <si>
    <t>kgCO2eq/m²/an</t>
  </si>
  <si>
    <t>Observatoire de l'Immobilier Durable, 2019, prend en compte l'ensemble de l'ACV du bureau</t>
  </si>
  <si>
    <t>Surface de bureau</t>
  </si>
  <si>
    <t>Durée de vie d'un ordinateur</t>
  </si>
  <si>
    <t>Le poste utilisation capture les émissions associées au fonctionnement général des ordinateurs, au stockage des données associées à l'imagerie satellite et à leur traitement par ordinateur. Les données par défaut proviennent du projet REDD+ en CIV dans la zone de la Mé.</t>
  </si>
  <si>
    <t>Emissions = Emissions liées au traitement de l'image + Emissions liées à l'exploitation des données
Emissions liées au traitement de l'image = Nombre de captures par an * (Superficie couverte / Taille des scénes Sentinel-2A) * Capacité d'une scène en Go * (Consommation électrique réseau par Go + Consommation des Data centers par Go) * Facteur d'émissions électricité du pays
Emissions liées à l'exploitation des données = Nombre d'ordinateurs * Energie consommée par un ordinateur de bureau * Facteur d'émissions électricité du pays</t>
  </si>
  <si>
    <t>Emissions liées au traitement de l'image</t>
  </si>
  <si>
    <t>Superficie couverte</t>
  </si>
  <si>
    <t>Nombre de captures par an</t>
  </si>
  <si>
    <t>170913_rapport_technique_occsol_me_vf.pdf (nitidae.org)</t>
  </si>
  <si>
    <t>Répétitivité de 5 jours des images satellites capturées</t>
  </si>
  <si>
    <t>Taille des scènes Sentinel-2A disponibles en téléchargement pour traiter l'image</t>
  </si>
  <si>
    <t>km²</t>
  </si>
  <si>
    <t>Taille d'une scène</t>
  </si>
  <si>
    <t>Emissions liées à l'exploitation des données</t>
  </si>
  <si>
    <t>Energie consommée par un ordinateur de bureau</t>
  </si>
  <si>
    <t>Ce poste capture les émissions évitées liées à la reforestation de zones utilisées pour les cultures dans le cadre d'un projet global de lutte contre la déforestation et aide à la reforestation.</t>
  </si>
  <si>
    <t>Emissions = Surface de foret intacte replantée * Capture de carbone par des forets intactes * Facteur de conversion de carbone en équivalent CO2</t>
  </si>
  <si>
    <t>Surface de forêt intacte replantée</t>
  </si>
  <si>
    <t>ha</t>
  </si>
  <si>
    <t>Exemple illustratif, projet REDD+ la Mé</t>
  </si>
  <si>
    <t>Facteur d'émissions culture vers forêt</t>
  </si>
  <si>
    <t>Capture de carbone par hectare par an par des forêts intactes</t>
  </si>
  <si>
    <t>/hectare/an</t>
  </si>
  <si>
    <t>Science Journals — AAAS (sciencemag.org)</t>
  </si>
  <si>
    <t>Facteur de conversion de carbone en équivalent CO2</t>
  </si>
  <si>
    <t>Ce poste suit une logique identique à celui de l'onglet précédent "déforestation drones".
Le mode simple est utilisé par défaut pour les calculs dans l'onglet "drones" tandis que le mode avancé est utilisé par défaut dans l'onglet "imagerie satellite", ceci afin de montrer les 2 niveaux de précision possibles selon le niveau de granularité des données disponibles.</t>
  </si>
  <si>
    <t>Pourcentage de superficie forestière déforestée évitée grâce à la surveillance</t>
  </si>
  <si>
    <t>Facteur d'émissions forêt vers culture</t>
  </si>
  <si>
    <t>Facteur d'émissions forêt vers prairie</t>
  </si>
  <si>
    <t>Facteur d'émissions prairie vers forêt</t>
  </si>
  <si>
    <t>Facteur d'émissions forêt vers sols imperméabilisés</t>
  </si>
  <si>
    <t>Pertes de carbone de la biomasse aérienne dues à la déforestation</t>
  </si>
  <si>
    <t>Surface perdue de forêts denses tropicales</t>
  </si>
  <si>
    <t>Surface perdue de forêts décidues humides tropicales</t>
  </si>
  <si>
    <t>Biomasse aérienne des forêts denses tropicales</t>
  </si>
  <si>
    <t>tms/ha</t>
  </si>
  <si>
    <t>Biomasse aérienne des forêts décidues humides tropicales</t>
  </si>
  <si>
    <t>Facteur de conversion de la fraction carbonée de la matière sèche dans la biomasse vivante</t>
  </si>
  <si>
    <t>Pertes de carbone de la biomasse souterraine dues à la déforestation</t>
  </si>
  <si>
    <t>Taux de biomasse souterraine par rapport à la biomasse aérienne en forêt dense tropicale</t>
  </si>
  <si>
    <t>Taux de biomasse souterraine par rapport à la biomasse aérienne en forêt décidue humide tropicale</t>
  </si>
  <si>
    <t>Pertes de carbone de la litière dues à la déforestation</t>
  </si>
  <si>
    <t>Surface perdue de forêts mature sempervirente</t>
  </si>
  <si>
    <t>Stock de carbone de la litière en forêt mature sempervirente</t>
  </si>
  <si>
    <t>tC/ha</t>
  </si>
  <si>
    <t>Stock de carbone de la litière en forêt mature décidue humide tropicale</t>
  </si>
  <si>
    <t>Pertes de carbone du bois mort</t>
  </si>
  <si>
    <t>Biomasse bois mort des forêts denses tropicales</t>
  </si>
  <si>
    <t>Biomasse bois mort des forêts décidues humides tropicales</t>
  </si>
  <si>
    <t>Facteur de conversion de la fraction carbonée de la matière sèche dans le bois mort</t>
  </si>
  <si>
    <t>Emissions relatives</t>
  </si>
  <si>
    <t>Emissions absolues</t>
  </si>
  <si>
    <t>Part d'électricité renouvelable dans l'approvisionnement du Data Center</t>
  </si>
  <si>
    <t>Part d'électricité non renouvelable dans l'approvisionnement du Data Center</t>
  </si>
  <si>
    <t>Rappel des hypothèses : à modifier dans onglet "hypothèses projet" si besoin</t>
  </si>
  <si>
    <t>A NE PAS MODIFIER. Chiffres repris des cellules rentrées en hypothèse pour la phase production</t>
  </si>
  <si>
    <t>Population totale du pays cible (millions d'hab)</t>
  </si>
  <si>
    <t>Par défaut, un ratio entre Suisse et pays cible est appliqué selon leurs populations respectives
Données macro souvent disponibles au niveau du pays</t>
  </si>
  <si>
    <t>Population du pays cible</t>
  </si>
  <si>
    <t>Volume total de données en 2030 du pays cible (illustratif Colombie par défaut)</t>
  </si>
  <si>
    <t>Volume total de données en 2020 du pays cible (illustratif Colombie par défaut)</t>
  </si>
  <si>
    <t>Population du pays cible (illustratif Colombie par défaut)</t>
  </si>
  <si>
    <t>Population rurale du pays cible (illustratif Colombie par défaut)</t>
  </si>
  <si>
    <t>Pourcentage de population rurale du pays cible (illustratif Colombie par défaut)</t>
  </si>
  <si>
    <t>Illustratif, exemple de la Colombie</t>
  </si>
  <si>
    <t>Part d'agriculteurs du pays cible (illustratif Colombie par défaut)</t>
  </si>
  <si>
    <t>Note introductive : les émissions associées à cet onglet sont extrêmement significatives (en MtCO2eq) car le périmètre pris par défaut à titre illustratif concerne l'ensemble du pays d'application du projet (ici la Colombie à titre illustratif par défaut) et non une zone spécifique où aurait lieu un projet (voir détail des hypothèses ci-dessous). Cette approche permet de prendre en compte des effets "systémiques" observés uniquement à une échelle macro.</t>
  </si>
  <si>
    <t>ACV</t>
  </si>
  <si>
    <t>Analyse de Cycle de Vie</t>
  </si>
  <si>
    <t>"Waste electrical and electronic equipment"</t>
  </si>
  <si>
    <t>Power Usage Effectiveness, désigne le ratio entre consommation d'énergie de l'ensemble du data center et consommation d'énergie de l'équipement IT uniquement.</t>
  </si>
  <si>
    <r>
      <t xml:space="preserve">Par défaut, 3 profils de télétravailleur sont à renseigner en hypothèses utilisateur (% de la pop. Active contenue dans chaque profil, et nombre de jours hebdomadaires de télétravail pour chaque profil). </t>
    </r>
    <r>
      <rPr>
        <b/>
        <u/>
        <sz val="11"/>
        <rFont val="Gill Sans MT"/>
        <family val="2"/>
      </rPr>
      <t>Ces profils types sont à adapter selon le pays d'application</t>
    </r>
  </si>
  <si>
    <t>Choix du profil type de ville auquel s'apparent le plus la ville du projet. Les hypothèses associées à chaque profil type sont décrites dans les lignes 80 à 120.</t>
  </si>
  <si>
    <r>
      <t xml:space="preserve">Pour ce poste d'émissions ainsi que le suivant lié au report modal indirect, 4 profils type de ville sont définis. Ces villes comportent une part modale de transports en commun et une distance de trajet domicile-travail fortement variables. 
</t>
    </r>
    <r>
      <rPr>
        <b/>
        <u/>
        <sz val="11"/>
        <rFont val="Gill Sans MT"/>
        <family val="2"/>
      </rPr>
      <t>Le but est de pouvoir lier en 1ère approche la ville du projet à l'un de ces profils types selon ses caractéristiques (part de transports en commun dans les trajets domicile-travail, FE des véhicules routiers, ...) .</t>
    </r>
  </si>
  <si>
    <t>Le transfert ou report modal désigne la modification des parts de marché des différents modes de transport entre elles. Elle est le plus couramment utilisée dans le sens de la promotion des alternatives à l'automobile. Le poste "report modal direct" inclut donc les modifications d'usages directes, à savoir ceux dans les trajets domicile-travail.</t>
  </si>
  <si>
    <t>Le transfert ou report modal désigne la modification des parts de marché des différents modes de transport entre elles. Elle est le plus couramment utilisée dans le sens de la promotion des alternatives à l'automobile. Le poste "report modal indirect" inclut donc les modifications d'usages indirectes, pour les déplacements du quotidien autres que ceux domicile-travail qui pourraient subvenir du fait du télétravail. Ces nouveaux déplacements sont comptabilisés via une agrégation à l'échelle annuelle du kilométrage additionnel induit.</t>
  </si>
  <si>
    <t xml:space="preserve">Définition du report modal indirect et de ce qu'inclut ce poste : </t>
  </si>
  <si>
    <t xml:space="preserve">Définition du report modal direct et de ce qu'inclut ce poste : </t>
  </si>
  <si>
    <t>Nombre de serveur physiques initial</t>
  </si>
  <si>
    <t>Nombre de serveur virtuels initial</t>
  </si>
  <si>
    <t>Nombre de serveur physiques final</t>
  </si>
  <si>
    <t>Nombre de serveur virtuels final</t>
  </si>
  <si>
    <t>NRDC, 2014, Scaling Up Energy Efficiency Across the Data Center Industry (AWS donne par exemple un taux moins conservateur à 65% pour ses serveurs)</t>
  </si>
  <si>
    <t>Poids moyen de 11,5kg pris par défaut</t>
  </si>
  <si>
    <t>Hypothèse utilisateur qui permet de prendre en compte les émissions liées à la production des composantes du bâtiment (portes, murs, sol, …)</t>
  </si>
  <si>
    <t>Poids total d'équipement IT</t>
  </si>
  <si>
    <t>Date de pleine exploitation ( pour l'onglet data center)</t>
  </si>
  <si>
    <t>Durée du projet (nb d'années)</t>
  </si>
  <si>
    <t>Chantier et production associés à la pose du réseau</t>
  </si>
  <si>
    <t>Construction : matériaux utilisés sur le chantier</t>
  </si>
  <si>
    <t>Outil BC AFD, partie construction, sous-partie énergie. Ratio spécifique consolidé construit par Carbone 4 lors de la réalisation de l'outil BC pour l'AFD.</t>
  </si>
  <si>
    <t>Inclut le processus d'excavation et le transport des matériaux extraits</t>
  </si>
  <si>
    <t>Durée du chantier</t>
  </si>
  <si>
    <t>Date de fin du projet</t>
  </si>
  <si>
    <t>Puissance du routeur de 11W par défaut</t>
  </si>
  <si>
    <t>Nature des hypothèses principales: 
Le calcul des émissions évitées via la surveillance de la déforestation par imagerie drone est permis en prenant en compte les seules données projet disponibles (Projet AFD REDD+, région de la Mé).</t>
  </si>
  <si>
    <t xml:space="preserve">Puissance moyenne du data center : </t>
  </si>
  <si>
    <t>Part d'électricité dans l'approvisionnement du Data Center</t>
  </si>
  <si>
    <t>PUE réel = (PUE théorique + PUE théorique* (1 - Taux d'utilisation moyen des serveurs)) * (1 - Part d'approvisionnement en énergies renouvelables)</t>
  </si>
  <si>
    <t>Emissions comparées en phase utilisation = PUE réel du data center * puissance du data center *24 * 365 * FE électricité du pays</t>
  </si>
  <si>
    <t>Souvent, la donnée du PUE disponible n'intègre pas les taux d'utilisation des serveurs (&lt;100%) et tend donc à surestimer l'efficacité du data center. La cellule "PUE réel" est utilisée dans le calcul des émissions. Cette cellule peut directement être modifiée si l'utilisateur connait le PUE réel du data center. Dans le cas contraire, cette valeur est issue de l'application d'une pondération selon les taux d'utilisation des serveurs physiques et virtuels, et de l'ajout d'un facteur additionnel incluant les consommations des équipements non-IT</t>
  </si>
  <si>
    <t>Emissions après fonctionnement à 100% du data center = émissions liées au renouvellement d'1/3 du parc de serveurs (car durée de vie 3 ans)</t>
  </si>
  <si>
    <t>La majorité des Data Centers opèrent à 100% à l'électricité. Néanmoins, dans le but d'avoir une métrique comparable entre un site qui générerait l'électricité sur place ou non, divers organismes dont la "Global Harmonization of Data center efficiency metrics" Task Force recommandent l'utilisation d'un facteur de conversion. (ex : approvisionnement à 80% en électricité venant "du réseau" et à 20% en gaz naturel, puis conversion sur site du gaz naturel en électricité pour les besoins du data center).
Ainsi, si utilisation de plusieurs sources d'énergie pour produire l'électricité utilisée sur site par le data center, des facteurs de pondération des différentes sources d'énergie permettent de traduire les consommations énergétiques d'énergie primaire liées à leur conversion en électricité spécifiquement pour le site ou non. Le facteur de conversion prend en compte ces pertes en modulant le PUE du data center via les facteurs de pondération ci-dessous. Les facteurs utilisés sont des moyennes mondiales. Pour une analyse plus fine, il faudra de fait prendre les facteurs régionaux.</t>
  </si>
  <si>
    <t>Concept technique qui nécessite de connaitre la part d'électricité vs. Autres énergies primaires dans l'approvisionnement du data center.
Initialisé à 1 par défaut : correspond à un approvisionnement 100% électrique par défaut.</t>
  </si>
  <si>
    <t>Facteur de pondération pour les autres énergies (valeur globale par défaut)</t>
  </si>
  <si>
    <t>4. Pour chaque onglet, le Facteur d'Emissions (FE) liée à l'électricité pour la Colombie a été choisi à titre illustratif. Ce FE est faible au regard de la moyenne mondiale, et ceci modifiera fortement le poids relatif de l'ensemble des postes d'émissions.</t>
  </si>
  <si>
    <t>3. Pour chaque brique, une indication synthétique sur la méthode de calcul et la nature du calcul utilisée est explicitée.</t>
  </si>
  <si>
    <t>Scope 1</t>
  </si>
  <si>
    <t>Scope 2</t>
  </si>
  <si>
    <t>Scope 3</t>
  </si>
  <si>
    <t>Part d'autres énergies converties sur site en électricité dans l'approvisionnement du Data Center</t>
  </si>
  <si>
    <t>Report de consommation mobile 4G vers fibre (%)</t>
  </si>
  <si>
    <t>Report de consommation cuivre vers fibre (%)</t>
  </si>
  <si>
    <t>Hypothèse utilisateur entrée en début d'onglet</t>
  </si>
  <si>
    <t>Nombre de machines excavatrices sur le chantier</t>
  </si>
  <si>
    <t>Fonctionnement d'une machine excavatrice</t>
  </si>
  <si>
    <t>Outil BC AFD, partie construction, sous-partie énergie
Ratio générique qui permet de définir un ordre de grandeur des émissions liées aux fonctionnement des machines sur chantier</t>
  </si>
  <si>
    <t>jours</t>
  </si>
  <si>
    <t>kgCO2eq/machine.jour</t>
  </si>
  <si>
    <t>unités</t>
  </si>
  <si>
    <t>Opérations d'excavation et re-remplissage / ratio générique</t>
  </si>
  <si>
    <t>Construction : opérations liées au chantier</t>
  </si>
  <si>
    <t>emissions la 1ère année = nombre de pylones * facteur d'émission pour un pylone + taille de câble * facteur d'émission pour un cable + émissions liées aux opérations sur chantier
emissions ensuite = nombre de ménages raccordés * facteur d'émission pour un modem fibre / durée de vie des modem</t>
  </si>
  <si>
    <t>Emissions totales liées aux opérations sur chantier</t>
  </si>
  <si>
    <t>Sous catégorie utilisée</t>
  </si>
  <si>
    <t>Remarque</t>
  </si>
  <si>
    <t>Information indicative présente au niveau du poste d'émission indiquée par un bandeau situé au-dessus du nom du poste d'émission dans les onglets ad-hoc</t>
  </si>
  <si>
    <t>Information indicative présente au niveau du poste d'émission dans l'onglet "Résultats généraux"</t>
  </si>
  <si>
    <t>4.  Dans cette version initiale, les hypothèses, commentaires et sources associées sont détaillées à côté de chaque valeur lorsque cela est jugé pertinent.</t>
  </si>
  <si>
    <t>Reprise de la cellule C14 de l'onglet "hypothèses projet"</t>
  </si>
  <si>
    <r>
      <t xml:space="preserve">Concernant l'onglet "Extension 5G", le choix volontaire a été fait de ne pas étendre la durée du projet initial qui allait jusqu'à 2030, ni de variabiliser la temporalité comme cela a été fait dans les autres onglets.
Ce choix se justifie par le fait que la source principale sur laquelle les hypothèses de l'onglet s'appuient est l'étude "Empreinte carbone du déploiement de la 5G en France - Citizing pour le Haut Conseil pour le Climat", dont la prospective s'arrête à 2030. Qui plus est, l'ensemble des sources de la littérature préconisent des horizons d'analyse ne dépassant pas 10 ans, cohérents donc avec une limite à 2030. En effet, compte tenu des taux de croissance particulièrement forts et des incertitudes quant au déploiement effectif de la 5G et ses conséquences, d'éventuelles extrapolation linéaires des tendances sur horizon 2021-2030 ne feraient pas sens et risqueraient d'induire des erreurs significatives dans l'analyse et le jugement conséquent.
</t>
    </r>
    <r>
      <rPr>
        <b/>
        <u/>
        <sz val="11"/>
        <color theme="1"/>
        <rFont val="Calibri"/>
        <family val="2"/>
        <scheme val="minor"/>
      </rPr>
      <t>Concrètement, un utilisateur souhaitant évaluer un projet incluant l'onglet "Extension 5G" ne devra pas mettre une date de fin ultérieure à 2030 en hypothèse afin de conserver une cohérence dans les résultats. Tout utilisateur peut bien entendu modifier le fichier et décider d'inclure une extrapolation linéaire des impacts sur la période future.</t>
    </r>
  </si>
  <si>
    <t xml:space="preserve">Puissance initiale nécessaire au fonctionnement des serveurs du data center : </t>
  </si>
  <si>
    <t xml:space="preserve">Puissance finale nécessaire au fonctionnement des serveurs du data center : </t>
  </si>
  <si>
    <t>Puissance finale réelle appelée sur le réseau (incluant PUE réel final)</t>
  </si>
  <si>
    <t>Puissance initiale réelle appelée sur le réseau (incluant PUE réel initial)</t>
  </si>
  <si>
    <t xml:space="preserve">Emissions comparées en phase utilisation =émissions projet - émissions référence
</t>
  </si>
  <si>
    <t>Emissions référence (resp.projet) = puissance appelée sur le réseau * 24 * 365 * facteur d'émission de l'électricité du pays
Puissance appelée sur le réseau = PUE * puissance nécessaire au fonctionnement des serveurs</t>
  </si>
  <si>
    <t>PUE réel = PUE théorique moyen (issu de sources académiques) * moyenne pondérée des taux d'utilisation des serveurs (permettant de prendr en compte la redondance des serveurs)</t>
  </si>
  <si>
    <t>La cellule "PUE réel" est utilisée dans le calcul des émissions. Cette cellule peut directement être modifiée si l'utilisateur connait le PUE réel du data center. Dans le cas contraire, cette valeur est issue de l'application d'une pondération selon les taux d'utilisation des serveurs physiques et virtuels, et de l'ajout d'un facteur additionnel incluant les consommations des équipements non-IT. 
L'objectif est de pouvoir prendre en compte les différentes opérations (virtualisation des serveurs, décomissionnement de serveurs, redistribution des applications amenant à un meilleur taux d'utilisation des serveurs existants, amélioration des processus de refroidissement conduisant à une diminution du PUE, ...) en modifiant l'ensemble des paramètres en jeu.</t>
  </si>
  <si>
    <t>A modifier uniquement si données projets plus précises disponibles</t>
  </si>
  <si>
    <t>La solution choisie est d'opter pour le potentiel de réduction des émissions du CO2 dans le secteur agricole, et l'appliquer aux agriculteurs ayant accès à la 5G et consultant des vidéos agricoles pour la formation. Une méthode plus fine permettrait d'avoir des résultats plus précis.
L'hypothèse centrale concernant l'estimation du potentiel d'atténuation global dans le secteur agricole provient de Smith et al (2007), qu'ils estiment à l'époque à 6 GtCO2e, avec 2 % pour les cultures et pâturages, 4,5 % pour l’élevage et 4,5 % pour la riziculture. Les 89 % restant correspondant à la séquestration du carbone dans le sol.</t>
  </si>
  <si>
    <t xml:space="preserve">Voir notice explicative ligne 29, hypothèses ci-contre issues de IPCC 2007 et reprises par le think tank I4CE :
Smith, P., et al. Agriculture. In Climate Change 2007: Contribution of Working Group III to the Fourth Assessment Report of the Intergovernmental Panel on Climate Change. Cambridge: Cambridge University Press, 2007.
</t>
  </si>
  <si>
    <t>Hypothèses projet : en contexte urbain</t>
  </si>
  <si>
    <t>Hypothèses projet : en contexte rural</t>
  </si>
  <si>
    <t>Analyse de l'impact total du projet numérique</t>
  </si>
  <si>
    <t>COMPOSANTES URBAINES DU PROJET</t>
  </si>
  <si>
    <t>COMPOSANTES RURALES DU PROJET</t>
  </si>
  <si>
    <t>Le projet a une composante Data Center ?</t>
  </si>
  <si>
    <t>Sous-composantes data center prises en compte ?</t>
  </si>
  <si>
    <t>Le projet développe les pratiques de télétravail ?</t>
  </si>
  <si>
    <t>Sous-composantes télétravail prises en compte ?</t>
  </si>
  <si>
    <t>Sous-composantes fibre optique prises en compte ?</t>
  </si>
  <si>
    <t>Le projet a un impact sur les terminaux utilisateurs et les objets connectés (IoT) ?</t>
  </si>
  <si>
    <t>Sous-composante terminaux et IoT prises en compte ?</t>
  </si>
  <si>
    <t>Choix du profil-type de ville
 (pour onglet télétravail)</t>
  </si>
  <si>
    <t>Le projet déploie un réseau de fibre optique ?</t>
  </si>
  <si>
    <t>Sous-composantes extension 5G prises en compte ?</t>
  </si>
  <si>
    <t>Le projet étend un réseau mobile 5G ?</t>
  </si>
  <si>
    <t>Sous-composantes pratiques agricoles prises en compte ?</t>
  </si>
  <si>
    <t>Le projet a un impact sur l'adoption des pratiques agricoles atténuatrices des émissions de GES ?</t>
  </si>
  <si>
    <t>Sous-composantes déforestation imagerie satellite prises en compte ?</t>
  </si>
  <si>
    <t>Le projet réduit la déforestation grâce à l'imagerie par drones ?</t>
  </si>
  <si>
    <t>Le projet réduit la déforestation grâce à l'imagerie satellite ?</t>
  </si>
  <si>
    <t>Sous-composante déforestation imagerie drones prises en comptes ?</t>
  </si>
  <si>
    <t>Rappel des sous-composantes prises en compte</t>
  </si>
  <si>
    <t>Remplacer le réseau cuivre (DSL) par le réseau fibre</t>
  </si>
  <si>
    <t>Remplacer l'usage de la 3G/4G par le wifi sur fibre optique</t>
  </si>
  <si>
    <t>Report modal indirect (nouveaux déplacements induits par le télétravail)</t>
  </si>
  <si>
    <t>Report modal direct (effets du télétravail sur le transport domicile-travail)</t>
  </si>
  <si>
    <t>Consommation en immobilier de bureaux</t>
  </si>
  <si>
    <t>Consommation électrique des foyers</t>
  </si>
  <si>
    <t>Production et achat d'équipements numériques additionnels</t>
  </si>
  <si>
    <t>Changement de data center : Renouvellement des équipements</t>
  </si>
  <si>
    <t>Changement de data center : Consommations énergétiques en phase utilisation</t>
  </si>
  <si>
    <t>Production de terminaux numériques additionnels</t>
  </si>
  <si>
    <t>Extension du réseau 5G</t>
  </si>
  <si>
    <t>Adoption de pratiques agricoles atténuatrices des émissisons de GES</t>
  </si>
  <si>
    <t>Production de terminaux et objets connectés (IoT)</t>
  </si>
  <si>
    <t>Evolution des pratiques agricoles grâce à des applications 5G (agriculture de précision)</t>
  </si>
  <si>
    <t>Evolution des pratiques agricoles grâce à des réseaux sociaux (agroécologie connectée)</t>
  </si>
  <si>
    <t>Augmentation de la consommation de données 
dans les terminaux utilisateurs (End Users)</t>
  </si>
  <si>
    <r>
      <t xml:space="preserve">1. Pour chaque brique, des données de 2 natures distinctes sont présentes.
&gt; Les </t>
    </r>
    <r>
      <rPr>
        <b/>
        <sz val="11"/>
        <color theme="1"/>
        <rFont val="Calibri"/>
        <family val="2"/>
        <scheme val="minor"/>
      </rPr>
      <t>hypothèses utilisateur (cellules en jaune)</t>
    </r>
    <r>
      <rPr>
        <sz val="11"/>
        <color theme="1"/>
        <rFont val="Calibri"/>
        <family val="2"/>
        <scheme val="minor"/>
      </rPr>
      <t xml:space="preserve"> ont vocation à être modifiées lors de chaque projet </t>
    </r>
    <r>
      <rPr>
        <b/>
        <sz val="11"/>
        <color theme="1"/>
        <rFont val="Calibri"/>
        <family val="2"/>
        <scheme val="minor"/>
      </rPr>
      <t>selon les données disponibles spécifiques au projet</t>
    </r>
    <r>
      <rPr>
        <sz val="11"/>
        <color theme="1"/>
        <rFont val="Calibri"/>
        <family val="2"/>
        <scheme val="minor"/>
      </rPr>
      <t xml:space="preserve">. Des valeurs illustratives par défaut sont fournies. 
&gt; Les autres cellules n'ont en revanche à priori pas cette vocation et constituent des </t>
    </r>
    <r>
      <rPr>
        <b/>
        <sz val="11"/>
        <color theme="1"/>
        <rFont val="Calibri"/>
        <family val="2"/>
        <scheme val="minor"/>
      </rPr>
      <t>hypothèse généralistes</t>
    </r>
    <r>
      <rPr>
        <sz val="11"/>
        <color theme="1"/>
        <rFont val="Calibri"/>
        <family val="2"/>
        <scheme val="minor"/>
      </rPr>
      <t>.</t>
    </r>
  </si>
  <si>
    <r>
      <t>tCO</t>
    </r>
    <r>
      <rPr>
        <vertAlign val="subscript"/>
        <sz val="11"/>
        <color theme="1"/>
        <rFont val="Calibri"/>
        <family val="2"/>
        <scheme val="minor"/>
      </rPr>
      <t>2eq</t>
    </r>
    <r>
      <rPr>
        <sz val="11"/>
        <color theme="1"/>
        <rFont val="Calibri"/>
        <family val="2"/>
        <scheme val="minor"/>
      </rPr>
      <t>/unité</t>
    </r>
  </si>
  <si>
    <r>
      <t xml:space="preserve">Projet: </t>
    </r>
    <r>
      <rPr>
        <sz val="11"/>
        <rFont val="Calibri"/>
        <family val="2"/>
        <scheme val="minor"/>
      </rPr>
      <t>Surveillance de la déforestation et de la reforestation via l'imagerie par drones</t>
    </r>
  </si>
  <si>
    <r>
      <t>téqCO</t>
    </r>
    <r>
      <rPr>
        <vertAlign val="subscript"/>
        <sz val="11"/>
        <color theme="1"/>
        <rFont val="Calibri"/>
        <family val="2"/>
        <scheme val="minor"/>
      </rPr>
      <t>2</t>
    </r>
    <r>
      <rPr>
        <sz val="11"/>
        <color theme="1"/>
        <rFont val="Calibri"/>
        <family val="2"/>
        <scheme val="minor"/>
      </rPr>
      <t>/unité</t>
    </r>
  </si>
  <si>
    <r>
      <t>téqCO</t>
    </r>
    <r>
      <rPr>
        <vertAlign val="subscript"/>
        <sz val="11"/>
        <color theme="1"/>
        <rFont val="Calibri"/>
        <family val="2"/>
        <scheme val="minor"/>
      </rPr>
      <t>2</t>
    </r>
    <r>
      <rPr>
        <sz val="11"/>
        <color theme="1"/>
        <rFont val="Calibri"/>
        <family val="2"/>
        <scheme val="minor"/>
      </rPr>
      <t>/tonnes</t>
    </r>
  </si>
  <si>
    <r>
      <t xml:space="preserve">Projet: </t>
    </r>
    <r>
      <rPr>
        <sz val="11"/>
        <rFont val="Calibri"/>
        <family val="2"/>
        <scheme val="minor"/>
      </rPr>
      <t>Surveillance de la déforestation et de la reforestation via l'imagerie par satellites</t>
    </r>
  </si>
  <si>
    <r>
      <t xml:space="preserve">Projet: </t>
    </r>
    <r>
      <rPr>
        <sz val="11"/>
        <rFont val="Calibri"/>
        <family val="2"/>
        <scheme val="minor"/>
      </rPr>
      <t>Evolution des pratiques agricoles par l'usage des réseaux sociaux et le deploiement de la 5G en Colombie</t>
    </r>
  </si>
  <si>
    <t>Note introductive : les émissions associées à cet onglet sont extrêmement significatives (en MtCO2eq) car le périmètre pris par défaut à titre illustratif concerne l'ensemble d'un pays et non une zone spécifique où aurait lieu un projet (voir détail des hypothèses ci-dessous). Cette approche permet de prendre en compte les effets observés uniquement à l'échelle globale.</t>
  </si>
  <si>
    <r>
      <rPr>
        <u/>
        <sz val="11"/>
        <rFont val="Calibri"/>
        <family val="2"/>
        <scheme val="minor"/>
      </rPr>
      <t>VOIR les hypothèses utilisateur</t>
    </r>
    <r>
      <rPr>
        <sz val="11"/>
        <rFont val="Calibri"/>
        <family val="2"/>
        <scheme val="minor"/>
      </rPr>
      <t xml:space="preserve"> pour faire varier les valeurs mises à titre illustratif</t>
    </r>
  </si>
  <si>
    <r>
      <t xml:space="preserve">Ce poste concerne aussi bien le cas d'un projet d'extension du réseau fibre optique que celui d'un report RTC vers FO, pour lequel un chantier aura tout de même lieu. 
Les émissions en phase production incluent les émissions liées aux principales opérations sur chantier et à la production des matériaux. Ces matériaux composent les modems, les pylônes (cas d'un réseau aérien) et les câbles.  </t>
    </r>
    <r>
      <rPr>
        <b/>
        <u/>
        <sz val="11"/>
        <rFont val="Calibri"/>
        <family val="2"/>
        <scheme val="minor"/>
      </rPr>
      <t xml:space="preserve">Pour un projet aérien, il faut mettre à 0 les composantes liées au souterrain (excavation, etc.). Inversement, pour un projet souterrain, mettre a zéro la composante aérienne. Ceci permet de ne pas comptabiliser des émissions qui n'auraient pas lieu. </t>
    </r>
  </si>
  <si>
    <r>
      <rPr>
        <sz val="11"/>
        <color rgb="FFFF0000"/>
        <rFont val="Calibri"/>
        <family val="2"/>
        <scheme val="minor"/>
      </rPr>
      <t>A modifier uniquement si données projets plus précises disponibles</t>
    </r>
    <r>
      <rPr>
        <sz val="11"/>
        <color theme="1"/>
        <rFont val="Calibri"/>
        <family val="2"/>
        <scheme val="minor"/>
      </rPr>
      <t xml:space="preserve">
Une surpondération de 40% est appliquée afin de prendre en compte la consommation électrique liée aux composantes non-IT. La valeur de 43% provient de l'étude ci-dessous en date de 2016 sur la moyenne des data centers aux US en 2014, étude prise comme référence à date par de nombreux think tank tels que The Shift Project.</t>
    </r>
  </si>
  <si>
    <r>
      <rPr>
        <sz val="11"/>
        <color rgb="FFFF0000"/>
        <rFont val="Calibri"/>
        <family val="2"/>
        <scheme val="minor"/>
      </rPr>
      <t>Données utilisateur à modifier si données projet plus précises disponibles</t>
    </r>
    <r>
      <rPr>
        <sz val="11"/>
        <rFont val="Calibri"/>
        <family val="2"/>
        <scheme val="minor"/>
      </rPr>
      <t xml:space="preserve">
0,33kW par défaut, source : United States Data Center Energy Usage Report. Lawrence Berkeley National Laboratory, Berkeley, California, 201</t>
    </r>
  </si>
  <si>
    <r>
      <rPr>
        <sz val="11"/>
        <color theme="1"/>
        <rFont val="Calibri"/>
        <family val="2"/>
        <scheme val="minor"/>
      </rPr>
      <t xml:space="preserve">1. Chaque onglet correspond à une sous-catégorie de projet numérique : </t>
    </r>
    <r>
      <rPr>
        <b/>
        <sz val="11"/>
        <color theme="1"/>
        <rFont val="Calibri"/>
        <family val="2"/>
        <scheme val="minor"/>
      </rPr>
      <t xml:space="preserve">
&gt; Projet de data center (nouveau ou rénovation d'un existant)
&gt; Dispositif d'élargissement du télétravail
&gt; Projet de fibre optique (extension du réseau FO ou passage de cuivre RTC vers FO)
&gt; Extension du réseau 5G
&gt; Evolution des pratiques agricoles par l'usage des réseaux sociaux.
&gt; Surveillance de la déforestation et de la reforestation via l'imagerie par drones
&gt; Surveillance de la déforestation et de la reforestation via l'imagerie par satellites</t>
    </r>
  </si>
  <si>
    <t>Copyright et licence d'utilisation</t>
  </si>
  <si>
    <t>L'ensemble de ce fichier et document constitué de plusieurs onglets, de données et de formules, est distribuée sous licence Creative Commons "Attribution - Partage dans les Mêmes Conditions 2.0 France (CC BY-SA 2.0 FR)" disponible en téléchargement à cette adresse : https://creativecommons.org/licenses/by-sa/2.0/fr/
Les droits d'auteur sont ceux de l'Agence Française de Développement (AFD) et des contributeurs à l'amélioration du document.
Conformément à cette licence, votre usage devra mentionner l'AFD dans ses crédits, intégrer le lien ci-dessus vers la licence et distribuer votre éventuelle propre version sous la même licence et sans restriction supplémentaire.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</si>
</sst>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_-* #,##0_-;\-* #,##0_-;_-* &quot;-&quot;??_-;_-@_-"/>
    <numFmt numFmtId="165" formatCode="0.0E+00"/>
    <numFmt numFmtId="166" formatCode="0.0"/>
    <numFmt numFmtId="167" formatCode="0.000"/>
    <numFmt numFmtId="168" formatCode="_-* #,##0.0_-;\-* #,##0.0_-;_-* &quot;-&quot;??_-;_-@_-"/>
    <numFmt numFmtId="169" formatCode="_-* #,##0.000_-;\-* #,##0.000_-;_-* &quot;-&quot;??_-;_-@_-"/>
    <numFmt numFmtId="170" formatCode="#,##0_ ;\-#,##0\ "/>
    <numFmt numFmtId="171" formatCode="_-* #,##0.0\ _€_-;\-* #,##0.0\ _€_-;_-* &quot;-&quot;?\ _€_-;_-@_-"/>
  </numFmts>
  <fonts count="38" x14ac:knownFonts="1">
    <font>
      <sz val="11"/>
      <color theme="1"/>
      <name val="Calibri"/>
      <family val="2"/>
      <scheme val="minor"/>
    </font>
    <font>
      <sz val="11"/>
      <color theme="1"/>
      <name val="Calibri"/>
      <family val="2"/>
      <scheme val="minor"/>
    </font>
    <font>
      <b/>
      <sz val="14"/>
      <color theme="0"/>
      <name val="Gill Sans MT"/>
      <family val="2"/>
    </font>
    <font>
      <b/>
      <sz val="12"/>
      <color theme="1"/>
      <name val="Gill Sans MT"/>
      <family val="2"/>
    </font>
    <font>
      <b/>
      <sz val="9"/>
      <color theme="1"/>
      <name val="Gill Sans MT"/>
      <family val="2"/>
    </font>
    <font>
      <sz val="11"/>
      <color theme="1"/>
      <name val="Gill Sans MT"/>
      <family val="2"/>
    </font>
    <font>
      <b/>
      <sz val="11"/>
      <color theme="1"/>
      <name val="Gill Sans MT"/>
      <family val="2"/>
    </font>
    <font>
      <u/>
      <sz val="11"/>
      <color theme="10"/>
      <name val="Calibri"/>
      <family val="2"/>
      <scheme val="minor"/>
    </font>
    <font>
      <vertAlign val="subscript"/>
      <sz val="11"/>
      <color theme="1"/>
      <name val="Gill Sans MT"/>
      <family val="2"/>
    </font>
    <font>
      <u/>
      <sz val="11"/>
      <color theme="10"/>
      <name val="Gill Sans MT"/>
      <family val="2"/>
    </font>
    <font>
      <sz val="11"/>
      <name val="Gill Sans MT"/>
      <family val="2"/>
    </font>
    <font>
      <sz val="11"/>
      <color rgb="FFFF0000"/>
      <name val="Gill Sans MT"/>
      <family val="2"/>
    </font>
    <font>
      <sz val="11"/>
      <name val="Calibri"/>
      <family val="2"/>
      <scheme val="minor"/>
    </font>
    <font>
      <b/>
      <sz val="11"/>
      <color theme="1"/>
      <name val="Calibri"/>
      <family val="2"/>
      <scheme val="minor"/>
    </font>
    <font>
      <b/>
      <sz val="11"/>
      <color theme="0"/>
      <name val="Calibri"/>
      <family val="2"/>
      <scheme val="minor"/>
    </font>
    <font>
      <b/>
      <sz val="14"/>
      <name val="Gill Sans MT"/>
      <family val="2"/>
    </font>
    <font>
      <b/>
      <sz val="10"/>
      <name val="Gill Sans MT"/>
      <family val="2"/>
    </font>
    <font>
      <sz val="14"/>
      <name val="Gill Sans MT"/>
      <family val="2"/>
    </font>
    <font>
      <sz val="11"/>
      <color theme="0"/>
      <name val="Gill Sans MT"/>
      <family val="2"/>
    </font>
    <font>
      <b/>
      <sz val="11"/>
      <name val="Gill Sans MT"/>
      <family val="2"/>
    </font>
    <font>
      <sz val="11"/>
      <color theme="0"/>
      <name val="Calibri"/>
      <family val="2"/>
      <scheme val="minor"/>
    </font>
    <font>
      <b/>
      <u/>
      <sz val="11"/>
      <name val="Gill Sans MT"/>
      <family val="2"/>
    </font>
    <font>
      <sz val="10"/>
      <name val="Arial"/>
      <family val="2"/>
    </font>
    <font>
      <sz val="11"/>
      <color rgb="FFFF0000"/>
      <name val="Calibri"/>
      <family val="2"/>
      <scheme val="minor"/>
    </font>
    <font>
      <b/>
      <u/>
      <sz val="11"/>
      <color theme="1"/>
      <name val="Calibri"/>
      <family val="2"/>
      <scheme val="minor"/>
    </font>
    <font>
      <b/>
      <sz val="11"/>
      <color indexed="8"/>
      <name val="Calibri"/>
      <family val="2"/>
      <scheme val="minor"/>
    </font>
    <font>
      <b/>
      <sz val="11"/>
      <color rgb="FFFF0000"/>
      <name val="Calibri"/>
      <family val="2"/>
      <scheme val="minor"/>
    </font>
    <font>
      <b/>
      <sz val="11"/>
      <name val="Calibri"/>
      <family val="2"/>
      <scheme val="minor"/>
    </font>
    <font>
      <sz val="11"/>
      <color rgb="FF0B0C0C"/>
      <name val="Calibri"/>
      <family val="2"/>
      <scheme val="minor"/>
    </font>
    <font>
      <b/>
      <sz val="11"/>
      <color indexed="56"/>
      <name val="Calibri"/>
      <family val="2"/>
      <scheme val="minor"/>
    </font>
    <font>
      <b/>
      <sz val="11"/>
      <color indexed="9"/>
      <name val="Calibri"/>
      <family val="2"/>
      <scheme val="minor"/>
    </font>
    <font>
      <b/>
      <sz val="11"/>
      <color indexed="10"/>
      <name val="Calibri"/>
      <family val="2"/>
      <scheme val="minor"/>
    </font>
    <font>
      <sz val="11"/>
      <color indexed="60"/>
      <name val="Calibri"/>
      <family val="2"/>
      <scheme val="minor"/>
    </font>
    <font>
      <vertAlign val="subscript"/>
      <sz val="11"/>
      <color theme="1"/>
      <name val="Calibri"/>
      <family val="2"/>
      <scheme val="minor"/>
    </font>
    <font>
      <sz val="11"/>
      <color rgb="FF000000"/>
      <name val="Calibri"/>
      <family val="2"/>
      <scheme val="minor"/>
    </font>
    <font>
      <u/>
      <sz val="11"/>
      <name val="Calibri"/>
      <family val="2"/>
      <scheme val="minor"/>
    </font>
    <font>
      <i/>
      <sz val="11"/>
      <color theme="1"/>
      <name val="Calibri"/>
      <family val="2"/>
      <scheme val="minor"/>
    </font>
    <font>
      <b/>
      <u/>
      <sz val="11"/>
      <name val="Calibri"/>
      <family val="2"/>
      <scheme val="minor"/>
    </font>
  </fonts>
  <fills count="29">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E8D2E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EEDEEA"/>
        <bgColor indexed="64"/>
      </patternFill>
    </fill>
    <fill>
      <patternFill patternType="solid">
        <fgColor theme="0"/>
        <bgColor indexed="64"/>
      </patternFill>
    </fill>
    <fill>
      <patternFill patternType="solid">
        <fgColor theme="6" tint="-0.249977111117893"/>
        <bgColor indexed="64"/>
      </patternFill>
    </fill>
    <fill>
      <patternFill patternType="solid">
        <fgColor theme="0" tint="-0.14999847407452621"/>
        <bgColor indexed="64"/>
      </patternFill>
    </fill>
    <fill>
      <patternFill patternType="solid">
        <fgColor theme="6"/>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rgb="FFFFFF00"/>
        <bgColor indexed="64"/>
      </patternFill>
    </fill>
    <fill>
      <patternFill patternType="solid">
        <fgColor theme="4"/>
        <bgColor theme="4"/>
      </patternFill>
    </fill>
    <fill>
      <patternFill patternType="solid">
        <fgColor rgb="FF8094AE"/>
        <bgColor indexed="64"/>
      </patternFill>
    </fill>
    <fill>
      <patternFill patternType="solid">
        <fgColor rgb="FFE2EFDA"/>
        <bgColor rgb="FF000000"/>
      </patternFill>
    </fill>
    <fill>
      <patternFill patternType="solid">
        <fgColor indexed="31"/>
        <bgColor indexed="64"/>
      </patternFill>
    </fill>
    <fill>
      <patternFill patternType="solid">
        <fgColor indexed="54"/>
        <bgColor indexed="64"/>
      </patternFill>
    </fill>
    <fill>
      <patternFill patternType="mediumGray">
        <fgColor indexed="22"/>
        <bgColor indexed="9"/>
      </patternFill>
    </fill>
    <fill>
      <patternFill patternType="solid">
        <fgColor indexed="43"/>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9"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4"/>
      </left>
      <right/>
      <top style="thin">
        <color theme="4"/>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22"/>
      </right>
      <top/>
      <bottom/>
      <diagonal/>
    </border>
    <border>
      <left/>
      <right/>
      <top style="thin">
        <color indexed="22"/>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xf numFmtId="0" fontId="22" fillId="0" borderId="0"/>
  </cellStyleXfs>
  <cellXfs count="492">
    <xf numFmtId="0" fontId="0" fillId="0" borderId="0" xfId="0"/>
    <xf numFmtId="0" fontId="5" fillId="12" borderId="0" xfId="0" applyFont="1" applyFill="1"/>
    <xf numFmtId="0" fontId="5" fillId="12" borderId="0" xfId="0" applyFont="1" applyFill="1" applyAlignment="1">
      <alignment vertical="center"/>
    </xf>
    <xf numFmtId="0" fontId="6" fillId="8" borderId="0" xfId="0" applyFont="1" applyFill="1" applyAlignment="1">
      <alignment horizontal="center"/>
    </xf>
    <xf numFmtId="0" fontId="5" fillId="12" borderId="0" xfId="0" applyFont="1" applyFill="1" applyAlignment="1">
      <alignment horizontal="left" vertical="center"/>
    </xf>
    <xf numFmtId="11" fontId="5" fillId="12" borderId="0" xfId="0" applyNumberFormat="1" applyFont="1" applyFill="1"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165" fontId="5" fillId="12" borderId="0" xfId="1" applyNumberFormat="1" applyFont="1" applyFill="1" applyAlignment="1">
      <alignment vertical="center"/>
    </xf>
    <xf numFmtId="164" fontId="11" fillId="12" borderId="0" xfId="1" applyNumberFormat="1" applyFont="1" applyFill="1" applyAlignment="1">
      <alignment vertical="center"/>
    </xf>
    <xf numFmtId="0" fontId="9" fillId="0" borderId="0" xfId="3" applyFont="1"/>
    <xf numFmtId="0" fontId="5" fillId="12" borderId="0" xfId="0" applyNumberFormat="1" applyFont="1" applyFill="1" applyAlignment="1">
      <alignment vertical="center"/>
    </xf>
    <xf numFmtId="0" fontId="9" fillId="12" borderId="0" xfId="3" applyFont="1" applyFill="1" applyAlignment="1">
      <alignment horizontal="left" vertical="center"/>
    </xf>
    <xf numFmtId="0" fontId="5" fillId="0" borderId="0" xfId="0" applyFont="1"/>
    <xf numFmtId="0" fontId="5" fillId="0" borderId="0" xfId="0" applyFont="1" applyAlignment="1">
      <alignment horizontal="center" vertical="top"/>
    </xf>
    <xf numFmtId="0" fontId="5" fillId="0" borderId="0" xfId="0" applyFont="1" applyAlignment="1">
      <alignment vertical="top"/>
    </xf>
    <xf numFmtId="0" fontId="5" fillId="0" borderId="0" xfId="0" applyFont="1" applyBorder="1" applyAlignment="1">
      <alignment vertical="top"/>
    </xf>
    <xf numFmtId="0" fontId="2" fillId="17" borderId="0" xfId="0" applyFont="1" applyFill="1" applyAlignment="1">
      <alignment vertical="top"/>
    </xf>
    <xf numFmtId="0" fontId="3" fillId="16" borderId="0" xfId="0" applyFont="1" applyFill="1" applyAlignment="1">
      <alignment horizontal="left" vertical="top"/>
    </xf>
    <xf numFmtId="0" fontId="6" fillId="4" borderId="0" xfId="0" applyFont="1" applyFill="1" applyAlignment="1">
      <alignment horizontal="left" vertical="top"/>
    </xf>
    <xf numFmtId="0" fontId="4" fillId="4" borderId="0" xfId="0" applyFont="1" applyFill="1" applyAlignment="1">
      <alignment horizontal="center" vertical="top" wrapText="1"/>
    </xf>
    <xf numFmtId="0" fontId="5" fillId="12" borderId="0" xfId="0" applyFont="1" applyFill="1" applyAlignment="1">
      <alignment horizontal="center" vertical="top"/>
    </xf>
    <xf numFmtId="0" fontId="5" fillId="0" borderId="0" xfId="0" applyFont="1" applyBorder="1" applyAlignment="1">
      <alignment horizontal="center" vertical="top"/>
    </xf>
    <xf numFmtId="1" fontId="5" fillId="0" borderId="0" xfId="0" applyNumberFormat="1" applyFont="1" applyAlignment="1">
      <alignment vertical="top"/>
    </xf>
    <xf numFmtId="0" fontId="11" fillId="18" borderId="0" xfId="0" applyFont="1" applyFill="1" applyAlignment="1">
      <alignment vertical="top"/>
    </xf>
    <xf numFmtId="0" fontId="11" fillId="0" borderId="0" xfId="0" applyFont="1" applyAlignment="1">
      <alignment vertical="top"/>
    </xf>
    <xf numFmtId="0" fontId="5" fillId="18" borderId="0" xfId="0" applyFont="1" applyFill="1" applyAlignment="1">
      <alignment vertical="top"/>
    </xf>
    <xf numFmtId="0" fontId="11" fillId="0" borderId="0" xfId="0" applyFont="1" applyBorder="1" applyAlignment="1">
      <alignment vertical="top"/>
    </xf>
    <xf numFmtId="0" fontId="5" fillId="18" borderId="0" xfId="0" applyFont="1" applyFill="1" applyAlignment="1">
      <alignment horizontal="center" vertical="top"/>
    </xf>
    <xf numFmtId="0" fontId="5" fillId="12" borderId="0" xfId="0" applyFont="1" applyFill="1" applyAlignment="1">
      <alignment horizontal="left" vertical="top"/>
    </xf>
    <xf numFmtId="0" fontId="5" fillId="0" borderId="0" xfId="0" applyFont="1" applyAlignment="1">
      <alignment horizontal="right" vertical="top"/>
    </xf>
    <xf numFmtId="0" fontId="5" fillId="8" borderId="0" xfId="0" applyFont="1" applyFill="1"/>
    <xf numFmtId="0" fontId="9" fillId="12" borderId="0" xfId="3" applyFont="1" applyFill="1" applyAlignment="1">
      <alignment horizontal="left"/>
    </xf>
    <xf numFmtId="0" fontId="10" fillId="0" borderId="0" xfId="0" applyFont="1" applyAlignment="1">
      <alignment vertical="top"/>
    </xf>
    <xf numFmtId="2" fontId="5" fillId="0" borderId="0" xfId="0" applyNumberFormat="1" applyFont="1" applyAlignment="1">
      <alignment horizontal="right" vertical="top"/>
    </xf>
    <xf numFmtId="0" fontId="10" fillId="12" borderId="0" xfId="0" applyFont="1" applyFill="1" applyAlignment="1">
      <alignment horizontal="left" vertical="top"/>
    </xf>
    <xf numFmtId="0" fontId="10" fillId="18" borderId="0" xfId="0" applyFont="1" applyFill="1" applyAlignment="1">
      <alignment vertical="top"/>
    </xf>
    <xf numFmtId="0" fontId="10" fillId="0" borderId="0" xfId="0" applyFont="1" applyBorder="1" applyAlignment="1">
      <alignment vertical="top"/>
    </xf>
    <xf numFmtId="0" fontId="2" fillId="17" borderId="0" xfId="0" applyFont="1" applyFill="1" applyAlignment="1">
      <alignment horizontal="center" vertical="top"/>
    </xf>
    <xf numFmtId="0" fontId="3" fillId="16" borderId="0" xfId="0" applyFont="1" applyFill="1" applyAlignment="1">
      <alignment horizontal="center" vertical="top"/>
    </xf>
    <xf numFmtId="0" fontId="6" fillId="4" borderId="0" xfId="0" applyFont="1" applyFill="1" applyAlignment="1">
      <alignment horizontal="center" vertical="top"/>
    </xf>
    <xf numFmtId="1" fontId="5" fillId="0" borderId="0" xfId="0" applyNumberFormat="1" applyFont="1"/>
    <xf numFmtId="0" fontId="6" fillId="12" borderId="1" xfId="0" applyFont="1" applyFill="1" applyBorder="1" applyAlignment="1">
      <alignment horizontal="center" vertical="top"/>
    </xf>
    <xf numFmtId="0" fontId="5" fillId="12" borderId="1" xfId="0" applyFont="1" applyFill="1" applyBorder="1" applyAlignment="1">
      <alignment horizontal="center" vertical="top"/>
    </xf>
    <xf numFmtId="0" fontId="5" fillId="0" borderId="1" xfId="0" applyFont="1" applyBorder="1" applyAlignment="1">
      <alignment horizontal="center" vertical="top"/>
    </xf>
    <xf numFmtId="1" fontId="5" fillId="0" borderId="0" xfId="0" applyNumberFormat="1" applyFont="1" applyBorder="1" applyAlignment="1">
      <alignment horizontal="center" vertical="top"/>
    </xf>
    <xf numFmtId="0" fontId="11" fillId="0" borderId="0" xfId="0" applyFont="1" applyBorder="1" applyAlignment="1">
      <alignment vertical="top" wrapText="1"/>
    </xf>
    <xf numFmtId="0" fontId="10" fillId="18" borderId="0" xfId="0" applyFont="1" applyFill="1" applyBorder="1" applyAlignment="1">
      <alignment vertical="top"/>
    </xf>
    <xf numFmtId="167" fontId="5" fillId="0" borderId="0" xfId="0" applyNumberFormat="1" applyFont="1" applyAlignment="1">
      <alignment vertical="top"/>
    </xf>
    <xf numFmtId="1" fontId="5" fillId="18" borderId="0" xfId="0" applyNumberFormat="1" applyFont="1" applyFill="1" applyAlignment="1">
      <alignment vertical="top"/>
    </xf>
    <xf numFmtId="0" fontId="12" fillId="0" borderId="0" xfId="0" applyFont="1"/>
    <xf numFmtId="0" fontId="14" fillId="19" borderId="4" xfId="0" applyFont="1" applyFill="1" applyBorder="1" applyAlignment="1">
      <alignment horizontal="center" vertical="center"/>
    </xf>
    <xf numFmtId="164" fontId="5" fillId="0" borderId="1" xfId="1" applyNumberFormat="1" applyFont="1" applyBorder="1" applyAlignment="1">
      <alignment horizontal="center" vertical="top"/>
    </xf>
    <xf numFmtId="0" fontId="5" fillId="18" borderId="0" xfId="0" applyFont="1" applyFill="1" applyBorder="1" applyAlignment="1">
      <alignment vertical="top"/>
    </xf>
    <xf numFmtId="0" fontId="9" fillId="0" borderId="0" xfId="3" applyFont="1" applyAlignment="1">
      <alignment horizontal="left"/>
    </xf>
    <xf numFmtId="2" fontId="5" fillId="0" borderId="0" xfId="0" applyNumberFormat="1" applyFont="1" applyAlignment="1">
      <alignment vertical="top"/>
    </xf>
    <xf numFmtId="164" fontId="5" fillId="16" borderId="0" xfId="1" applyNumberFormat="1" applyFont="1" applyFill="1" applyBorder="1" applyAlignment="1">
      <alignment horizontal="center" vertical="top"/>
    </xf>
    <xf numFmtId="0" fontId="10" fillId="12" borderId="0" xfId="0" applyFont="1" applyFill="1" applyAlignment="1">
      <alignment vertical="top"/>
    </xf>
    <xf numFmtId="0" fontId="10" fillId="18" borderId="0" xfId="0" applyFont="1" applyFill="1" applyAlignment="1">
      <alignment horizontal="right" vertical="top"/>
    </xf>
    <xf numFmtId="0" fontId="10" fillId="0" borderId="0" xfId="0" applyFont="1" applyBorder="1" applyAlignment="1">
      <alignment horizontal="left" vertical="top"/>
    </xf>
    <xf numFmtId="166" fontId="10" fillId="0" borderId="0" xfId="0" applyNumberFormat="1" applyFont="1" applyAlignment="1">
      <alignment horizontal="right" vertical="top"/>
    </xf>
    <xf numFmtId="2" fontId="10" fillId="0" borderId="0" xfId="0" applyNumberFormat="1" applyFont="1" applyAlignment="1">
      <alignment vertical="top"/>
    </xf>
    <xf numFmtId="0" fontId="9" fillId="0" borderId="0" xfId="3" applyFont="1" applyAlignment="1">
      <alignment vertical="top"/>
    </xf>
    <xf numFmtId="0" fontId="10" fillId="0" borderId="0" xfId="0" applyFont="1" applyAlignment="1">
      <alignment horizontal="center" vertical="top"/>
    </xf>
    <xf numFmtId="0" fontId="10" fillId="0" borderId="0" xfId="0" applyFont="1" applyAlignment="1">
      <alignment horizontal="left" vertical="top"/>
    </xf>
    <xf numFmtId="0" fontId="11" fillId="0" borderId="0" xfId="0" applyFont="1" applyAlignment="1">
      <alignment horizontal="center" vertical="top"/>
    </xf>
    <xf numFmtId="0" fontId="18" fillId="0" borderId="0" xfId="0" applyFont="1" applyAlignment="1">
      <alignment vertical="top"/>
    </xf>
    <xf numFmtId="0" fontId="5" fillId="18" borderId="0" xfId="0" applyFont="1" applyFill="1" applyAlignment="1">
      <alignment vertical="center"/>
    </xf>
    <xf numFmtId="0" fontId="2" fillId="9" borderId="0" xfId="0" applyFont="1" applyFill="1" applyAlignment="1">
      <alignment vertical="top"/>
    </xf>
    <xf numFmtId="0" fontId="19" fillId="9" borderId="0" xfId="0" applyFont="1" applyFill="1" applyAlignment="1">
      <alignment horizontal="left" vertical="top"/>
    </xf>
    <xf numFmtId="0" fontId="16" fillId="9" borderId="0" xfId="0" applyFont="1" applyFill="1" applyAlignment="1">
      <alignment horizontal="left" vertical="top"/>
    </xf>
    <xf numFmtId="0" fontId="15" fillId="9" borderId="0" xfId="0" applyFont="1" applyFill="1" applyAlignment="1">
      <alignment horizontal="left" vertical="center"/>
    </xf>
    <xf numFmtId="0" fontId="15" fillId="5" borderId="0" xfId="0" applyFont="1" applyFill="1" applyAlignment="1">
      <alignment vertical="top"/>
    </xf>
    <xf numFmtId="0" fontId="20" fillId="0" borderId="0" xfId="0" applyFont="1"/>
    <xf numFmtId="0" fontId="6" fillId="0" borderId="0" xfId="0" applyFont="1" applyAlignment="1">
      <alignment vertical="top"/>
    </xf>
    <xf numFmtId="0" fontId="10" fillId="0" borderId="0" xfId="0" applyFont="1" applyAlignment="1">
      <alignment horizontal="left" vertical="top" wrapText="1"/>
    </xf>
    <xf numFmtId="0" fontId="11" fillId="0" borderId="0" xfId="0" applyFont="1" applyBorder="1" applyAlignment="1">
      <alignment horizontal="left" vertical="top" wrapText="1"/>
    </xf>
    <xf numFmtId="0" fontId="10" fillId="0" borderId="0" xfId="0" applyFont="1" applyAlignment="1">
      <alignment vertical="top" wrapText="1"/>
    </xf>
    <xf numFmtId="0" fontId="10" fillId="0" borderId="0" xfId="0" applyFont="1" applyBorder="1" applyAlignment="1">
      <alignment vertical="top" wrapText="1"/>
    </xf>
    <xf numFmtId="0" fontId="10" fillId="0" borderId="0" xfId="0" applyFont="1" applyBorder="1" applyAlignment="1">
      <alignment vertical="center" wrapText="1"/>
    </xf>
    <xf numFmtId="1" fontId="5" fillId="0" borderId="0" xfId="0" applyNumberFormat="1" applyFont="1" applyFill="1" applyAlignment="1">
      <alignment horizontal="center" vertical="center"/>
    </xf>
    <xf numFmtId="0" fontId="17" fillId="0" borderId="0" xfId="0" applyFont="1" applyFill="1" applyAlignment="1">
      <alignment horizontal="left" vertical="center"/>
    </xf>
    <xf numFmtId="0" fontId="5" fillId="0" borderId="0" xfId="0" applyFont="1" applyFill="1" applyAlignment="1">
      <alignment vertical="center"/>
    </xf>
    <xf numFmtId="0" fontId="13" fillId="18" borderId="0" xfId="0" applyFont="1" applyFill="1" applyAlignment="1">
      <alignment horizontal="center" vertical="center"/>
    </xf>
    <xf numFmtId="0" fontId="13" fillId="0" borderId="1" xfId="0" applyFont="1" applyBorder="1" applyAlignment="1">
      <alignment horizontal="center" vertical="center"/>
    </xf>
    <xf numFmtId="0" fontId="13" fillId="0" borderId="1" xfId="0" applyFont="1" applyBorder="1" applyAlignment="1">
      <alignment horizontal="left" vertical="center"/>
    </xf>
    <xf numFmtId="0" fontId="13" fillId="0" borderId="0" xfId="0" applyFont="1"/>
    <xf numFmtId="164" fontId="0" fillId="18" borderId="14" xfId="1" applyNumberFormat="1" applyFont="1" applyFill="1" applyBorder="1" applyAlignment="1">
      <alignment horizontal="center" vertical="center"/>
    </xf>
    <xf numFmtId="164" fontId="0" fillId="18" borderId="15" xfId="1" applyNumberFormat="1" applyFont="1" applyFill="1" applyBorder="1" applyAlignment="1">
      <alignment horizontal="center" vertical="center"/>
    </xf>
    <xf numFmtId="164" fontId="0" fillId="18" borderId="16" xfId="1" applyNumberFormat="1" applyFont="1" applyFill="1" applyBorder="1" applyAlignment="1">
      <alignment horizontal="center" vertical="center"/>
    </xf>
    <xf numFmtId="164" fontId="0" fillId="18" borderId="17" xfId="1" applyNumberFormat="1" applyFont="1" applyFill="1" applyBorder="1" applyAlignment="1">
      <alignment horizontal="center" vertical="center"/>
    </xf>
    <xf numFmtId="164" fontId="0" fillId="18" borderId="0" xfId="1" applyNumberFormat="1" applyFont="1" applyFill="1" applyBorder="1" applyAlignment="1">
      <alignment horizontal="center" vertical="center"/>
    </xf>
    <xf numFmtId="164" fontId="0" fillId="18" borderId="18" xfId="1" applyNumberFormat="1" applyFont="1" applyFill="1" applyBorder="1" applyAlignment="1">
      <alignment horizontal="center" vertical="center"/>
    </xf>
    <xf numFmtId="164" fontId="0" fillId="0" borderId="1" xfId="1" applyNumberFormat="1" applyFont="1" applyBorder="1" applyAlignment="1">
      <alignment horizontal="center"/>
    </xf>
    <xf numFmtId="164" fontId="0" fillId="12" borderId="0" xfId="1" applyNumberFormat="1" applyFont="1" applyFill="1" applyAlignment="1">
      <alignment horizontal="center"/>
    </xf>
    <xf numFmtId="43" fontId="0" fillId="18" borderId="0" xfId="1" applyFont="1" applyFill="1" applyAlignment="1">
      <alignment horizontal="center"/>
    </xf>
    <xf numFmtId="164" fontId="0" fillId="0" borderId="1" xfId="1" applyNumberFormat="1" applyFont="1" applyBorder="1" applyAlignment="1">
      <alignment horizontal="left" vertical="center"/>
    </xf>
    <xf numFmtId="164" fontId="0" fillId="0" borderId="17" xfId="1" applyNumberFormat="1" applyFont="1" applyBorder="1" applyAlignment="1">
      <alignment horizontal="center" vertical="center"/>
    </xf>
    <xf numFmtId="164" fontId="0" fillId="0" borderId="0" xfId="1" applyNumberFormat="1" applyFont="1" applyBorder="1" applyAlignment="1">
      <alignment horizontal="center" vertical="center"/>
    </xf>
    <xf numFmtId="164" fontId="0" fillId="0" borderId="18" xfId="1" applyNumberFormat="1" applyFont="1" applyBorder="1" applyAlignment="1">
      <alignment horizontal="center" vertical="center"/>
    </xf>
    <xf numFmtId="164" fontId="0" fillId="0" borderId="0" xfId="1" applyNumberFormat="1" applyFont="1" applyBorder="1" applyAlignment="1">
      <alignment horizontal="center"/>
    </xf>
    <xf numFmtId="164" fontId="0" fillId="0" borderId="18" xfId="1" applyNumberFormat="1" applyFont="1" applyBorder="1" applyAlignment="1">
      <alignment horizontal="center"/>
    </xf>
    <xf numFmtId="164" fontId="0" fillId="0" borderId="19" xfId="1" applyNumberFormat="1" applyFont="1" applyBorder="1"/>
    <xf numFmtId="164" fontId="0" fillId="0" borderId="20" xfId="1" applyNumberFormat="1" applyFont="1" applyBorder="1"/>
    <xf numFmtId="164" fontId="0" fillId="0" borderId="21" xfId="1" applyNumberFormat="1" applyFont="1" applyBorder="1"/>
    <xf numFmtId="0" fontId="13" fillId="0" borderId="0" xfId="0" applyFont="1" applyAlignment="1">
      <alignment horizontal="center" vertical="center" wrapText="1"/>
    </xf>
    <xf numFmtId="164" fontId="0" fillId="0" borderId="19" xfId="1" applyNumberFormat="1" applyFont="1" applyBorder="1" applyAlignment="1">
      <alignment horizontal="center" vertical="center"/>
    </xf>
    <xf numFmtId="164" fontId="0" fillId="0" borderId="20" xfId="1" applyNumberFormat="1" applyFont="1" applyBorder="1" applyAlignment="1">
      <alignment horizontal="center" vertical="center"/>
    </xf>
    <xf numFmtId="164" fontId="0" fillId="0" borderId="21" xfId="1" applyNumberFormat="1" applyFont="1" applyBorder="1" applyAlignment="1">
      <alignment horizontal="center" vertical="center"/>
    </xf>
    <xf numFmtId="164" fontId="0" fillId="18" borderId="0" xfId="1" applyNumberFormat="1" applyFont="1" applyFill="1" applyBorder="1" applyAlignment="1">
      <alignment horizontal="center"/>
    </xf>
    <xf numFmtId="43" fontId="0" fillId="12" borderId="0" xfId="1" applyFont="1" applyFill="1" applyAlignment="1">
      <alignment horizontal="center"/>
    </xf>
    <xf numFmtId="43" fontId="0" fillId="0" borderId="0" xfId="1" applyFont="1" applyAlignment="1">
      <alignment horizontal="center"/>
    </xf>
    <xf numFmtId="0" fontId="23" fillId="0" borderId="0" xfId="0" applyFont="1" applyAlignment="1">
      <alignment wrapText="1"/>
    </xf>
    <xf numFmtId="164" fontId="0" fillId="0" borderId="0" xfId="1" applyNumberFormat="1" applyFont="1"/>
    <xf numFmtId="164" fontId="0" fillId="0" borderId="0" xfId="1" applyNumberFormat="1" applyFont="1" applyAlignment="1">
      <alignment horizontal="center"/>
    </xf>
    <xf numFmtId="169" fontId="0" fillId="0" borderId="0" xfId="1" applyNumberFormat="1" applyFont="1" applyAlignment="1">
      <alignment horizontal="center"/>
    </xf>
    <xf numFmtId="164" fontId="0" fillId="18" borderId="0" xfId="1" applyNumberFormat="1" applyFont="1" applyFill="1" applyAlignment="1">
      <alignment horizontal="center"/>
    </xf>
    <xf numFmtId="164" fontId="23" fillId="18" borderId="0" xfId="1" applyNumberFormat="1" applyFont="1" applyFill="1" applyAlignment="1">
      <alignment horizontal="center"/>
    </xf>
    <xf numFmtId="0" fontId="23" fillId="18" borderId="0" xfId="0" applyFont="1" applyFill="1"/>
    <xf numFmtId="164" fontId="0" fillId="18" borderId="0" xfId="1" applyNumberFormat="1" applyFont="1" applyFill="1"/>
    <xf numFmtId="0" fontId="13" fillId="12" borderId="0" xfId="0" applyFont="1" applyFill="1" applyAlignment="1">
      <alignment horizontal="center" vertical="center"/>
    </xf>
    <xf numFmtId="0" fontId="6" fillId="0" borderId="0" xfId="0" applyFont="1" applyAlignment="1">
      <alignment vertical="center"/>
    </xf>
    <xf numFmtId="0" fontId="15" fillId="9" borderId="0" xfId="0" applyFont="1" applyFill="1" applyAlignment="1">
      <alignment horizontal="left" vertical="center" wrapText="1"/>
    </xf>
    <xf numFmtId="0" fontId="6" fillId="0" borderId="0" xfId="0" applyFont="1" applyAlignment="1">
      <alignment vertical="center" wrapText="1"/>
    </xf>
    <xf numFmtId="0" fontId="13" fillId="0" borderId="0" xfId="0" applyFont="1" applyAlignment="1">
      <alignment horizontal="left" vertical="center" wrapText="1"/>
    </xf>
    <xf numFmtId="0" fontId="0" fillId="27" borderId="0" xfId="0" applyFill="1"/>
    <xf numFmtId="0" fontId="0" fillId="28" borderId="0" xfId="0" applyFill="1"/>
    <xf numFmtId="0" fontId="5" fillId="5" borderId="0" xfId="0" applyFont="1" applyFill="1" applyAlignment="1">
      <alignment vertical="top"/>
    </xf>
    <xf numFmtId="0" fontId="24" fillId="0" borderId="0" xfId="0" applyFont="1"/>
    <xf numFmtId="0" fontId="12" fillId="0" borderId="0" xfId="0" applyFont="1" applyAlignment="1">
      <alignment horizontal="left" wrapText="1"/>
    </xf>
    <xf numFmtId="0" fontId="10" fillId="0" borderId="0" xfId="0" applyFont="1" applyAlignment="1">
      <alignment horizontal="left" vertical="center" wrapText="1"/>
    </xf>
    <xf numFmtId="0" fontId="5" fillId="0" borderId="0" xfId="0" applyFont="1" applyBorder="1" applyAlignment="1">
      <alignment horizontal="left" vertical="top" wrapText="1"/>
    </xf>
    <xf numFmtId="0" fontId="10" fillId="0" borderId="0" xfId="0" applyFont="1" applyBorder="1" applyAlignment="1">
      <alignment horizontal="left" vertical="top" wrapText="1"/>
    </xf>
    <xf numFmtId="0" fontId="5" fillId="0" borderId="0" xfId="0" applyFont="1" applyAlignment="1">
      <alignment horizontal="left" vertical="top" wrapText="1"/>
    </xf>
    <xf numFmtId="0" fontId="10" fillId="0" borderId="0" xfId="0" applyFont="1" applyAlignment="1">
      <alignment horizontal="left" vertical="top" wrapText="1"/>
    </xf>
    <xf numFmtId="0" fontId="10" fillId="0" borderId="0" xfId="0" applyFont="1" applyBorder="1" applyAlignment="1">
      <alignment horizontal="left" vertical="center" wrapText="1"/>
    </xf>
    <xf numFmtId="0" fontId="13" fillId="0" borderId="1"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8" xfId="0" applyFont="1" applyBorder="1" applyAlignment="1">
      <alignment horizontal="center" vertical="center" wrapText="1"/>
    </xf>
    <xf numFmtId="0" fontId="12" fillId="0" borderId="0" xfId="0" applyFont="1" applyAlignment="1">
      <alignment horizontal="left" wrapText="1"/>
    </xf>
    <xf numFmtId="0" fontId="23" fillId="0" borderId="0" xfId="0" applyFont="1" applyAlignment="1">
      <alignment horizontal="center" wrapText="1"/>
    </xf>
    <xf numFmtId="0" fontId="23" fillId="0" borderId="0" xfId="3" applyFont="1" applyAlignment="1">
      <alignment horizontal="left" vertical="center" wrapText="1"/>
    </xf>
    <xf numFmtId="0" fontId="0" fillId="0" borderId="1" xfId="0" applyFont="1" applyBorder="1" applyAlignment="1">
      <alignment horizontal="center" vertical="center"/>
    </xf>
    <xf numFmtId="2" fontId="0" fillId="0" borderId="1" xfId="0" applyNumberFormat="1" applyFont="1" applyBorder="1" applyAlignment="1">
      <alignment horizontal="center" vertical="center"/>
    </xf>
    <xf numFmtId="0" fontId="0" fillId="0" borderId="1" xfId="0" applyFont="1" applyBorder="1" applyAlignment="1">
      <alignment wrapText="1"/>
    </xf>
    <xf numFmtId="0" fontId="0" fillId="0" borderId="0" xfId="0" applyFont="1"/>
    <xf numFmtId="0" fontId="0" fillId="0" borderId="0" xfId="0" applyFont="1" applyAlignment="1">
      <alignment horizontal="left" vertical="center" wrapText="1"/>
    </xf>
    <xf numFmtId="0" fontId="0" fillId="0" borderId="0" xfId="0" applyFont="1" applyAlignment="1">
      <alignment horizontal="left"/>
    </xf>
    <xf numFmtId="0" fontId="0" fillId="0" borderId="0" xfId="0" applyFont="1" applyAlignment="1">
      <alignment vertical="center"/>
    </xf>
    <xf numFmtId="0" fontId="0" fillId="0" borderId="0" xfId="0" applyFont="1" applyAlignment="1">
      <alignment vertical="center" wrapText="1"/>
    </xf>
    <xf numFmtId="0" fontId="0" fillId="5" borderId="1" xfId="0" applyFont="1" applyFill="1" applyBorder="1"/>
    <xf numFmtId="0" fontId="0" fillId="17" borderId="1" xfId="0" applyFont="1" applyFill="1" applyBorder="1"/>
    <xf numFmtId="0" fontId="0" fillId="14" borderId="0" xfId="0" applyFont="1" applyFill="1"/>
    <xf numFmtId="0" fontId="0" fillId="28" borderId="0" xfId="0" applyFont="1" applyFill="1"/>
    <xf numFmtId="0" fontId="0" fillId="27" borderId="0" xfId="0" applyFont="1" applyFill="1"/>
    <xf numFmtId="0" fontId="25" fillId="0" borderId="0" xfId="0" applyFont="1" applyAlignment="1">
      <alignment horizontal="left"/>
    </xf>
    <xf numFmtId="0" fontId="13" fillId="18" borderId="2" xfId="0" applyFont="1" applyFill="1" applyBorder="1" applyAlignment="1">
      <alignment vertical="center"/>
    </xf>
    <xf numFmtId="0" fontId="13" fillId="0" borderId="5" xfId="0" applyFont="1" applyBorder="1"/>
    <xf numFmtId="0" fontId="26" fillId="0" borderId="3" xfId="0" applyFont="1" applyBorder="1"/>
    <xf numFmtId="0" fontId="0" fillId="0" borderId="0" xfId="0" applyFont="1" applyAlignment="1">
      <alignment horizontal="center" vertical="center" wrapText="1"/>
    </xf>
    <xf numFmtId="0" fontId="0" fillId="0" borderId="0" xfId="0" applyFont="1" applyAlignment="1">
      <alignment horizontal="left" vertical="top" wrapText="1"/>
    </xf>
    <xf numFmtId="0" fontId="7" fillId="0" borderId="0" xfId="3" applyFont="1" applyAlignment="1">
      <alignment horizontal="center" vertical="center"/>
    </xf>
    <xf numFmtId="0" fontId="0" fillId="18" borderId="0" xfId="0" applyFont="1" applyFill="1" applyAlignment="1">
      <alignment horizontal="center" vertical="center"/>
    </xf>
    <xf numFmtId="0" fontId="0" fillId="12" borderId="0" xfId="0" applyFont="1" applyFill="1" applyAlignment="1">
      <alignment horizontal="center" vertical="center"/>
    </xf>
    <xf numFmtId="0" fontId="13" fillId="14" borderId="0" xfId="0" applyFont="1" applyFill="1" applyAlignment="1">
      <alignment horizontal="center" vertical="top"/>
    </xf>
    <xf numFmtId="0" fontId="0" fillId="12" borderId="0" xfId="0" applyFont="1" applyFill="1" applyAlignment="1">
      <alignment horizontal="center" vertical="top" wrapText="1"/>
    </xf>
    <xf numFmtId="168" fontId="0" fillId="18" borderId="0" xfId="1" applyNumberFormat="1" applyFont="1" applyFill="1" applyAlignment="1">
      <alignment horizontal="center" vertical="top"/>
    </xf>
    <xf numFmtId="0" fontId="0" fillId="0" borderId="0" xfId="0" applyFont="1" applyAlignment="1">
      <alignment horizontal="center" vertical="top"/>
    </xf>
    <xf numFmtId="0" fontId="0" fillId="12" borderId="0" xfId="0" applyFont="1" applyFill="1" applyAlignment="1">
      <alignment horizontal="center" vertical="center" wrapText="1"/>
    </xf>
    <xf numFmtId="3" fontId="0" fillId="18" borderId="0" xfId="0" applyNumberFormat="1" applyFont="1" applyFill="1" applyAlignment="1">
      <alignment horizontal="center" vertical="center"/>
    </xf>
    <xf numFmtId="168" fontId="0" fillId="18" borderId="0" xfId="1" applyNumberFormat="1" applyFont="1" applyFill="1" applyAlignment="1">
      <alignment horizontal="center" vertical="center"/>
    </xf>
    <xf numFmtId="0" fontId="27" fillId="9" borderId="0" xfId="0" applyFont="1" applyFill="1" applyAlignment="1">
      <alignment horizontal="left" vertical="center"/>
    </xf>
    <xf numFmtId="0" fontId="12" fillId="9" borderId="0" xfId="0" applyFont="1" applyFill="1" applyAlignment="1">
      <alignment horizontal="left" vertical="center"/>
    </xf>
    <xf numFmtId="0" fontId="12" fillId="9" borderId="0" xfId="0" applyFont="1" applyFill="1" applyAlignment="1">
      <alignment horizontal="left" vertical="center" wrapText="1"/>
    </xf>
    <xf numFmtId="0" fontId="14" fillId="13" borderId="0" xfId="0" applyFont="1" applyFill="1" applyAlignment="1">
      <alignment horizontal="left" vertical="top"/>
    </xf>
    <xf numFmtId="0" fontId="14" fillId="13" borderId="0" xfId="0" applyFont="1" applyFill="1" applyAlignment="1">
      <alignment horizontal="center" vertical="top"/>
    </xf>
    <xf numFmtId="0" fontId="0" fillId="9" borderId="1" xfId="0" applyFont="1" applyFill="1" applyBorder="1"/>
    <xf numFmtId="0" fontId="0" fillId="0" borderId="1" xfId="0" applyFont="1" applyBorder="1"/>
    <xf numFmtId="0" fontId="28" fillId="0" borderId="1" xfId="0" applyFont="1" applyBorder="1"/>
    <xf numFmtId="0" fontId="7" fillId="0" borderId="0" xfId="3" applyFont="1"/>
    <xf numFmtId="0" fontId="27" fillId="0" borderId="0" xfId="0" applyFont="1" applyAlignment="1">
      <alignment horizontal="center" wrapText="1"/>
    </xf>
    <xf numFmtId="0" fontId="13" fillId="0" borderId="0" xfId="0" applyFont="1" applyAlignment="1">
      <alignment horizontal="center" vertical="center" wrapText="1"/>
    </xf>
    <xf numFmtId="0" fontId="29" fillId="22" borderId="9" xfId="0" applyFont="1" applyFill="1" applyBorder="1" applyAlignment="1">
      <alignment horizontal="center" vertical="top" wrapText="1"/>
    </xf>
    <xf numFmtId="0" fontId="27" fillId="22" borderId="9" xfId="0" applyFont="1" applyFill="1" applyBorder="1" applyAlignment="1">
      <alignment horizontal="center" vertical="top" wrapText="1"/>
    </xf>
    <xf numFmtId="0" fontId="30" fillId="23" borderId="10" xfId="0" applyFont="1" applyFill="1" applyBorder="1" applyAlignment="1">
      <alignment vertical="top"/>
    </xf>
    <xf numFmtId="0" fontId="31" fillId="24" borderId="11" xfId="0" applyFont="1" applyFill="1" applyBorder="1" applyAlignment="1">
      <alignment horizontal="right"/>
    </xf>
    <xf numFmtId="0" fontId="27" fillId="24" borderId="11" xfId="0" applyFont="1" applyFill="1" applyBorder="1" applyAlignment="1">
      <alignment horizontal="right"/>
    </xf>
    <xf numFmtId="0" fontId="26" fillId="24" borderId="11" xfId="0" applyFont="1" applyFill="1" applyBorder="1" applyAlignment="1">
      <alignment horizontal="right"/>
    </xf>
    <xf numFmtId="0" fontId="32" fillId="25" borderId="12" xfId="0" applyFont="1" applyFill="1" applyBorder="1" applyAlignment="1">
      <alignment vertical="top" wrapText="1"/>
    </xf>
    <xf numFmtId="1" fontId="12" fillId="0" borderId="12" xfId="0" applyNumberFormat="1" applyFont="1" applyBorder="1" applyAlignment="1">
      <alignment horizontal="right"/>
    </xf>
    <xf numFmtId="1" fontId="12" fillId="0" borderId="12" xfId="4" applyNumberFormat="1" applyFont="1" applyBorder="1" applyAlignment="1">
      <alignment horizontal="right"/>
    </xf>
    <xf numFmtId="0" fontId="32" fillId="25" borderId="12" xfId="0" applyFont="1" applyFill="1" applyBorder="1" applyAlignment="1">
      <alignment vertical="top"/>
    </xf>
    <xf numFmtId="0" fontId="0" fillId="0" borderId="0" xfId="0" applyFont="1" applyAlignment="1">
      <alignment horizontal="center" vertical="center"/>
    </xf>
    <xf numFmtId="0" fontId="7" fillId="0" borderId="0" xfId="3" applyFont="1" applyAlignment="1">
      <alignment vertical="top"/>
    </xf>
    <xf numFmtId="0" fontId="7" fillId="0" borderId="23" xfId="3" applyFont="1" applyBorder="1"/>
    <xf numFmtId="0" fontId="7" fillId="0" borderId="0" xfId="3" applyFont="1" applyBorder="1"/>
    <xf numFmtId="0" fontId="7" fillId="0" borderId="24" xfId="3" applyFont="1" applyBorder="1"/>
    <xf numFmtId="0" fontId="27" fillId="26" borderId="0" xfId="0" applyFont="1" applyFill="1" applyAlignment="1">
      <alignment horizontal="left" vertical="top" wrapText="1"/>
    </xf>
    <xf numFmtId="0" fontId="0" fillId="0" borderId="0" xfId="0" applyFont="1" applyAlignment="1">
      <alignment vertical="top"/>
    </xf>
    <xf numFmtId="0" fontId="27" fillId="26" borderId="0" xfId="0" applyFont="1" applyFill="1" applyAlignment="1">
      <alignment horizontal="left" vertical="center" wrapText="1"/>
    </xf>
    <xf numFmtId="0" fontId="12" fillId="26" borderId="0" xfId="0" applyFont="1" applyFill="1" applyAlignment="1">
      <alignment horizontal="left" vertical="center"/>
    </xf>
    <xf numFmtId="0" fontId="0" fillId="12" borderId="0" xfId="0" applyFont="1" applyFill="1" applyAlignment="1">
      <alignment horizontal="center" vertical="top"/>
    </xf>
    <xf numFmtId="1" fontId="0" fillId="0" borderId="0" xfId="0" applyNumberFormat="1" applyFont="1" applyFill="1" applyAlignment="1">
      <alignment horizontal="center" vertical="center"/>
    </xf>
    <xf numFmtId="0" fontId="0" fillId="9" borderId="0" xfId="0" applyFont="1" applyFill="1" applyAlignment="1">
      <alignment vertical="top"/>
    </xf>
    <xf numFmtId="0" fontId="0" fillId="8" borderId="0" xfId="0" applyFont="1" applyFill="1"/>
    <xf numFmtId="164" fontId="0" fillId="16" borderId="0" xfId="1" applyNumberFormat="1" applyFont="1" applyFill="1" applyBorder="1" applyAlignment="1">
      <alignment horizontal="center" vertical="top"/>
    </xf>
    <xf numFmtId="0" fontId="13" fillId="0" borderId="0" xfId="0" applyFont="1" applyAlignment="1">
      <alignment vertical="center"/>
    </xf>
    <xf numFmtId="0" fontId="0" fillId="5" borderId="0" xfId="0" applyFont="1" applyFill="1"/>
    <xf numFmtId="0" fontId="14" fillId="17" borderId="0" xfId="0" applyFont="1" applyFill="1" applyAlignment="1">
      <alignment vertical="top"/>
    </xf>
    <xf numFmtId="0" fontId="12" fillId="0" borderId="0" xfId="0" applyFont="1" applyAlignment="1">
      <alignment horizontal="left"/>
    </xf>
    <xf numFmtId="0" fontId="12" fillId="0" borderId="0" xfId="0" applyFont="1" applyAlignment="1">
      <alignment horizontal="left" vertical="top" wrapText="1"/>
    </xf>
    <xf numFmtId="0" fontId="23" fillId="0" borderId="0" xfId="0" applyFont="1" applyAlignment="1">
      <alignment vertical="top"/>
    </xf>
    <xf numFmtId="0" fontId="13" fillId="16" borderId="1" xfId="0" applyFont="1" applyFill="1" applyBorder="1" applyAlignment="1">
      <alignment horizontal="center" vertical="top"/>
    </xf>
    <xf numFmtId="0" fontId="0" fillId="12" borderId="1" xfId="0" applyFont="1" applyFill="1" applyBorder="1" applyAlignment="1">
      <alignment horizontal="left" vertical="top"/>
    </xf>
    <xf numFmtId="164" fontId="0" fillId="0" borderId="1" xfId="1" applyNumberFormat="1" applyFont="1" applyBorder="1" applyAlignment="1">
      <alignment horizontal="center" vertical="top"/>
    </xf>
    <xf numFmtId="0" fontId="13" fillId="8" borderId="0" xfId="0" applyFont="1" applyFill="1" applyAlignment="1">
      <alignment horizontal="center" vertical="top"/>
    </xf>
    <xf numFmtId="0" fontId="0" fillId="8" borderId="0" xfId="0" applyFont="1" applyFill="1" applyAlignment="1">
      <alignment vertical="top"/>
    </xf>
    <xf numFmtId="0" fontId="0" fillId="18" borderId="0" xfId="0" applyFont="1" applyFill="1" applyAlignment="1">
      <alignment vertical="top"/>
    </xf>
    <xf numFmtId="0" fontId="0" fillId="12" borderId="0" xfId="0" applyFont="1" applyFill="1" applyAlignment="1">
      <alignment vertical="top"/>
    </xf>
    <xf numFmtId="0" fontId="12" fillId="0" borderId="0" xfId="0" applyFont="1" applyAlignment="1">
      <alignment vertical="top"/>
    </xf>
    <xf numFmtId="0" fontId="12" fillId="18" borderId="0" xfId="0" applyFont="1" applyFill="1" applyAlignment="1">
      <alignment vertical="top"/>
    </xf>
    <xf numFmtId="166" fontId="12" fillId="0" borderId="0" xfId="0" applyNumberFormat="1" applyFont="1" applyAlignment="1">
      <alignment vertical="top"/>
    </xf>
    <xf numFmtId="166" fontId="0" fillId="0" borderId="0" xfId="0" applyNumberFormat="1" applyFont="1" applyAlignment="1">
      <alignment vertical="top"/>
    </xf>
    <xf numFmtId="0" fontId="0" fillId="12" borderId="0" xfId="0" applyFont="1" applyFill="1" applyAlignment="1">
      <alignment horizontal="left" vertical="top"/>
    </xf>
    <xf numFmtId="11" fontId="0" fillId="12" borderId="0" xfId="0" applyNumberFormat="1" applyFont="1" applyFill="1" applyAlignment="1">
      <alignment vertical="top"/>
    </xf>
    <xf numFmtId="0" fontId="7" fillId="12" borderId="0" xfId="3" applyFont="1" applyFill="1" applyAlignment="1">
      <alignment vertical="top"/>
    </xf>
    <xf numFmtId="165" fontId="0" fillId="12" borderId="0" xfId="1" applyNumberFormat="1" applyFont="1" applyFill="1" applyAlignment="1">
      <alignment vertical="top"/>
    </xf>
    <xf numFmtId="164" fontId="23" fillId="12" borderId="0" xfId="1" applyNumberFormat="1" applyFont="1" applyFill="1" applyAlignment="1">
      <alignment vertical="top"/>
    </xf>
    <xf numFmtId="0" fontId="0" fillId="0" borderId="0" xfId="0" applyFont="1" applyAlignment="1">
      <alignment horizontal="left" vertical="top"/>
    </xf>
    <xf numFmtId="0" fontId="7" fillId="12" borderId="0" xfId="3" applyFont="1" applyFill="1" applyAlignment="1">
      <alignment horizontal="left" vertical="top"/>
    </xf>
    <xf numFmtId="0" fontId="0" fillId="10" borderId="0" xfId="0" applyFont="1" applyFill="1" applyAlignment="1">
      <alignment horizontal="center"/>
    </xf>
    <xf numFmtId="2" fontId="12" fillId="12" borderId="0" xfId="0" applyNumberFormat="1" applyFont="1" applyFill="1" applyAlignment="1">
      <alignment vertical="top"/>
    </xf>
    <xf numFmtId="1" fontId="12" fillId="0" borderId="0" xfId="0" applyNumberFormat="1" applyFont="1" applyAlignment="1">
      <alignment vertical="top"/>
    </xf>
    <xf numFmtId="0" fontId="12" fillId="12" borderId="0" xfId="0" applyFont="1" applyFill="1" applyAlignment="1">
      <alignment horizontal="left" vertical="top"/>
    </xf>
    <xf numFmtId="165" fontId="12" fillId="12" borderId="0" xfId="0" applyNumberFormat="1" applyFont="1" applyFill="1" applyAlignment="1">
      <alignment horizontal="right" vertical="top"/>
    </xf>
    <xf numFmtId="165" fontId="12" fillId="0" borderId="0" xfId="0" applyNumberFormat="1" applyFont="1" applyAlignment="1">
      <alignment vertical="top"/>
    </xf>
    <xf numFmtId="0" fontId="13" fillId="16" borderId="0" xfId="0" applyFont="1" applyFill="1" applyAlignment="1">
      <alignment horizontal="left" vertical="top"/>
    </xf>
    <xf numFmtId="0" fontId="13" fillId="4" borderId="0" xfId="0" applyFont="1" applyFill="1" applyAlignment="1">
      <alignment horizontal="left" vertical="top"/>
    </xf>
    <xf numFmtId="0" fontId="13" fillId="4" borderId="0" xfId="0" applyFont="1" applyFill="1" applyAlignment="1">
      <alignment horizontal="center" vertical="top" wrapText="1"/>
    </xf>
    <xf numFmtId="0" fontId="13" fillId="12" borderId="1" xfId="0" applyFont="1" applyFill="1" applyBorder="1" applyAlignment="1">
      <alignment horizontal="center" vertical="top"/>
    </xf>
    <xf numFmtId="2" fontId="0" fillId="18" borderId="0" xfId="2" applyNumberFormat="1" applyFont="1" applyFill="1" applyAlignment="1">
      <alignment vertical="top"/>
    </xf>
    <xf numFmtId="0" fontId="0" fillId="3" borderId="0" xfId="0" applyFont="1" applyFill="1" applyAlignment="1">
      <alignment vertical="top"/>
    </xf>
    <xf numFmtId="2" fontId="0" fillId="12" borderId="0" xfId="2" applyNumberFormat="1" applyFont="1" applyFill="1" applyAlignment="1">
      <alignment vertical="top"/>
    </xf>
    <xf numFmtId="0" fontId="0" fillId="9" borderId="0" xfId="0" applyFont="1" applyFill="1"/>
    <xf numFmtId="0" fontId="14" fillId="17" borderId="0" xfId="0" applyFont="1" applyFill="1" applyAlignment="1">
      <alignment vertical="center"/>
    </xf>
    <xf numFmtId="0" fontId="14" fillId="17" borderId="0" xfId="0" applyFont="1" applyFill="1" applyAlignment="1">
      <alignment horizontal="center" vertical="center"/>
    </xf>
    <xf numFmtId="0" fontId="0" fillId="0" borderId="0" xfId="0" applyFont="1" applyAlignment="1">
      <alignment horizontal="left" wrapText="1"/>
    </xf>
    <xf numFmtId="0" fontId="0" fillId="12" borderId="1" xfId="0" applyFont="1" applyFill="1" applyBorder="1" applyAlignment="1">
      <alignment horizontal="center" vertical="top"/>
    </xf>
    <xf numFmtId="0" fontId="13" fillId="8" borderId="0" xfId="0" applyFont="1" applyFill="1" applyAlignment="1">
      <alignment horizontal="center"/>
    </xf>
    <xf numFmtId="168" fontId="0" fillId="18" borderId="0" xfId="1" applyNumberFormat="1" applyFont="1" applyFill="1" applyBorder="1" applyAlignment="1">
      <alignment horizontal="center" vertical="center"/>
    </xf>
    <xf numFmtId="0" fontId="23" fillId="0" borderId="0" xfId="0" applyFont="1"/>
    <xf numFmtId="0" fontId="0" fillId="12" borderId="0" xfId="0" applyFont="1" applyFill="1" applyAlignment="1">
      <alignment horizontal="left" vertical="center"/>
    </xf>
    <xf numFmtId="168" fontId="0" fillId="0" borderId="0" xfId="1" applyNumberFormat="1" applyFont="1" applyBorder="1" applyAlignment="1">
      <alignment horizontal="center" vertical="center"/>
    </xf>
    <xf numFmtId="0" fontId="0" fillId="12" borderId="0" xfId="0" applyFont="1" applyFill="1"/>
    <xf numFmtId="0" fontId="0" fillId="12" borderId="0" xfId="0" applyFont="1" applyFill="1" applyAlignment="1">
      <alignment vertical="center"/>
    </xf>
    <xf numFmtId="0" fontId="7" fillId="12" borderId="0" xfId="3" applyFont="1" applyFill="1" applyBorder="1"/>
    <xf numFmtId="169" fontId="0" fillId="0" borderId="0" xfId="1" applyNumberFormat="1" applyFont="1" applyBorder="1" applyAlignment="1">
      <alignment horizontal="center" vertical="center"/>
    </xf>
    <xf numFmtId="164" fontId="23" fillId="12" borderId="0" xfId="1" applyNumberFormat="1" applyFont="1" applyFill="1" applyBorder="1" applyAlignment="1">
      <alignment vertical="center"/>
    </xf>
    <xf numFmtId="0" fontId="7" fillId="12" borderId="0" xfId="3" applyFont="1" applyFill="1" applyBorder="1" applyAlignment="1">
      <alignment vertical="center"/>
    </xf>
    <xf numFmtId="0" fontId="34" fillId="0" borderId="0" xfId="0" applyFont="1" applyAlignment="1">
      <alignment vertical="top"/>
    </xf>
    <xf numFmtId="0" fontId="0" fillId="0" borderId="0" xfId="0" applyFont="1" applyAlignment="1">
      <alignment wrapText="1"/>
    </xf>
    <xf numFmtId="164" fontId="0" fillId="0" borderId="0" xfId="1" applyNumberFormat="1" applyFont="1" applyBorder="1" applyAlignment="1">
      <alignment horizontal="center" vertical="top"/>
    </xf>
    <xf numFmtId="0" fontId="12" fillId="12" borderId="0" xfId="0" applyFont="1" applyFill="1" applyAlignment="1">
      <alignment horizontal="left"/>
    </xf>
    <xf numFmtId="165" fontId="12" fillId="12" borderId="0" xfId="0" applyNumberFormat="1" applyFont="1" applyFill="1" applyAlignment="1">
      <alignment horizontal="right" vertical="center"/>
    </xf>
    <xf numFmtId="11" fontId="0" fillId="0" borderId="0" xfId="1" applyNumberFormat="1" applyFont="1" applyBorder="1" applyAlignment="1">
      <alignment horizontal="right" vertical="center"/>
    </xf>
    <xf numFmtId="0" fontId="0" fillId="0" borderId="0" xfId="0" applyFont="1" applyAlignment="1">
      <alignment horizontal="left" vertical="center"/>
    </xf>
    <xf numFmtId="0" fontId="12" fillId="0" borderId="0" xfId="0" applyFont="1" applyAlignment="1">
      <alignment horizontal="left" vertical="center"/>
    </xf>
    <xf numFmtId="0" fontId="0" fillId="18" borderId="0" xfId="0" applyFont="1" applyFill="1"/>
    <xf numFmtId="2" fontId="0" fillId="12" borderId="0" xfId="2" applyNumberFormat="1" applyFont="1" applyFill="1" applyBorder="1" applyAlignment="1">
      <alignment vertical="top"/>
    </xf>
    <xf numFmtId="168" fontId="0" fillId="12" borderId="0" xfId="1" applyNumberFormat="1" applyFont="1" applyFill="1" applyBorder="1" applyAlignment="1">
      <alignment horizontal="center" vertical="center"/>
    </xf>
    <xf numFmtId="0" fontId="26" fillId="0" borderId="0" xfId="0" applyFont="1"/>
    <xf numFmtId="171" fontId="0" fillId="18" borderId="0" xfId="0" applyNumberFormat="1" applyFont="1" applyFill="1"/>
    <xf numFmtId="0" fontId="0" fillId="0" borderId="0" xfId="0" applyFont="1" applyAlignment="1">
      <alignment horizontal="left" vertical="top" wrapText="1"/>
    </xf>
    <xf numFmtId="0" fontId="0" fillId="0" borderId="1" xfId="0" applyFont="1" applyBorder="1" applyAlignment="1">
      <alignment horizontal="center" vertical="center" wrapText="1"/>
    </xf>
    <xf numFmtId="0" fontId="0" fillId="0" borderId="14" xfId="0" applyFont="1" applyBorder="1"/>
    <xf numFmtId="0" fontId="0" fillId="0" borderId="17" xfId="0" applyFont="1" applyBorder="1"/>
    <xf numFmtId="0" fontId="0" fillId="0" borderId="19" xfId="0" applyFont="1" applyBorder="1"/>
    <xf numFmtId="0" fontId="0" fillId="0" borderId="1" xfId="0" applyFont="1" applyBorder="1" applyAlignment="1">
      <alignment horizontal="center" wrapText="1"/>
    </xf>
    <xf numFmtId="0" fontId="12" fillId="0" borderId="1" xfId="0" applyFont="1" applyBorder="1" applyAlignment="1">
      <alignment horizontal="left" vertical="top" wrapText="1"/>
    </xf>
    <xf numFmtId="0" fontId="23" fillId="0" borderId="0" xfId="0" applyFont="1" applyAlignment="1">
      <alignment horizontal="left" wrapText="1"/>
    </xf>
    <xf numFmtId="0" fontId="0" fillId="18" borderId="0" xfId="0" applyFont="1" applyFill="1" applyAlignment="1">
      <alignment horizontal="center"/>
    </xf>
    <xf numFmtId="0" fontId="12" fillId="9" borderId="0" xfId="0" applyFont="1" applyFill="1" applyAlignment="1">
      <alignment horizontal="left" wrapText="1"/>
    </xf>
    <xf numFmtId="164" fontId="0" fillId="16" borderId="0" xfId="1" applyNumberFormat="1" applyFont="1" applyFill="1" applyAlignment="1">
      <alignment horizontal="center" vertical="top"/>
    </xf>
    <xf numFmtId="1" fontId="0" fillId="0" borderId="0" xfId="0" applyNumberFormat="1" applyFont="1"/>
    <xf numFmtId="0" fontId="12" fillId="9" borderId="0" xfId="0" applyFont="1" applyFill="1"/>
    <xf numFmtId="0" fontId="0" fillId="12" borderId="1" xfId="0" applyFont="1" applyFill="1" applyBorder="1" applyAlignment="1">
      <alignment horizontal="left"/>
    </xf>
    <xf numFmtId="0" fontId="14" fillId="17" borderId="0" xfId="0" applyFont="1" applyFill="1" applyAlignment="1">
      <alignment vertical="center" wrapText="1"/>
    </xf>
    <xf numFmtId="0" fontId="12" fillId="0" borderId="0" xfId="0" applyFont="1" applyAlignment="1">
      <alignment horizontal="left" vertical="center" wrapText="1"/>
    </xf>
    <xf numFmtId="170" fontId="0" fillId="0" borderId="1" xfId="1" applyNumberFormat="1" applyFont="1" applyBorder="1" applyAlignment="1">
      <alignment horizontal="center" vertical="center"/>
    </xf>
    <xf numFmtId="164" fontId="0" fillId="0" borderId="1" xfId="1" applyNumberFormat="1" applyFont="1" applyBorder="1" applyAlignment="1">
      <alignment horizontal="center" vertical="center"/>
    </xf>
    <xf numFmtId="0" fontId="13" fillId="16" borderId="0" xfId="0" applyFont="1" applyFill="1" applyAlignment="1">
      <alignment horizontal="left" vertical="center"/>
    </xf>
    <xf numFmtId="0" fontId="13" fillId="4" borderId="0" xfId="0" applyFont="1" applyFill="1" applyAlignment="1">
      <alignment horizontal="left" vertical="center"/>
    </xf>
    <xf numFmtId="0" fontId="13" fillId="4" borderId="0" xfId="0" applyFont="1" applyFill="1" applyAlignment="1">
      <alignment horizontal="center" vertical="center" wrapText="1"/>
    </xf>
    <xf numFmtId="0" fontId="13" fillId="12" borderId="14" xfId="0" applyFont="1" applyFill="1" applyBorder="1" applyAlignment="1">
      <alignment horizontal="center"/>
    </xf>
    <xf numFmtId="164" fontId="0" fillId="0" borderId="15" xfId="1" applyNumberFormat="1" applyFont="1" applyBorder="1" applyAlignment="1">
      <alignment horizontal="center" vertical="center"/>
    </xf>
    <xf numFmtId="164" fontId="0" fillId="0" borderId="0" xfId="1" applyNumberFormat="1" applyFont="1" applyAlignment="1">
      <alignment horizontal="center" vertical="center"/>
    </xf>
    <xf numFmtId="0" fontId="13" fillId="12" borderId="22" xfId="0" applyFont="1" applyFill="1" applyBorder="1" applyAlignment="1">
      <alignment horizontal="center"/>
    </xf>
    <xf numFmtId="0" fontId="0" fillId="12" borderId="14" xfId="0" applyFont="1" applyFill="1" applyBorder="1" applyAlignment="1">
      <alignment horizontal="left"/>
    </xf>
    <xf numFmtId="0" fontId="0" fillId="12" borderId="17" xfId="0" applyFont="1" applyFill="1" applyBorder="1" applyAlignment="1">
      <alignment horizontal="left"/>
    </xf>
    <xf numFmtId="0" fontId="0" fillId="12" borderId="19" xfId="0" applyFont="1" applyFill="1" applyBorder="1" applyAlignment="1">
      <alignment horizontal="left"/>
    </xf>
    <xf numFmtId="0" fontId="0" fillId="0" borderId="0" xfId="0" applyFont="1" applyAlignment="1">
      <alignment horizontal="center"/>
    </xf>
    <xf numFmtId="0" fontId="0" fillId="0" borderId="1" xfId="0" applyFont="1" applyBorder="1" applyAlignment="1">
      <alignment horizontal="center"/>
    </xf>
    <xf numFmtId="0" fontId="0" fillId="0" borderId="8" xfId="0" applyFont="1" applyBorder="1"/>
    <xf numFmtId="0" fontId="0" fillId="0" borderId="0" xfId="0" applyFont="1" applyAlignment="1">
      <alignment horizontal="left"/>
    </xf>
    <xf numFmtId="0" fontId="27" fillId="26" borderId="0" xfId="0" applyFont="1" applyFill="1" applyAlignment="1">
      <alignment horizontal="left" vertical="center"/>
    </xf>
    <xf numFmtId="0" fontId="12" fillId="0" borderId="1" xfId="0" applyFont="1" applyBorder="1" applyAlignment="1">
      <alignment horizontal="left" wrapText="1"/>
    </xf>
    <xf numFmtId="0" fontId="13" fillId="12" borderId="1" xfId="0" applyFont="1" applyFill="1" applyBorder="1" applyAlignment="1">
      <alignment horizontal="center"/>
    </xf>
    <xf numFmtId="0" fontId="13" fillId="16" borderId="6" xfId="0" applyFont="1" applyFill="1" applyBorder="1" applyAlignment="1">
      <alignment horizontal="center" vertical="top"/>
    </xf>
    <xf numFmtId="0" fontId="23" fillId="0" borderId="0" xfId="0" applyFont="1" applyAlignment="1">
      <alignment horizontal="left" vertical="center" wrapText="1"/>
    </xf>
    <xf numFmtId="0" fontId="13" fillId="12" borderId="13" xfId="0" applyFont="1" applyFill="1" applyBorder="1" applyAlignment="1">
      <alignment horizontal="center" vertical="top"/>
    </xf>
    <xf numFmtId="0" fontId="0" fillId="12" borderId="6" xfId="0" applyFont="1" applyFill="1" applyBorder="1" applyAlignment="1">
      <alignment horizontal="left" vertical="center"/>
    </xf>
    <xf numFmtId="0" fontId="0" fillId="12" borderId="7" xfId="0" applyFont="1" applyFill="1" applyBorder="1" applyAlignment="1">
      <alignment horizontal="left" vertical="center"/>
    </xf>
    <xf numFmtId="0" fontId="0" fillId="12" borderId="8" xfId="0" applyFont="1" applyFill="1" applyBorder="1" applyAlignment="1">
      <alignment horizontal="left" vertical="center"/>
    </xf>
    <xf numFmtId="164" fontId="0" fillId="18" borderId="17" xfId="1" applyNumberFormat="1" applyFont="1" applyFill="1" applyBorder="1" applyAlignment="1">
      <alignment horizontal="center"/>
    </xf>
    <xf numFmtId="164" fontId="0" fillId="18" borderId="18" xfId="1" applyNumberFormat="1" applyFont="1" applyFill="1" applyBorder="1" applyAlignment="1">
      <alignment horizontal="center"/>
    </xf>
    <xf numFmtId="164" fontId="0" fillId="18" borderId="19" xfId="1" applyNumberFormat="1" applyFont="1" applyFill="1" applyBorder="1" applyAlignment="1">
      <alignment horizontal="center"/>
    </xf>
    <xf numFmtId="164" fontId="0" fillId="18" borderId="20" xfId="1" applyNumberFormat="1" applyFont="1" applyFill="1" applyBorder="1" applyAlignment="1">
      <alignment horizontal="center"/>
    </xf>
    <xf numFmtId="164" fontId="0" fillId="18" borderId="21" xfId="1" applyNumberFormat="1" applyFont="1" applyFill="1" applyBorder="1" applyAlignment="1">
      <alignment horizontal="center"/>
    </xf>
    <xf numFmtId="0" fontId="0" fillId="12" borderId="14" xfId="0" applyFont="1" applyFill="1" applyBorder="1" applyAlignment="1">
      <alignment horizontal="left" vertical="center"/>
    </xf>
    <xf numFmtId="0" fontId="0" fillId="12" borderId="17" xfId="0" applyFont="1" applyFill="1" applyBorder="1" applyAlignment="1">
      <alignment horizontal="left" vertical="center"/>
    </xf>
    <xf numFmtId="0" fontId="0" fillId="12" borderId="19" xfId="0" applyFont="1" applyFill="1" applyBorder="1" applyAlignment="1">
      <alignment horizontal="left" vertical="center"/>
    </xf>
    <xf numFmtId="164" fontId="0" fillId="18" borderId="21" xfId="1" applyNumberFormat="1" applyFont="1" applyFill="1" applyBorder="1" applyAlignment="1">
      <alignment horizontal="center" vertical="center"/>
    </xf>
    <xf numFmtId="0" fontId="0" fillId="12" borderId="1" xfId="0" applyFont="1" applyFill="1" applyBorder="1" applyAlignment="1">
      <alignment horizontal="left" vertical="center"/>
    </xf>
    <xf numFmtId="0" fontId="13" fillId="12" borderId="6" xfId="0" applyFont="1" applyFill="1" applyBorder="1" applyAlignment="1">
      <alignment horizontal="center" vertical="top"/>
    </xf>
    <xf numFmtId="0" fontId="13" fillId="12" borderId="14" xfId="0" applyFont="1" applyFill="1" applyBorder="1" applyAlignment="1">
      <alignment horizontal="center" vertical="top"/>
    </xf>
    <xf numFmtId="0" fontId="13" fillId="12" borderId="15" xfId="0" applyFont="1" applyFill="1" applyBorder="1" applyAlignment="1">
      <alignment horizontal="center" vertical="top"/>
    </xf>
    <xf numFmtId="0" fontId="13" fillId="12" borderId="16" xfId="0" applyFont="1" applyFill="1" applyBorder="1" applyAlignment="1">
      <alignment horizontal="center" vertical="top"/>
    </xf>
    <xf numFmtId="0" fontId="0" fillId="12" borderId="7" xfId="0" applyFont="1" applyFill="1" applyBorder="1" applyAlignment="1">
      <alignment horizontal="left" vertical="top"/>
    </xf>
    <xf numFmtId="0" fontId="0" fillId="12" borderId="8" xfId="0" applyFont="1" applyFill="1" applyBorder="1" applyAlignment="1">
      <alignment horizontal="left" vertical="top"/>
    </xf>
    <xf numFmtId="0" fontId="13" fillId="0" borderId="0" xfId="0" applyFont="1" applyAlignment="1">
      <alignment horizontal="center" vertical="center"/>
    </xf>
    <xf numFmtId="0" fontId="23" fillId="0" borderId="0" xfId="0" applyFont="1" applyAlignment="1">
      <alignment horizontal="center" vertical="center" wrapText="1"/>
    </xf>
    <xf numFmtId="0" fontId="12" fillId="0" borderId="0" xfId="0" applyFont="1" applyAlignment="1">
      <alignment horizontal="left" vertical="center" wrapText="1"/>
    </xf>
    <xf numFmtId="0" fontId="12" fillId="0" borderId="0" xfId="0" applyFont="1" applyAlignment="1">
      <alignment horizontal="center" vertical="center" wrapText="1"/>
    </xf>
    <xf numFmtId="0" fontId="0" fillId="12" borderId="0" xfId="0" applyFont="1" applyFill="1" applyAlignment="1">
      <alignment horizontal="left"/>
    </xf>
    <xf numFmtId="0" fontId="13" fillId="10" borderId="0" xfId="0" applyFont="1" applyFill="1" applyAlignment="1">
      <alignment horizontal="center"/>
    </xf>
    <xf numFmtId="11" fontId="0" fillId="0" borderId="0" xfId="0" applyNumberFormat="1" applyFont="1" applyAlignment="1">
      <alignment horizontal="center" vertical="center"/>
    </xf>
    <xf numFmtId="0" fontId="13" fillId="12" borderId="15" xfId="0" applyFont="1" applyFill="1" applyBorder="1" applyAlignment="1">
      <alignment horizontal="center"/>
    </xf>
    <xf numFmtId="0" fontId="13" fillId="12" borderId="16" xfId="0" applyFont="1" applyFill="1" applyBorder="1" applyAlignment="1">
      <alignment horizontal="center"/>
    </xf>
    <xf numFmtId="0" fontId="0" fillId="12" borderId="19" xfId="0" applyFont="1" applyFill="1" applyBorder="1" applyAlignment="1">
      <alignment horizontal="left" vertical="top"/>
    </xf>
    <xf numFmtId="164" fontId="0" fillId="18" borderId="20" xfId="1" applyNumberFormat="1" applyFont="1" applyFill="1" applyBorder="1" applyAlignment="1">
      <alignment horizontal="center" vertical="center"/>
    </xf>
    <xf numFmtId="166" fontId="13" fillId="0" borderId="0" xfId="0" applyNumberFormat="1" applyFont="1" applyAlignment="1">
      <alignment horizontal="center" vertical="center"/>
    </xf>
    <xf numFmtId="166" fontId="0" fillId="0" borderId="0" xfId="0" applyNumberFormat="1" applyFont="1" applyAlignment="1">
      <alignment horizontal="center" vertical="center"/>
    </xf>
    <xf numFmtId="0" fontId="23" fillId="0" borderId="0" xfId="0" applyFont="1" applyAlignment="1">
      <alignment horizontal="left" vertical="center"/>
    </xf>
    <xf numFmtId="0" fontId="23" fillId="0" borderId="0" xfId="0" applyFont="1" applyAlignment="1">
      <alignment horizontal="center" vertical="center"/>
    </xf>
    <xf numFmtId="0" fontId="7" fillId="12" borderId="0" xfId="3" applyFont="1" applyFill="1"/>
    <xf numFmtId="164" fontId="23" fillId="12" borderId="0" xfId="1" applyNumberFormat="1" applyFont="1" applyFill="1" applyAlignment="1">
      <alignment vertical="center"/>
    </xf>
    <xf numFmtId="0" fontId="7" fillId="12" borderId="0" xfId="3" applyFont="1" applyFill="1" applyAlignment="1">
      <alignment vertical="center"/>
    </xf>
    <xf numFmtId="11" fontId="0" fillId="12" borderId="0" xfId="0" applyNumberFormat="1" applyFont="1" applyFill="1" applyAlignment="1">
      <alignment vertical="center"/>
    </xf>
    <xf numFmtId="164" fontId="0" fillId="18" borderId="0" xfId="1" applyNumberFormat="1" applyFont="1" applyFill="1" applyAlignment="1">
      <alignment horizontal="left" vertical="center"/>
    </xf>
    <xf numFmtId="0" fontId="23" fillId="0" borderId="0" xfId="0" applyFont="1" applyAlignment="1">
      <alignment horizontal="left" vertical="center" wrapText="1"/>
    </xf>
    <xf numFmtId="43" fontId="0" fillId="0" borderId="0" xfId="1" applyFont="1" applyAlignment="1">
      <alignment horizontal="left" vertical="center"/>
    </xf>
    <xf numFmtId="0" fontId="23" fillId="18" borderId="0" xfId="0" applyFont="1" applyFill="1" applyAlignment="1">
      <alignment horizontal="right" vertical="center"/>
    </xf>
    <xf numFmtId="0" fontId="0" fillId="0" borderId="6" xfId="0" applyFont="1" applyBorder="1" applyAlignment="1">
      <alignment horizontal="center" vertical="top"/>
    </xf>
    <xf numFmtId="0" fontId="0" fillId="0" borderId="1" xfId="0" applyFont="1" applyBorder="1" applyAlignment="1">
      <alignment horizontal="left" vertical="top" wrapText="1"/>
    </xf>
    <xf numFmtId="0" fontId="0" fillId="0" borderId="7" xfId="0" applyFont="1" applyBorder="1" applyAlignment="1">
      <alignment horizontal="center" vertical="top"/>
    </xf>
    <xf numFmtId="0" fontId="0" fillId="0" borderId="8" xfId="0" applyFont="1" applyBorder="1" applyAlignment="1">
      <alignment horizontal="center" vertical="top"/>
    </xf>
    <xf numFmtId="0" fontId="0" fillId="3" borderId="0" xfId="0" applyFont="1" applyFill="1"/>
    <xf numFmtId="0" fontId="0" fillId="9" borderId="0" xfId="0" applyFont="1" applyFill="1" applyAlignment="1">
      <alignment vertical="center"/>
    </xf>
    <xf numFmtId="0" fontId="0" fillId="8" borderId="0" xfId="0" applyFont="1" applyFill="1" applyAlignment="1">
      <alignment vertical="center" wrapText="1"/>
    </xf>
    <xf numFmtId="164" fontId="0" fillId="16" borderId="0" xfId="1" applyNumberFormat="1" applyFont="1" applyFill="1" applyBorder="1" applyAlignment="1">
      <alignment horizontal="center" vertical="center"/>
    </xf>
    <xf numFmtId="1" fontId="0" fillId="0" borderId="0" xfId="0" applyNumberFormat="1" applyFont="1" applyAlignment="1">
      <alignment vertical="center"/>
    </xf>
    <xf numFmtId="0" fontId="14" fillId="17" borderId="0" xfId="0" applyNumberFormat="1" applyFont="1" applyFill="1" applyAlignment="1">
      <alignment vertical="center"/>
    </xf>
    <xf numFmtId="0" fontId="13" fillId="9" borderId="1" xfId="0" applyFont="1" applyFill="1" applyBorder="1" applyAlignment="1">
      <alignment horizontal="center"/>
    </xf>
    <xf numFmtId="0" fontId="0" fillId="12" borderId="1" xfId="0" applyFont="1" applyFill="1" applyBorder="1" applyAlignment="1">
      <alignment horizontal="center"/>
    </xf>
    <xf numFmtId="1" fontId="0" fillId="0" borderId="1" xfId="1" applyNumberFormat="1" applyFont="1" applyBorder="1" applyAlignment="1">
      <alignment horizontal="center" vertical="center"/>
    </xf>
    <xf numFmtId="0" fontId="12" fillId="12" borderId="1" xfId="0" applyFont="1" applyFill="1" applyBorder="1" applyAlignment="1">
      <alignment horizontal="center"/>
    </xf>
    <xf numFmtId="1" fontId="12" fillId="0" borderId="1" xfId="1" applyNumberFormat="1" applyFont="1" applyBorder="1" applyAlignment="1">
      <alignment horizontal="center" vertical="center"/>
    </xf>
    <xf numFmtId="0" fontId="0" fillId="12" borderId="0" xfId="0" applyFont="1" applyFill="1" applyBorder="1" applyAlignment="1">
      <alignment horizontal="center" vertical="top"/>
    </xf>
    <xf numFmtId="1" fontId="0" fillId="0" borderId="0" xfId="0" applyNumberFormat="1" applyFont="1" applyBorder="1" applyAlignment="1">
      <alignment horizontal="center" vertical="center"/>
    </xf>
    <xf numFmtId="0" fontId="13" fillId="8" borderId="0" xfId="0" applyFont="1" applyFill="1" applyAlignment="1">
      <alignment horizontal="left"/>
    </xf>
    <xf numFmtId="11" fontId="0" fillId="0" borderId="0" xfId="0" applyNumberFormat="1" applyFont="1" applyAlignment="1">
      <alignment horizontal="left" vertical="center" wrapText="1"/>
    </xf>
    <xf numFmtId="0" fontId="0" fillId="12" borderId="0" xfId="0" applyNumberFormat="1" applyFont="1" applyFill="1" applyAlignment="1">
      <alignment vertical="center"/>
    </xf>
    <xf numFmtId="0" fontId="0" fillId="8" borderId="0" xfId="0" applyNumberFormat="1" applyFont="1" applyFill="1" applyAlignment="1">
      <alignment vertical="center"/>
    </xf>
    <xf numFmtId="0" fontId="0" fillId="18" borderId="0" xfId="0" applyNumberFormat="1" applyFont="1" applyFill="1" applyAlignment="1">
      <alignment horizontal="center" vertical="center"/>
    </xf>
    <xf numFmtId="11" fontId="0" fillId="8" borderId="0" xfId="0" applyNumberFormat="1" applyFont="1" applyFill="1" applyAlignment="1">
      <alignment horizontal="left" vertical="center"/>
    </xf>
    <xf numFmtId="11" fontId="0" fillId="0" borderId="0" xfId="0" applyNumberFormat="1" applyFont="1" applyAlignment="1">
      <alignment horizontal="left" vertical="center"/>
    </xf>
    <xf numFmtId="165" fontId="0" fillId="12" borderId="0" xfId="1" applyNumberFormat="1" applyFont="1" applyFill="1" applyAlignment="1">
      <alignment vertical="center"/>
    </xf>
    <xf numFmtId="0" fontId="0" fillId="12" borderId="0" xfId="0" applyFont="1" applyFill="1" applyAlignment="1">
      <alignment vertical="center" wrapText="1"/>
    </xf>
    <xf numFmtId="0" fontId="0" fillId="12" borderId="0" xfId="0" applyFont="1" applyFill="1" applyAlignment="1">
      <alignment vertical="center" wrapText="1"/>
    </xf>
    <xf numFmtId="0" fontId="7" fillId="12" borderId="0" xfId="3" applyFont="1" applyFill="1" applyAlignment="1">
      <alignment horizontal="left"/>
    </xf>
    <xf numFmtId="0" fontId="7" fillId="12" borderId="0" xfId="3" applyFont="1" applyFill="1" applyAlignment="1">
      <alignment horizontal="left" vertical="center"/>
    </xf>
    <xf numFmtId="0" fontId="12" fillId="3" borderId="0" xfId="0" applyFont="1" applyFill="1" applyAlignment="1">
      <alignment horizontal="left"/>
    </xf>
    <xf numFmtId="1" fontId="12" fillId="18" borderId="0" xfId="0" applyNumberFormat="1" applyFont="1" applyFill="1" applyAlignment="1">
      <alignment horizontal="right" vertical="center"/>
    </xf>
    <xf numFmtId="1" fontId="12" fillId="0" borderId="0" xfId="0" applyNumberFormat="1" applyFont="1" applyFill="1" applyAlignment="1">
      <alignment horizontal="right" vertical="center"/>
    </xf>
    <xf numFmtId="2" fontId="12" fillId="0" borderId="0" xfId="0" applyNumberFormat="1" applyFont="1" applyFill="1" applyAlignment="1">
      <alignment horizontal="right" vertical="center"/>
    </xf>
    <xf numFmtId="165" fontId="12" fillId="0" borderId="0" xfId="0" applyNumberFormat="1" applyFont="1" applyFill="1" applyAlignment="1">
      <alignment horizontal="right" vertical="center"/>
    </xf>
    <xf numFmtId="11" fontId="12" fillId="0" borderId="0" xfId="0" applyNumberFormat="1" applyFont="1" applyFill="1" applyAlignment="1">
      <alignment horizontal="right" vertical="center"/>
    </xf>
    <xf numFmtId="0" fontId="36" fillId="21" borderId="0" xfId="0" applyFont="1" applyFill="1" applyAlignment="1">
      <alignment horizontal="center" vertical="center" wrapText="1"/>
    </xf>
    <xf numFmtId="0" fontId="12" fillId="0" borderId="0" xfId="0" applyFont="1" applyAlignment="1">
      <alignment horizontal="left" vertical="top"/>
    </xf>
    <xf numFmtId="0" fontId="12" fillId="0" borderId="0" xfId="0" applyFont="1" applyFill="1"/>
    <xf numFmtId="0" fontId="20" fillId="0" borderId="0" xfId="0" applyFont="1" applyAlignment="1">
      <alignment vertical="top"/>
    </xf>
    <xf numFmtId="0" fontId="0" fillId="8" borderId="0" xfId="0" applyFont="1" applyFill="1" applyAlignment="1">
      <alignment wrapText="1"/>
    </xf>
    <xf numFmtId="0" fontId="27" fillId="9" borderId="0" xfId="0" applyFont="1" applyFill="1" applyAlignment="1">
      <alignment horizontal="left" vertical="center" wrapText="1"/>
    </xf>
    <xf numFmtId="0" fontId="12" fillId="0" borderId="0" xfId="0" applyFont="1" applyFill="1" applyAlignment="1">
      <alignment horizontal="left" vertical="center"/>
    </xf>
    <xf numFmtId="1" fontId="0" fillId="12" borderId="0" xfId="0" applyNumberFormat="1" applyFont="1" applyFill="1" applyAlignment="1">
      <alignment horizontal="center" vertical="center"/>
    </xf>
    <xf numFmtId="0" fontId="0" fillId="0" borderId="0" xfId="0" applyFont="1" applyFill="1" applyAlignment="1">
      <alignment vertical="center"/>
    </xf>
    <xf numFmtId="0" fontId="0" fillId="12" borderId="0" xfId="0" applyFont="1" applyFill="1" applyAlignment="1">
      <alignment horizontal="center"/>
    </xf>
    <xf numFmtId="3" fontId="0" fillId="12" borderId="0" xfId="0" applyNumberFormat="1" applyFont="1" applyFill="1" applyAlignment="1">
      <alignment horizontal="center"/>
    </xf>
    <xf numFmtId="0" fontId="12" fillId="0" borderId="0" xfId="0" applyFont="1" applyAlignment="1">
      <alignment vertical="center" wrapText="1"/>
    </xf>
    <xf numFmtId="3" fontId="0" fillId="12" borderId="1" xfId="0" applyNumberFormat="1" applyFont="1" applyFill="1" applyBorder="1" applyAlignment="1">
      <alignment horizontal="center"/>
    </xf>
    <xf numFmtId="3" fontId="0" fillId="12" borderId="0" xfId="0" applyNumberFormat="1" applyFont="1" applyFill="1" applyBorder="1" applyAlignment="1">
      <alignment horizontal="center"/>
    </xf>
    <xf numFmtId="0" fontId="0" fillId="12" borderId="0" xfId="0" applyFont="1" applyFill="1" applyAlignment="1">
      <alignment horizontal="right" vertical="center"/>
    </xf>
    <xf numFmtId="0" fontId="12" fillId="0" borderId="0" xfId="0" applyFont="1" applyAlignment="1">
      <alignment horizontal="center" vertical="center"/>
    </xf>
    <xf numFmtId="164" fontId="12" fillId="0" borderId="0" xfId="1" applyNumberFormat="1" applyFont="1" applyFill="1" applyAlignment="1">
      <alignment horizontal="right" vertical="center"/>
    </xf>
    <xf numFmtId="0" fontId="12" fillId="12" borderId="0" xfId="0" applyFont="1" applyFill="1" applyAlignment="1">
      <alignment vertical="center"/>
    </xf>
    <xf numFmtId="0" fontId="0" fillId="12" borderId="0" xfId="3" applyFont="1" applyFill="1" applyAlignment="1">
      <alignment horizontal="left" vertical="center" wrapText="1"/>
    </xf>
    <xf numFmtId="165" fontId="0" fillId="12" borderId="0" xfId="0" applyNumberFormat="1" applyFont="1" applyFill="1" applyAlignment="1">
      <alignment horizontal="right" vertical="center"/>
    </xf>
    <xf numFmtId="0" fontId="0" fillId="0" borderId="0" xfId="0" applyFont="1" applyAlignment="1">
      <alignment horizontal="right" vertical="center"/>
    </xf>
    <xf numFmtId="0" fontId="0" fillId="0" borderId="0" xfId="0" applyFont="1" applyBorder="1"/>
    <xf numFmtId="1" fontId="0" fillId="12" borderId="0" xfId="0" applyNumberFormat="1" applyFont="1" applyFill="1"/>
    <xf numFmtId="0" fontId="27" fillId="5" borderId="0" xfId="0" applyNumberFormat="1" applyFont="1" applyFill="1" applyAlignment="1">
      <alignment vertical="center"/>
    </xf>
    <xf numFmtId="0" fontId="27" fillId="5" borderId="0" xfId="0" applyFont="1" applyFill="1" applyAlignment="1">
      <alignment vertical="top"/>
    </xf>
    <xf numFmtId="0" fontId="12" fillId="0" borderId="1" xfId="0" applyFont="1" applyBorder="1" applyAlignment="1">
      <alignment horizontal="left" vertical="center" wrapText="1"/>
    </xf>
    <xf numFmtId="0" fontId="0" fillId="0" borderId="0" xfId="0" applyFont="1" applyAlignment="1">
      <alignment horizontal="left" vertical="center" wrapText="1"/>
    </xf>
    <xf numFmtId="1" fontId="0" fillId="12" borderId="1" xfId="0" applyNumberFormat="1" applyFont="1" applyFill="1" applyBorder="1" applyAlignment="1">
      <alignment horizontal="right"/>
    </xf>
    <xf numFmtId="1" fontId="0" fillId="0" borderId="0" xfId="0" applyNumberFormat="1" applyFont="1" applyAlignment="1">
      <alignment horizontal="center" vertical="center"/>
    </xf>
    <xf numFmtId="3" fontId="12" fillId="12" borderId="0" xfId="0" applyNumberFormat="1" applyFont="1" applyFill="1" applyAlignment="1">
      <alignment horizontal="center" vertical="center"/>
    </xf>
    <xf numFmtId="3" fontId="12" fillId="12" borderId="0" xfId="0" applyNumberFormat="1" applyFont="1" applyFill="1" applyAlignment="1">
      <alignment vertical="center"/>
    </xf>
    <xf numFmtId="0" fontId="12" fillId="12" borderId="0" xfId="0" applyFont="1" applyFill="1" applyAlignment="1">
      <alignment horizontal="center" vertical="center"/>
    </xf>
    <xf numFmtId="0" fontId="0" fillId="12" borderId="0" xfId="0" applyFont="1" applyFill="1" applyBorder="1" applyAlignment="1"/>
    <xf numFmtId="0" fontId="0" fillId="18"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applyAlignment="1"/>
    <xf numFmtId="0" fontId="0" fillId="0" borderId="0" xfId="0" applyFont="1" applyFill="1" applyBorder="1"/>
    <xf numFmtId="164" fontId="0" fillId="12" borderId="0" xfId="1" applyNumberFormat="1" applyFont="1" applyFill="1" applyAlignment="1">
      <alignment vertical="center"/>
    </xf>
    <xf numFmtId="0" fontId="12" fillId="0" borderId="0" xfId="0" applyFont="1" applyAlignment="1">
      <alignment vertical="center"/>
    </xf>
    <xf numFmtId="0" fontId="12" fillId="0" borderId="0" xfId="0" applyFont="1" applyBorder="1" applyAlignment="1">
      <alignment vertical="top"/>
    </xf>
    <xf numFmtId="0" fontId="23" fillId="0" borderId="0" xfId="0" applyFont="1" applyBorder="1" applyAlignment="1">
      <alignment vertical="top" wrapText="1"/>
    </xf>
    <xf numFmtId="0" fontId="0" fillId="0" borderId="0" xfId="0" applyFont="1" applyBorder="1" applyAlignment="1">
      <alignment horizontal="left" vertical="top" wrapText="1"/>
    </xf>
    <xf numFmtId="0" fontId="0" fillId="0" borderId="0" xfId="0" applyFont="1" applyBorder="1" applyAlignment="1">
      <alignment vertical="top"/>
    </xf>
    <xf numFmtId="0" fontId="0" fillId="0" borderId="0" xfId="0" applyFont="1" applyBorder="1" applyAlignment="1">
      <alignment horizontal="left" vertical="center"/>
    </xf>
    <xf numFmtId="0" fontId="0" fillId="0" borderId="0" xfId="0" applyFont="1" applyAlignment="1">
      <alignment horizontal="left" vertic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2" fontId="0" fillId="0" borderId="0" xfId="0" applyNumberFormat="1" applyFont="1" applyAlignment="1">
      <alignment horizontal="right" vertical="center"/>
    </xf>
    <xf numFmtId="0" fontId="12" fillId="18" borderId="0" xfId="0" applyFont="1" applyFill="1" applyAlignment="1">
      <alignment horizontal="right" vertical="center"/>
    </xf>
    <xf numFmtId="2" fontId="12" fillId="12" borderId="0" xfId="0" applyNumberFormat="1" applyFont="1" applyFill="1" applyAlignment="1">
      <alignment horizontal="right" vertical="center"/>
    </xf>
    <xf numFmtId="9" fontId="12" fillId="18" borderId="0" xfId="0" applyNumberFormat="1" applyFont="1" applyFill="1" applyAlignment="1">
      <alignment horizontal="right" vertical="center"/>
    </xf>
    <xf numFmtId="0" fontId="12" fillId="0" borderId="0" xfId="0" applyFont="1" applyAlignment="1">
      <alignment horizontal="right" vertical="center"/>
    </xf>
    <xf numFmtId="0" fontId="12" fillId="12" borderId="0" xfId="0" applyFont="1" applyFill="1"/>
    <xf numFmtId="0" fontId="14" fillId="9" borderId="0" xfId="0" applyFont="1" applyFill="1" applyAlignment="1">
      <alignment horizontal="center" vertical="center"/>
    </xf>
    <xf numFmtId="0" fontId="13" fillId="9" borderId="0" xfId="0" applyFont="1" applyFill="1" applyAlignment="1">
      <alignment horizontal="center" vertical="center"/>
    </xf>
    <xf numFmtId="0" fontId="13" fillId="2" borderId="0" xfId="0" applyFont="1" applyFill="1" applyAlignment="1">
      <alignment horizontal="center" vertical="center"/>
    </xf>
    <xf numFmtId="0" fontId="13" fillId="2" borderId="0" xfId="0" applyFont="1" applyFill="1" applyAlignment="1">
      <alignment horizontal="center" vertical="center" wrapText="1"/>
    </xf>
    <xf numFmtId="0" fontId="13" fillId="3" borderId="0" xfId="0" applyFont="1" applyFill="1" applyAlignment="1">
      <alignment horizontal="center" vertical="center" wrapText="1"/>
    </xf>
    <xf numFmtId="0" fontId="13" fillId="5" borderId="0" xfId="0" applyFont="1" applyFill="1" applyAlignment="1">
      <alignment horizontal="center" vertical="center" wrapText="1"/>
    </xf>
    <xf numFmtId="0" fontId="13" fillId="6" borderId="0" xfId="0" applyFont="1" applyFill="1" applyAlignment="1">
      <alignment horizontal="center" vertical="center" wrapText="1"/>
    </xf>
    <xf numFmtId="0" fontId="0" fillId="7" borderId="0" xfId="0" applyFont="1" applyFill="1" applyAlignment="1">
      <alignment horizontal="center" vertical="center"/>
    </xf>
    <xf numFmtId="9" fontId="0" fillId="12" borderId="0" xfId="2" applyFont="1" applyFill="1" applyAlignment="1">
      <alignment horizontal="center"/>
    </xf>
    <xf numFmtId="3" fontId="0" fillId="8" borderId="0" xfId="0" applyNumberFormat="1" applyFont="1" applyFill="1" applyAlignment="1">
      <alignment horizontal="center" vertical="center"/>
    </xf>
    <xf numFmtId="3" fontId="0" fillId="9" borderId="0" xfId="0" applyNumberFormat="1" applyFont="1" applyFill="1" applyAlignment="1">
      <alignment horizontal="center" vertical="center"/>
    </xf>
    <xf numFmtId="3" fontId="0" fillId="10" borderId="0" xfId="0" applyNumberFormat="1" applyFont="1" applyFill="1" applyAlignment="1">
      <alignment horizontal="center" vertical="center"/>
    </xf>
    <xf numFmtId="3" fontId="0" fillId="11" borderId="0" xfId="0" applyNumberFormat="1" applyFont="1" applyFill="1" applyAlignment="1">
      <alignment horizontal="center" vertical="center"/>
    </xf>
    <xf numFmtId="164" fontId="0" fillId="12" borderId="0" xfId="1" applyNumberFormat="1" applyFont="1" applyFill="1" applyAlignment="1">
      <alignment horizontal="center" vertical="center"/>
    </xf>
    <xf numFmtId="2" fontId="0" fillId="18" borderId="0" xfId="0" applyNumberFormat="1" applyFont="1" applyFill="1" applyAlignment="1">
      <alignment horizontal="center" vertical="top"/>
    </xf>
    <xf numFmtId="166" fontId="0" fillId="0" borderId="1" xfId="0" applyNumberFormat="1" applyFont="1" applyBorder="1" applyAlignment="1">
      <alignment horizontal="center" vertical="top"/>
    </xf>
    <xf numFmtId="1" fontId="12" fillId="0" borderId="0" xfId="0" applyNumberFormat="1" applyFont="1" applyFill="1"/>
    <xf numFmtId="0" fontId="0" fillId="0" borderId="0" xfId="0" applyFont="1" applyFill="1" applyAlignment="1"/>
    <xf numFmtId="0" fontId="12" fillId="0" borderId="0" xfId="0" applyFont="1" applyAlignment="1">
      <alignment horizontal="left" vertical="top" wrapText="1"/>
    </xf>
    <xf numFmtId="2" fontId="12" fillId="12" borderId="0" xfId="0" applyNumberFormat="1" applyFont="1" applyFill="1"/>
    <xf numFmtId="0" fontId="13" fillId="0" borderId="0" xfId="0" applyFont="1" applyAlignment="1">
      <alignment vertical="top" wrapText="1"/>
    </xf>
    <xf numFmtId="0" fontId="27" fillId="5" borderId="0" xfId="0" applyFont="1" applyFill="1" applyAlignment="1">
      <alignment vertical="center"/>
    </xf>
    <xf numFmtId="0" fontId="0" fillId="0" borderId="0" xfId="0" applyFont="1" applyAlignment="1"/>
    <xf numFmtId="0" fontId="0" fillId="0" borderId="0" xfId="0" applyFont="1" applyAlignment="1">
      <alignment horizontal="left" wrapText="1"/>
    </xf>
    <xf numFmtId="0" fontId="0" fillId="18" borderId="0" xfId="0" applyFont="1" applyFill="1" applyAlignment="1">
      <alignment vertical="center"/>
    </xf>
    <xf numFmtId="166" fontId="0" fillId="0" borderId="0" xfId="0" applyNumberFormat="1" applyFont="1"/>
    <xf numFmtId="0" fontId="0" fillId="0" borderId="0" xfId="0" applyFont="1" applyAlignment="1">
      <alignment vertical="top" wrapText="1"/>
    </xf>
    <xf numFmtId="0" fontId="27" fillId="5" borderId="0" xfId="0" applyFont="1" applyFill="1" applyAlignment="1">
      <alignment horizontal="left" vertical="top" wrapText="1"/>
    </xf>
    <xf numFmtId="0" fontId="12" fillId="0" borderId="0" xfId="0" applyFont="1" applyAlignment="1">
      <alignment vertical="top" wrapText="1"/>
    </xf>
    <xf numFmtId="0" fontId="12" fillId="18" borderId="0" xfId="0" applyFont="1" applyFill="1"/>
    <xf numFmtId="16" fontId="12" fillId="0" borderId="0" xfId="0" applyNumberFormat="1" applyFont="1"/>
    <xf numFmtId="0" fontId="12" fillId="0" borderId="0" xfId="0" applyFont="1" applyBorder="1" applyAlignment="1">
      <alignment vertical="top" wrapText="1"/>
    </xf>
    <xf numFmtId="0" fontId="13" fillId="0" borderId="0" xfId="0" applyFont="1" applyAlignment="1">
      <alignment horizontal="left" vertical="center"/>
    </xf>
    <xf numFmtId="0" fontId="0" fillId="0" borderId="0" xfId="0" applyFont="1" applyBorder="1" applyAlignment="1">
      <alignment horizontal="center" vertical="top"/>
    </xf>
    <xf numFmtId="1" fontId="0" fillId="0" borderId="0" xfId="0" applyNumberFormat="1" applyFont="1" applyAlignment="1">
      <alignment vertical="top"/>
    </xf>
    <xf numFmtId="2" fontId="0" fillId="0" borderId="0" xfId="0" applyNumberFormat="1" applyFont="1"/>
    <xf numFmtId="0" fontId="23" fillId="0" borderId="0" xfId="0" applyFont="1" applyAlignment="1"/>
    <xf numFmtId="0" fontId="14" fillId="17" borderId="0" xfId="0" applyFont="1" applyFill="1" applyAlignment="1">
      <alignment horizontal="left" vertical="top" wrapText="1"/>
    </xf>
    <xf numFmtId="0" fontId="12" fillId="0" borderId="0" xfId="0" applyFont="1" applyAlignment="1"/>
    <xf numFmtId="1" fontId="0" fillId="0" borderId="0" xfId="0" applyNumberFormat="1" applyFont="1" applyBorder="1" applyAlignment="1">
      <alignment horizontal="center" vertical="top"/>
    </xf>
    <xf numFmtId="2" fontId="0" fillId="0" borderId="0" xfId="0" applyNumberFormat="1" applyFont="1" applyAlignment="1">
      <alignment vertical="center"/>
    </xf>
    <xf numFmtId="0" fontId="14" fillId="20" borderId="0" xfId="0" applyFont="1" applyFill="1" applyAlignment="1">
      <alignment horizontal="center" vertical="center" wrapText="1"/>
    </xf>
    <xf numFmtId="0" fontId="13" fillId="9" borderId="0" xfId="0" applyFont="1" applyFill="1"/>
    <xf numFmtId="164" fontId="0" fillId="9" borderId="0" xfId="1" applyNumberFormat="1" applyFont="1" applyFill="1" applyBorder="1" applyAlignment="1">
      <alignment horizontal="center" vertical="top"/>
    </xf>
    <xf numFmtId="0" fontId="13" fillId="8" borderId="0" xfId="0" applyFont="1" applyFill="1"/>
    <xf numFmtId="0" fontId="20" fillId="0" borderId="0" xfId="0" applyFont="1" applyAlignment="1">
      <alignment wrapText="1"/>
    </xf>
    <xf numFmtId="0" fontId="0" fillId="0" borderId="0" xfId="0" applyFont="1"/>
    <xf numFmtId="0" fontId="20" fillId="17" borderId="0" xfId="0" applyFont="1" applyFill="1"/>
    <xf numFmtId="0" fontId="12" fillId="5" borderId="0" xfId="0" applyFont="1" applyFill="1"/>
    <xf numFmtId="0" fontId="14" fillId="15" borderId="0" xfId="0" applyFont="1" applyFill="1" applyAlignment="1">
      <alignment horizontal="center" vertical="center"/>
    </xf>
  </cellXfs>
  <cellStyles count="5">
    <cellStyle name="Lien hypertexte" xfId="3" builtinId="8"/>
    <cellStyle name="Milliers" xfId="1" builtinId="3"/>
    <cellStyle name="Normal" xfId="0" builtinId="0"/>
    <cellStyle name="Normal 2" xfId="4"/>
    <cellStyle name="Pourcentage" xfId="2" builtinId="5"/>
  </cellStyles>
  <dxfs count="13">
    <dxf>
      <font>
        <strike val="0"/>
        <outline val="0"/>
        <shadow val="0"/>
        <u val="none"/>
        <sz val="11"/>
        <name val="Calibri"/>
        <scheme val="minor"/>
      </font>
      <alignment horizontal="center" vertical="center" textRotation="0" wrapText="0" indent="0" justifyLastLine="0" shrinkToFit="0" readingOrder="0"/>
    </dxf>
    <dxf>
      <font>
        <strike val="0"/>
        <outline val="0"/>
        <shadow val="0"/>
        <u val="none"/>
        <sz val="11"/>
        <name val="Calibri"/>
        <scheme val="minor"/>
      </font>
      <alignment horizontal="center" vertical="center" textRotation="0" wrapText="0" indent="0" justifyLastLine="0" shrinkToFit="0" readingOrder="0"/>
    </dxf>
    <dxf>
      <font>
        <strike val="0"/>
        <outline val="0"/>
        <shadow val="0"/>
        <u val="none"/>
        <sz val="1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1"/>
        <name val="Calibri"/>
        <scheme val="minor"/>
      </font>
      <numFmt numFmtId="2"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sz val="1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sz val="11"/>
        <name val="Calibri"/>
        <scheme val="minor"/>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strike val="0"/>
        <outline val="0"/>
        <shadow val="0"/>
        <u val="none"/>
        <sz val="11"/>
        <name val="Calibri"/>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bgColor theme="8" tint="0.59996337778862885"/>
        </patternFill>
      </fill>
    </dxf>
    <dxf>
      <fill>
        <patternFill>
          <bgColor theme="7" tint="0.59996337778862885"/>
        </patternFill>
      </fill>
    </dxf>
    <dxf>
      <fill>
        <patternFill>
          <bgColor rgb="FFC6E0B4"/>
        </patternFill>
      </fill>
    </dxf>
    <dxf>
      <fill>
        <patternFill>
          <bgColor rgb="FFC6E0B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Emissions </a:t>
            </a:r>
            <a:r>
              <a:rPr lang="fr-FR" baseline="0"/>
              <a:t> absolues et relatives du projet (tCO2eq) sur la période </a:t>
            </a:r>
            <a:endParaRPr lang="fr-FR"/>
          </a:p>
        </c:rich>
      </c:tx>
      <c:overlay val="0"/>
      <c:spPr>
        <a:noFill/>
        <a:ln>
          <a:solidFill>
            <a:schemeClr val="accent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strRef>
              <c:f>'Resultats généraux'!$A$9:$B$9</c:f>
              <c:strCache>
                <c:ptCount val="2"/>
                <c:pt idx="1">
                  <c:v> </c:v>
                </c:pt>
              </c:strCache>
            </c:strRef>
          </c:tx>
          <c:spPr>
            <a:solidFill>
              <a:schemeClr val="accent1"/>
            </a:solidFill>
            <a:ln>
              <a:noFill/>
            </a:ln>
            <a:effectLst/>
          </c:spPr>
          <c:invertIfNegative val="0"/>
          <c:cat>
            <c:strRef>
              <c:f>'Resultats généraux'!$C$8:$AA$8</c:f>
              <c:strCache>
                <c:ptCount val="2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strCache>
            </c:strRef>
          </c:cat>
          <c:val>
            <c:numRef>
              <c:f>'Resultats généraux'!$C$9:$AA$9</c:f>
              <c:numCache>
                <c:formatCode>General</c:formatCode>
                <c:ptCount val="25"/>
              </c:numCache>
            </c:numRef>
          </c:val>
          <c:extLst>
            <c:ext xmlns:c16="http://schemas.microsoft.com/office/drawing/2014/chart" uri="{C3380CC4-5D6E-409C-BE32-E72D297353CC}">
              <c16:uniqueId val="{00000000-E425-4471-AFA3-FCF13996F081}"/>
            </c:ext>
          </c:extLst>
        </c:ser>
        <c:ser>
          <c:idx val="1"/>
          <c:order val="1"/>
          <c:tx>
            <c:strRef>
              <c:f>'Resultats généraux'!$A$10:$B$10</c:f>
              <c:strCache>
                <c:ptCount val="2"/>
                <c:pt idx="0">
                  <c:v>Emissions relatives</c:v>
                </c:pt>
              </c:strCache>
            </c:strRef>
          </c:tx>
          <c:spPr>
            <a:solidFill>
              <a:schemeClr val="accent2"/>
            </a:solidFill>
            <a:ln>
              <a:noFill/>
            </a:ln>
            <a:effectLst/>
          </c:spPr>
          <c:invertIfNegative val="0"/>
          <c:cat>
            <c:strRef>
              <c:f>'Resultats généraux'!$C$8:$AA$8</c:f>
              <c:strCache>
                <c:ptCount val="2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strCache>
            </c:strRef>
          </c:cat>
          <c:val>
            <c:numRef>
              <c:f>'Resultats généraux'!$C$10:$AA$10</c:f>
              <c:numCache>
                <c:formatCode>_-* #\ ##0_-;\-* #\ ##0_-;_-* "-"??_-;_-@_-</c:formatCode>
                <c:ptCount val="25"/>
                <c:pt idx="0">
                  <c:v>-189092.22568576259</c:v>
                </c:pt>
                <c:pt idx="1">
                  <c:v>-333239.25686502043</c:v>
                </c:pt>
                <c:pt idx="2">
                  <c:v>-463799.17429344612</c:v>
                </c:pt>
                <c:pt idx="3">
                  <c:v>-589077.62795197382</c:v>
                </c:pt>
                <c:pt idx="4">
                  <c:v>-714015.19571770728</c:v>
                </c:pt>
                <c:pt idx="5">
                  <c:v>-833900.75017133099</c:v>
                </c:pt>
                <c:pt idx="6">
                  <c:v>-951722.24130192539</c:v>
                </c:pt>
                <c:pt idx="7">
                  <c:v>-1065250.2408011435</c:v>
                </c:pt>
                <c:pt idx="8">
                  <c:v>-1174798.2511559154</c:v>
                </c:pt>
                <c:pt idx="9">
                  <c:v>-842979.05774441885</c:v>
                </c:pt>
                <c:pt idx="10">
                  <c:v>-1527331.2234238936</c:v>
                </c:pt>
                <c:pt idx="11">
                  <c:v>-1626957.2268285232</c:v>
                </c:pt>
                <c:pt idx="12">
                  <c:v>-1721606.0545542943</c:v>
                </c:pt>
                <c:pt idx="13">
                  <c:v>-1811526.5400624995</c:v>
                </c:pt>
                <c:pt idx="14">
                  <c:v>-1896955.073939695</c:v>
                </c:pt>
                <c:pt idx="15">
                  <c:v>-1978116.2260162451</c:v>
                </c:pt>
                <c:pt idx="16">
                  <c:v>-2055223.3363785071</c:v>
                </c:pt>
                <c:pt idx="17">
                  <c:v>-2128479.0768299685</c:v>
                </c:pt>
                <c:pt idx="18">
                  <c:v>-2198075.9842788787</c:v>
                </c:pt>
                <c:pt idx="19">
                  <c:v>-2264086.3384960173</c:v>
                </c:pt>
                <c:pt idx="20">
                  <c:v>0</c:v>
                </c:pt>
                <c:pt idx="21">
                  <c:v>0</c:v>
                </c:pt>
                <c:pt idx="22">
                  <c:v>0</c:v>
                </c:pt>
                <c:pt idx="23">
                  <c:v>0</c:v>
                </c:pt>
                <c:pt idx="24">
                  <c:v>0</c:v>
                </c:pt>
              </c:numCache>
            </c:numRef>
          </c:val>
          <c:extLst>
            <c:ext xmlns:c16="http://schemas.microsoft.com/office/drawing/2014/chart" uri="{C3380CC4-5D6E-409C-BE32-E72D297353CC}">
              <c16:uniqueId val="{00000001-E425-4471-AFA3-FCF13996F081}"/>
            </c:ext>
          </c:extLst>
        </c:ser>
        <c:dLbls>
          <c:showLegendKey val="0"/>
          <c:showVal val="0"/>
          <c:showCatName val="0"/>
          <c:showSerName val="0"/>
          <c:showPercent val="0"/>
          <c:showBubbleSize val="0"/>
        </c:dLbls>
        <c:gapWidth val="219"/>
        <c:overlap val="-27"/>
        <c:axId val="810209408"/>
        <c:axId val="810210392"/>
      </c:barChart>
      <c:lineChart>
        <c:grouping val="standard"/>
        <c:varyColors val="0"/>
        <c:ser>
          <c:idx val="2"/>
          <c:order val="2"/>
          <c:tx>
            <c:strRef>
              <c:f>'Resultats généraux'!$A$11:$B$11</c:f>
              <c:strCache>
                <c:ptCount val="2"/>
                <c:pt idx="0">
                  <c:v>Emissions absolues</c:v>
                </c:pt>
              </c:strCache>
            </c:strRef>
          </c:tx>
          <c:spPr>
            <a:ln w="28575" cap="rnd">
              <a:solidFill>
                <a:schemeClr val="accent3"/>
              </a:solidFill>
              <a:round/>
            </a:ln>
            <a:effectLst/>
          </c:spPr>
          <c:marker>
            <c:symbol val="none"/>
          </c:marker>
          <c:cat>
            <c:strRef>
              <c:f>'Resultats généraux'!$C$8:$AA$8</c:f>
              <c:strCache>
                <c:ptCount val="2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strCache>
            </c:strRef>
          </c:cat>
          <c:val>
            <c:numRef>
              <c:f>'Resultats généraux'!$C$11:$AA$11</c:f>
              <c:numCache>
                <c:formatCode>_-* #\ ##0_-;\-* #\ ##0_-;_-* "-"??_-;_-@_-</c:formatCode>
                <c:ptCount val="25"/>
                <c:pt idx="0">
                  <c:v>-189092.22568576259</c:v>
                </c:pt>
                <c:pt idx="1">
                  <c:v>-522331.48255078302</c:v>
                </c:pt>
                <c:pt idx="2">
                  <c:v>-986130.6568442292</c:v>
                </c:pt>
                <c:pt idx="3">
                  <c:v>-1575208.284796203</c:v>
                </c:pt>
                <c:pt idx="4">
                  <c:v>-2289223.4805139103</c:v>
                </c:pt>
                <c:pt idx="5">
                  <c:v>-3123124.2306852415</c:v>
                </c:pt>
                <c:pt idx="6">
                  <c:v>-4074846.4719871669</c:v>
                </c:pt>
                <c:pt idx="7">
                  <c:v>-5140096.7127883099</c:v>
                </c:pt>
                <c:pt idx="8">
                  <c:v>-6314894.9639442256</c:v>
                </c:pt>
                <c:pt idx="9">
                  <c:v>-7157874.0216886448</c:v>
                </c:pt>
                <c:pt idx="10">
                  <c:v>-8685205.2451125383</c:v>
                </c:pt>
                <c:pt idx="11">
                  <c:v>-10312162.471941061</c:v>
                </c:pt>
                <c:pt idx="12">
                  <c:v>-12033768.526495356</c:v>
                </c:pt>
                <c:pt idx="13">
                  <c:v>-13845295.066557856</c:v>
                </c:pt>
                <c:pt idx="14">
                  <c:v>-15742250.14049755</c:v>
                </c:pt>
                <c:pt idx="15">
                  <c:v>-17720366.366513796</c:v>
                </c:pt>
                <c:pt idx="16">
                  <c:v>-19775589.702892303</c:v>
                </c:pt>
                <c:pt idx="17">
                  <c:v>-21904068.779722273</c:v>
                </c:pt>
                <c:pt idx="18">
                  <c:v>-24102144.764001153</c:v>
                </c:pt>
                <c:pt idx="19">
                  <c:v>-26366231.102497172</c:v>
                </c:pt>
                <c:pt idx="20">
                  <c:v>0</c:v>
                </c:pt>
                <c:pt idx="21">
                  <c:v>0</c:v>
                </c:pt>
                <c:pt idx="22">
                  <c:v>0</c:v>
                </c:pt>
                <c:pt idx="23">
                  <c:v>0</c:v>
                </c:pt>
                <c:pt idx="24">
                  <c:v>0</c:v>
                </c:pt>
              </c:numCache>
            </c:numRef>
          </c:val>
          <c:smooth val="0"/>
          <c:extLst>
            <c:ext xmlns:c16="http://schemas.microsoft.com/office/drawing/2014/chart" uri="{C3380CC4-5D6E-409C-BE32-E72D297353CC}">
              <c16:uniqueId val="{00000002-E425-4471-AFA3-FCF13996F081}"/>
            </c:ext>
          </c:extLst>
        </c:ser>
        <c:dLbls>
          <c:showLegendKey val="0"/>
          <c:showVal val="0"/>
          <c:showCatName val="0"/>
          <c:showSerName val="0"/>
          <c:showPercent val="0"/>
          <c:showBubbleSize val="0"/>
        </c:dLbls>
        <c:marker val="1"/>
        <c:smooth val="0"/>
        <c:axId val="810209408"/>
        <c:axId val="810210392"/>
      </c:lineChart>
      <c:catAx>
        <c:axId val="81020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10210392"/>
        <c:crosses val="autoZero"/>
        <c:auto val="1"/>
        <c:lblAlgn val="ctr"/>
        <c:lblOffset val="100"/>
        <c:noMultiLvlLbl val="0"/>
      </c:catAx>
      <c:valAx>
        <c:axId val="810210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fr-FR"/>
          </a:p>
        </c:txPr>
        <c:crossAx val="810209408"/>
        <c:crosses val="autoZero"/>
        <c:crossBetween val="between"/>
      </c:val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Emissions </a:t>
            </a:r>
            <a:r>
              <a:rPr lang="fr-FR" baseline="0"/>
              <a:t> relatives du projet (tCO2eq) sur la période </a:t>
            </a:r>
            <a:endParaRPr lang="fr-FR"/>
          </a:p>
        </c:rich>
      </c:tx>
      <c:overlay val="0"/>
      <c:spPr>
        <a:noFill/>
        <a:ln>
          <a:solidFill>
            <a:schemeClr val="accent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strRef>
              <c:f>'Resultats généraux'!$A$9:$B$9</c:f>
              <c:strCache>
                <c:ptCount val="2"/>
                <c:pt idx="1">
                  <c:v> </c:v>
                </c:pt>
              </c:strCache>
            </c:strRef>
          </c:tx>
          <c:spPr>
            <a:solidFill>
              <a:schemeClr val="accent1"/>
            </a:solidFill>
            <a:ln>
              <a:noFill/>
            </a:ln>
            <a:effectLst/>
          </c:spPr>
          <c:invertIfNegative val="0"/>
          <c:cat>
            <c:strRef>
              <c:f>'Resultats généraux'!$C$8:$AA$8</c:f>
              <c:strCache>
                <c:ptCount val="2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strCache>
            </c:strRef>
          </c:cat>
          <c:val>
            <c:numRef>
              <c:f>'Resultats généraux'!$C$9:$AA$9</c:f>
              <c:numCache>
                <c:formatCode>General</c:formatCode>
                <c:ptCount val="25"/>
              </c:numCache>
            </c:numRef>
          </c:val>
          <c:extLst>
            <c:ext xmlns:c16="http://schemas.microsoft.com/office/drawing/2014/chart" uri="{C3380CC4-5D6E-409C-BE32-E72D297353CC}">
              <c16:uniqueId val="{00000000-BE1B-4118-A8A1-CDC8F0A33F32}"/>
            </c:ext>
          </c:extLst>
        </c:ser>
        <c:ser>
          <c:idx val="1"/>
          <c:order val="1"/>
          <c:tx>
            <c:strRef>
              <c:f>'Resultats généraux'!$A$10:$B$10</c:f>
              <c:strCache>
                <c:ptCount val="2"/>
                <c:pt idx="0">
                  <c:v>Emissions relatives</c:v>
                </c:pt>
              </c:strCache>
            </c:strRef>
          </c:tx>
          <c:spPr>
            <a:solidFill>
              <a:schemeClr val="accent2"/>
            </a:solidFill>
            <a:ln>
              <a:noFill/>
            </a:ln>
            <a:effectLst/>
          </c:spPr>
          <c:invertIfNegative val="0"/>
          <c:cat>
            <c:strRef>
              <c:f>'Resultats généraux'!$C$8:$AA$8</c:f>
              <c:strCache>
                <c:ptCount val="2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strCache>
            </c:strRef>
          </c:cat>
          <c:val>
            <c:numRef>
              <c:f>'Resultats généraux'!$C$10:$AA$10</c:f>
              <c:numCache>
                <c:formatCode>_-* #\ ##0_-;\-* #\ ##0_-;_-* "-"??_-;_-@_-</c:formatCode>
                <c:ptCount val="25"/>
                <c:pt idx="0">
                  <c:v>-189092.22568576259</c:v>
                </c:pt>
                <c:pt idx="1">
                  <c:v>-333239.25686502043</c:v>
                </c:pt>
                <c:pt idx="2">
                  <c:v>-463799.17429344612</c:v>
                </c:pt>
                <c:pt idx="3">
                  <c:v>-589077.62795197382</c:v>
                </c:pt>
                <c:pt idx="4">
                  <c:v>-714015.19571770728</c:v>
                </c:pt>
                <c:pt idx="5">
                  <c:v>-833900.75017133099</c:v>
                </c:pt>
                <c:pt idx="6">
                  <c:v>-951722.24130192539</c:v>
                </c:pt>
                <c:pt idx="7">
                  <c:v>-1065250.2408011435</c:v>
                </c:pt>
                <c:pt idx="8">
                  <c:v>-1174798.2511559154</c:v>
                </c:pt>
                <c:pt idx="9">
                  <c:v>-842979.05774441885</c:v>
                </c:pt>
                <c:pt idx="10">
                  <c:v>-1527331.2234238936</c:v>
                </c:pt>
                <c:pt idx="11">
                  <c:v>-1626957.2268285232</c:v>
                </c:pt>
                <c:pt idx="12">
                  <c:v>-1721606.0545542943</c:v>
                </c:pt>
                <c:pt idx="13">
                  <c:v>-1811526.5400624995</c:v>
                </c:pt>
                <c:pt idx="14">
                  <c:v>-1896955.073939695</c:v>
                </c:pt>
                <c:pt idx="15">
                  <c:v>-1978116.2260162451</c:v>
                </c:pt>
                <c:pt idx="16">
                  <c:v>-2055223.3363785071</c:v>
                </c:pt>
                <c:pt idx="17">
                  <c:v>-2128479.0768299685</c:v>
                </c:pt>
                <c:pt idx="18">
                  <c:v>-2198075.9842788787</c:v>
                </c:pt>
                <c:pt idx="19">
                  <c:v>-2264086.3384960173</c:v>
                </c:pt>
                <c:pt idx="20">
                  <c:v>0</c:v>
                </c:pt>
                <c:pt idx="21">
                  <c:v>0</c:v>
                </c:pt>
                <c:pt idx="22">
                  <c:v>0</c:v>
                </c:pt>
                <c:pt idx="23">
                  <c:v>0</c:v>
                </c:pt>
                <c:pt idx="24">
                  <c:v>0</c:v>
                </c:pt>
              </c:numCache>
            </c:numRef>
          </c:val>
          <c:extLst>
            <c:ext xmlns:c16="http://schemas.microsoft.com/office/drawing/2014/chart" uri="{C3380CC4-5D6E-409C-BE32-E72D297353CC}">
              <c16:uniqueId val="{00000001-BE1B-4118-A8A1-CDC8F0A33F32}"/>
            </c:ext>
          </c:extLst>
        </c:ser>
        <c:dLbls>
          <c:showLegendKey val="0"/>
          <c:showVal val="0"/>
          <c:showCatName val="0"/>
          <c:showSerName val="0"/>
          <c:showPercent val="0"/>
          <c:showBubbleSize val="0"/>
        </c:dLbls>
        <c:gapWidth val="219"/>
        <c:overlap val="-27"/>
        <c:axId val="810209408"/>
        <c:axId val="810210392"/>
      </c:barChart>
      <c:catAx>
        <c:axId val="81020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10210392"/>
        <c:crosses val="autoZero"/>
        <c:auto val="1"/>
        <c:lblAlgn val="ctr"/>
        <c:lblOffset val="100"/>
        <c:noMultiLvlLbl val="0"/>
      </c:catAx>
      <c:valAx>
        <c:axId val="810210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fr-FR"/>
          </a:p>
        </c:txPr>
        <c:crossAx val="810209408"/>
        <c:crosses val="autoZero"/>
        <c:crossBetween val="between"/>
      </c:val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1"/>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41</xdr:row>
      <xdr:rowOff>19051</xdr:rowOff>
    </xdr:from>
    <xdr:to>
      <xdr:col>1</xdr:col>
      <xdr:colOff>1600201</xdr:colOff>
      <xdr:row>44</xdr:row>
      <xdr:rowOff>957</xdr:rowOff>
    </xdr:to>
    <xdr:pic>
      <xdr:nvPicPr>
        <xdr:cNvPr id="2" name="Image 1" descr="https://upload.wikimedia.org/wikipedia/commons/thumb/d/d0/CC-BY-SA_icon.svg/2560px-CC-BY-SA_icon.svg.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11563351"/>
          <a:ext cx="1571626" cy="553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30</xdr:col>
      <xdr:colOff>520700</xdr:colOff>
      <xdr:row>6</xdr:row>
      <xdr:rowOff>234950</xdr:rowOff>
    </xdr:from>
    <xdr:to>
      <xdr:col>46</xdr:col>
      <xdr:colOff>520700</xdr:colOff>
      <xdr:row>26</xdr:row>
      <xdr:rowOff>66675</xdr:rowOff>
    </xdr:to>
    <xdr:graphicFrame macro="">
      <xdr:nvGraphicFramePr>
        <xdr:cNvPr id="2" name="Chart 1">
          <a:extLst>
            <a:ext uri="{FF2B5EF4-FFF2-40B4-BE49-F238E27FC236}">
              <a16:creationId xmlns:a16="http://schemas.microsoft.com/office/drawing/2014/main" id="{D203BC67-8ACB-429B-B7F0-CB1DF68B6F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0</xdr:colOff>
      <xdr:row>29</xdr:row>
      <xdr:rowOff>0</xdr:rowOff>
    </xdr:from>
    <xdr:to>
      <xdr:col>47</xdr:col>
      <xdr:colOff>0</xdr:colOff>
      <xdr:row>51</xdr:row>
      <xdr:rowOff>196850</xdr:rowOff>
    </xdr:to>
    <xdr:graphicFrame macro="">
      <xdr:nvGraphicFramePr>
        <xdr:cNvPr id="3" name="Chart 2">
          <a:extLst>
            <a:ext uri="{FF2B5EF4-FFF2-40B4-BE49-F238E27FC236}">
              <a16:creationId xmlns:a16="http://schemas.microsoft.com/office/drawing/2014/main" id="{3DCB1E6F-D34E-4CE7-9125-7BA57E0011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1" name="Table1" displayName="Table1" ref="B1:H10" totalsRowShown="0" headerRowDxfId="1" dataDxfId="0">
  <autoFilter ref="B1:H10"/>
  <tableColumns count="7">
    <tableColumn id="1" name="Phase " dataDxfId="8"/>
    <tableColumn id="2" name="Facteur d'émission" dataDxfId="7"/>
    <tableColumn id="3" name="Valeur adoptée" dataDxfId="6"/>
    <tableColumn id="4" name="Unité" dataDxfId="5"/>
    <tableColumn id="5" name="Incertitude en % (quand disponible)" dataDxfId="4"/>
    <tableColumn id="6" name="Source" dataDxfId="3"/>
    <tableColumn id="7" name="Commentaires associés"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hautconseilclimat.fr/wp-content/uploads/2020/12/rapport-5g_haut-conseil-pour-le-climat_etude-exterieure.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hyperlink" Target="https://energyinnovation.org/2020/03/17/how-much-energy-do-data-centers-really-use/" TargetMode="External"/><Relationship Id="rId2" Type="http://schemas.openxmlformats.org/officeDocument/2006/relationships/hyperlink" Target="https://datacenters.lbl.gov/sites/all/files/WP49-PUE%20A%20Comprehensive%20Examination%20of%20the%20Metric_v6.pdf" TargetMode="External"/><Relationship Id="rId1" Type="http://schemas.openxmlformats.org/officeDocument/2006/relationships/hyperlink" Target="https://datacenters.lbl.gov/sites/all/files/WP49-PUE%20A%20Comprehensive%20Examination%20of%20the%20Metric_v6.pdf" TargetMode="External"/><Relationship Id="rId5" Type="http://schemas.openxmlformats.org/officeDocument/2006/relationships/printerSettings" Target="../printerSettings/printerSettings3.bin"/><Relationship Id="rId4" Type="http://schemas.openxmlformats.org/officeDocument/2006/relationships/hyperlink" Target="https://energyinnovation.org/2020/03/17/how-much-energy-do-data-centers-really-us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bilans-ges.ademe.fr/documentation/UPLOAD_DOC_FR/index.htm?ordinateurs_et_equuipements_pe.htm" TargetMode="External"/><Relationship Id="rId13" Type="http://schemas.openxmlformats.org/officeDocument/2006/relationships/hyperlink" Target="https://en.wikipedia.org/wiki/Modal_share" TargetMode="External"/><Relationship Id="rId3" Type="http://schemas.openxmlformats.org/officeDocument/2006/relationships/hyperlink" Target="https://www.gov.uk/government/publications/greenhouse-gas-reporting-conversion-factors-2019" TargetMode="External"/><Relationship Id="rId7" Type="http://schemas.openxmlformats.org/officeDocument/2006/relationships/hyperlink" Target="https://www.gov.uk/government/publications/greenhouse-gas-reporting-conversion-factors-2019" TargetMode="External"/><Relationship Id="rId12" Type="http://schemas.openxmlformats.org/officeDocument/2006/relationships/hyperlink" Target="https://web.archive.org/web/20140715001906/http:/app.lta.gov.sg/ltaacademy/doc/J11Nov-p60PassengerTransportModeShares.pdf" TargetMode="External"/><Relationship Id="rId2" Type="http://schemas.openxmlformats.org/officeDocument/2006/relationships/hyperlink" Target="https://www.grosbill.com/4-samsung_televiseur_led_108_cm_43_pouces_samsung_ue43ku6079_noir-695961-tv_video-_televiseur_led" TargetMode="External"/><Relationship Id="rId16" Type="http://schemas.openxmlformats.org/officeDocument/2006/relationships/printerSettings" Target="../printerSettings/printerSettings4.bin"/><Relationship Id="rId1" Type="http://schemas.openxmlformats.org/officeDocument/2006/relationships/hyperlink" Target="https://fr.statista.com/statistiques/1014054/distribution-obsolescence-technologique-tablettes-france/" TargetMode="External"/><Relationship Id="rId6" Type="http://schemas.openxmlformats.org/officeDocument/2006/relationships/hyperlink" Target="https://www.fnac.com/Guides/Micro/bien-choisir-ordinateur-portable/choisir-ordinateur-portable.aspx" TargetMode="External"/><Relationship Id="rId11" Type="http://schemas.openxmlformats.org/officeDocument/2006/relationships/hyperlink" Target="https://en.wikipedia.org/wiki/Modal_share" TargetMode="External"/><Relationship Id="rId5" Type="http://schemas.openxmlformats.org/officeDocument/2006/relationships/hyperlink" Target="https://www.gov.uk/government/publications/greenhouse-gas-reporting-conversion-factors-2019" TargetMode="External"/><Relationship Id="rId15" Type="http://schemas.openxmlformats.org/officeDocument/2006/relationships/hyperlink" Target="https://en.wikipedia.org/wiki/Modal_share" TargetMode="External"/><Relationship Id="rId10" Type="http://schemas.openxmlformats.org/officeDocument/2006/relationships/hyperlink" Target="https://www.gov.uk/government/publications/greenhouse-gas-reporting-conversion-factors-2019" TargetMode="External"/><Relationship Id="rId4" Type="http://schemas.openxmlformats.org/officeDocument/2006/relationships/hyperlink" Target="https://www.fnac.com/Guides/Micro/bien-choisir-ordinateur-portable/choisir-ordinateur-portable.aspx" TargetMode="External"/><Relationship Id="rId9" Type="http://schemas.openxmlformats.org/officeDocument/2006/relationships/hyperlink" Target="https://www.fnac.com/Guides/Micro/bien-choisir-ordinateur-portable/choisir-ordinateur-portable.aspx" TargetMode="External"/><Relationship Id="rId14" Type="http://schemas.openxmlformats.org/officeDocument/2006/relationships/hyperlink" Target="https://www.urbanafrica.net/wp-content/uploads/2016/06/Mobility_ENG.pdf"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fnac.com/Guides/Micro/bien-choisir-ordinateur-portable/choisir-ordinateur-portable.aspx" TargetMode="External"/><Relationship Id="rId13" Type="http://schemas.openxmlformats.org/officeDocument/2006/relationships/hyperlink" Target="https://blog.ariase.com/box/dossiers/debit-fibre-optique" TargetMode="External"/><Relationship Id="rId18" Type="http://schemas.openxmlformats.org/officeDocument/2006/relationships/hyperlink" Target="https://www.fnac.com/Guides/Micro/bien-choisir-ordinateur-portable/choisir-ordinateur-portable.aspx" TargetMode="External"/><Relationship Id="rId3" Type="http://schemas.openxmlformats.org/officeDocument/2006/relationships/hyperlink" Target="https://www.gov.uk/government/publications/greenhouse-gas-reporting-conversion-factors-2019" TargetMode="External"/><Relationship Id="rId21" Type="http://schemas.openxmlformats.org/officeDocument/2006/relationships/printerSettings" Target="../printerSettings/printerSettings5.bin"/><Relationship Id="rId7" Type="http://schemas.openxmlformats.org/officeDocument/2006/relationships/hyperlink" Target="https://www.bilans-ges.ademe.fr/documentation/UPLOAD_DOC_FR/index.htm?ordinateurs_et_equuipements_pe.htm" TargetMode="External"/><Relationship Id="rId12" Type="http://schemas.openxmlformats.org/officeDocument/2006/relationships/hyperlink" Target="https://www.gov.uk/government/publications/greenhouse-gas-reporting-conversion-factors-2019" TargetMode="External"/><Relationship Id="rId17" Type="http://schemas.openxmlformats.org/officeDocument/2006/relationships/hyperlink" Target="https://www.reseau-canope.fr/cndpfileadmin/fileadmin/user_upload/OUTREMER/Collection/fiches_pedagogiques/fiche_expo16.pdf" TargetMode="External"/><Relationship Id="rId2" Type="http://schemas.openxmlformats.org/officeDocument/2006/relationships/hyperlink" Target="https://www.grosbill.com/4-samsung_televiseur_led_108_cm_43_pouces_samsung_ue43ku6079_noir-695961-tv_video-_televiseur_led" TargetMode="External"/><Relationship Id="rId16" Type="http://schemas.openxmlformats.org/officeDocument/2006/relationships/hyperlink" Target="https://boutique.orange.fr/internet/offres-fibre" TargetMode="External"/><Relationship Id="rId20" Type="http://schemas.openxmlformats.org/officeDocument/2006/relationships/hyperlink" Target="https://www.bilans-ges.ademe.fr/documentation/UPLOAD_DOC_FR/index.htm?ordinateurs_et_equuipements_pe.htm" TargetMode="External"/><Relationship Id="rId1" Type="http://schemas.openxmlformats.org/officeDocument/2006/relationships/hyperlink" Target="https://www.bilans-ges.ademe.fr/documentation/UPLOAD_DOC_FR/index.htm?ordinateurs_et_equuipements_pe.htm" TargetMode="External"/><Relationship Id="rId6" Type="http://schemas.openxmlformats.org/officeDocument/2006/relationships/hyperlink" Target="https://www.gov.uk/government/publications/greenhouse-gas-reporting-conversion-factors-2019" TargetMode="External"/><Relationship Id="rId11" Type="http://schemas.openxmlformats.org/officeDocument/2006/relationships/hyperlink" Target="https://www.fnac.com/Guides/Micro/bien-choisir-ordinateur-portable/choisir-ordinateur-portable.aspx" TargetMode="External"/><Relationship Id="rId5" Type="http://schemas.openxmlformats.org/officeDocument/2006/relationships/hyperlink" Target="https://www.fnac.com/Guides/Micro/bien-choisir-ordinateur-portable/choisir-ordinateur-portable.aspx" TargetMode="External"/><Relationship Id="rId15" Type="http://schemas.openxmlformats.org/officeDocument/2006/relationships/hyperlink" Target="https://www.gov.uk/government/publications/greenhouse-gas-reporting-conversion-factors-2019" TargetMode="External"/><Relationship Id="rId10" Type="http://schemas.openxmlformats.org/officeDocument/2006/relationships/hyperlink" Target="https://www.bilans-ges.ademe.fr/documentation/UPLOAD_DOC_FR/index.htm?ordinateurs_et_equuipements_pe.htm" TargetMode="External"/><Relationship Id="rId19" Type="http://schemas.openxmlformats.org/officeDocument/2006/relationships/hyperlink" Target="https://www.gov.uk/government/publications/greenhouse-gas-reporting-conversion-factors-2019" TargetMode="External"/><Relationship Id="rId4" Type="http://schemas.openxmlformats.org/officeDocument/2006/relationships/hyperlink" Target="https://www.bilans-ges.ademe.fr/documentation/UPLOAD_DOC_FR/index.htm?ordinateurs_et_equuipements_pe.htm" TargetMode="External"/><Relationship Id="rId9" Type="http://schemas.openxmlformats.org/officeDocument/2006/relationships/hyperlink" Target="https://www.gov.uk/government/publications/greenhouse-gas-reporting-conversion-factors-2019" TargetMode="External"/><Relationship Id="rId14" Type="http://schemas.openxmlformats.org/officeDocument/2006/relationships/hyperlink" Target="https://www.bilans-ges.ademe.fr/documentation/UPLOAD_DOC_FR/index.htm?ordinateurs_et_equuipements_pe.ht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gov.uk/government/publications/greenhouse-gas-reporting-conversion-factors-2019" TargetMode="External"/><Relationship Id="rId13" Type="http://schemas.openxmlformats.org/officeDocument/2006/relationships/hyperlink" Target="https://www.gov.uk/government/publications/greenhouse-gas-reporting-conversion-factors-2019" TargetMode="External"/><Relationship Id="rId18" Type="http://schemas.openxmlformats.org/officeDocument/2006/relationships/hyperlink" Target="https://www.gov.uk/government/publications/greenhouse-gas-reporting-conversion-factors-2019" TargetMode="External"/><Relationship Id="rId3" Type="http://schemas.openxmlformats.org/officeDocument/2006/relationships/hyperlink" Target="https://www.gov.uk/government/publications/greenhouse-gas-reporting-conversion-factors-2019" TargetMode="External"/><Relationship Id="rId21" Type="http://schemas.openxmlformats.org/officeDocument/2006/relationships/hyperlink" Target="https://www.gov.uk/government/publications/greenhouse-gas-reporting-conversion-factors-2019" TargetMode="External"/><Relationship Id="rId7" Type="http://schemas.openxmlformats.org/officeDocument/2006/relationships/hyperlink" Target="https://www.fnac.com/Guides/Micro/bien-choisir-ordinateur-portable/choisir-ordinateur-portable.aspx" TargetMode="External"/><Relationship Id="rId12" Type="http://schemas.openxmlformats.org/officeDocument/2006/relationships/hyperlink" Target="https://www.bilans-ges.ademe.fr/documentation/UPLOAD_DOC_FR/index.htm?ordinateurs_et_equuipements_pe.htm" TargetMode="External"/><Relationship Id="rId17" Type="http://schemas.openxmlformats.org/officeDocument/2006/relationships/hyperlink" Target="https://www.bilans-ges.ademe.fr/documentation/UPLOAD_DOC_FR/index.htm?ordinateurs_et_equuipements_pe.htm" TargetMode="External"/><Relationship Id="rId2" Type="http://schemas.openxmlformats.org/officeDocument/2006/relationships/hyperlink" Target="https://www.grosbill.com/4-samsung_televiseur_led_108_cm_43_pouces_samsung_ue43ku6079_noir-695961-tv_video-_televiseur_led" TargetMode="External"/><Relationship Id="rId16" Type="http://schemas.openxmlformats.org/officeDocument/2006/relationships/hyperlink" Target="https://www.gov.uk/government/publications/greenhouse-gas-reporting-conversion-factors-2019" TargetMode="External"/><Relationship Id="rId20" Type="http://schemas.openxmlformats.org/officeDocument/2006/relationships/hyperlink" Target="https://www.fnac.com/Guides/Micro/bien-choisir-ordinateur-portable/choisir-ordinateur-portable.aspx" TargetMode="External"/><Relationship Id="rId1" Type="http://schemas.openxmlformats.org/officeDocument/2006/relationships/hyperlink" Target="https://www.bilans-ges.ademe.fr/documentation/UPLOAD_DOC_FR/index.htm?ordinateurs_et_equuipements_pe.htm" TargetMode="External"/><Relationship Id="rId6" Type="http://schemas.openxmlformats.org/officeDocument/2006/relationships/hyperlink" Target="https://www.bilans-ges.ademe.fr/documentation/UPLOAD_DOC_FR/index.htm?ordinateurs_et_equuipements_pe.htm" TargetMode="External"/><Relationship Id="rId11" Type="http://schemas.openxmlformats.org/officeDocument/2006/relationships/hyperlink" Target="https://www.gov.uk/government/publications/greenhouse-gas-reporting-conversion-factors-2019" TargetMode="External"/><Relationship Id="rId24" Type="http://schemas.openxmlformats.org/officeDocument/2006/relationships/printerSettings" Target="../printerSettings/printerSettings6.bin"/><Relationship Id="rId5" Type="http://schemas.openxmlformats.org/officeDocument/2006/relationships/hyperlink" Target="https://www.gov.uk/government/publications/greenhouse-gas-reporting-conversion-factors-2019" TargetMode="External"/><Relationship Id="rId15" Type="http://schemas.openxmlformats.org/officeDocument/2006/relationships/hyperlink" Target="https://www.bilans-ges.ademe.fr/documentation/UPLOAD_DOC_FR/index.htm?ordinateurs_et_equuipements_pe.htm" TargetMode="External"/><Relationship Id="rId23" Type="http://schemas.openxmlformats.org/officeDocument/2006/relationships/hyperlink" Target="https://www.bilans-ges.ademe.fr/documentation/UPLOAD_DOC_FR/index.htm?ordinateurs_et_equuipements_pe.htm" TargetMode="External"/><Relationship Id="rId10" Type="http://schemas.openxmlformats.org/officeDocument/2006/relationships/hyperlink" Target="https://www.fnac.com/Guides/Micro/bien-choisir-ordinateur-portable/choisir-ordinateur-portable.aspx" TargetMode="External"/><Relationship Id="rId19" Type="http://schemas.openxmlformats.org/officeDocument/2006/relationships/hyperlink" Target="https://www.bilans-ges.ademe.fr/documentation/UPLOAD_DOC_FR/index.htm?ordinateurs_et_equuipements_pe.htm" TargetMode="External"/><Relationship Id="rId4" Type="http://schemas.openxmlformats.org/officeDocument/2006/relationships/hyperlink" Target="https://www.fnac.com/Guides/Micro/bien-choisir-ordinateur-portable/choisir-ordinateur-portable.aspx" TargetMode="External"/><Relationship Id="rId9" Type="http://schemas.openxmlformats.org/officeDocument/2006/relationships/hyperlink" Target="https://www.bilans-ges.ademe.fr/documentation/UPLOAD_DOC_FR/index.htm?ordinateurs_et_equuipements_pe.htm" TargetMode="External"/><Relationship Id="rId14" Type="http://schemas.openxmlformats.org/officeDocument/2006/relationships/hyperlink" Target="https://boutique.orange.fr/internet/offres-fibre" TargetMode="External"/><Relationship Id="rId22" Type="http://schemas.openxmlformats.org/officeDocument/2006/relationships/hyperlink" Target="https://www.bilans-ges.ademe.fr/documentation/UPLOAD_DOC_FR/index.htm?ordinateurs_et_equuipements_pe.ht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bilans-ges.ademe.fr/documentation/UPLOAD_DOC_FR/index.htm?ordinateurs_et_equuipements_pe.htm" TargetMode="External"/><Relationship Id="rId18" Type="http://schemas.openxmlformats.org/officeDocument/2006/relationships/hyperlink" Target="https://www.gov.uk/government/publications/greenhouse-gas-reporting-conversion-factors-2019" TargetMode="External"/><Relationship Id="rId26" Type="http://schemas.openxmlformats.org/officeDocument/2006/relationships/hyperlink" Target="https://www.hautconseilclimat.fr/wp-content/uploads/2020/12/rapport-5g_haut-conseil-pour-le-climat_etude-exterieure.pdf" TargetMode="External"/><Relationship Id="rId39" Type="http://schemas.openxmlformats.org/officeDocument/2006/relationships/hyperlink" Target="https://www.hautconseilclimat.fr/wp-content/uploads/2020/12/rapport-5g_haut-conseil-pour-le-climat_etude-exterieure.pdf" TargetMode="External"/><Relationship Id="rId3" Type="http://schemas.openxmlformats.org/officeDocument/2006/relationships/hyperlink" Target="https://www.gov.uk/government/publications/greenhouse-gas-reporting-conversion-factors-2019" TargetMode="External"/><Relationship Id="rId21" Type="http://schemas.openxmlformats.org/officeDocument/2006/relationships/hyperlink" Target="https://www.greenit.fr/2015/04/16/combien-consomme-une-tablette/" TargetMode="External"/><Relationship Id="rId34" Type="http://schemas.openxmlformats.org/officeDocument/2006/relationships/hyperlink" Target="https://www.cisco.com/c/dam/m/en_us/service-provider/ciscoknowledgenetwork/files/622_11_15-16-Cisco_GCI_CKN_2015-2020_AMER_EMEAR_NOV2016.pdf" TargetMode="External"/><Relationship Id="rId42" Type="http://schemas.openxmlformats.org/officeDocument/2006/relationships/hyperlink" Target="https://www.hautconseilclimat.fr/wp-content/uploads/2020/12/rapport-5g_haut-conseil-pour-le-climat_etude-exterieure.pdf" TargetMode="External"/><Relationship Id="rId47" Type="http://schemas.openxmlformats.org/officeDocument/2006/relationships/hyperlink" Target="https://www.hautconseilclimat.fr/wp-content/uploads/2020/12/rapport-5g_haut-conseil-pour-le-climat_etude-exterieure.pdf" TargetMode="External"/><Relationship Id="rId7" Type="http://schemas.openxmlformats.org/officeDocument/2006/relationships/hyperlink" Target="https://www.bilans-ges.ademe.fr/documentation/UPLOAD_DOC_FR/index.htm?ordinateurs_et_equuipements_pe.htm" TargetMode="External"/><Relationship Id="rId12" Type="http://schemas.openxmlformats.org/officeDocument/2006/relationships/hyperlink" Target="https://www.gov.uk/government/publications/greenhouse-gas-reporting-conversion-factors-2019" TargetMode="External"/><Relationship Id="rId17" Type="http://schemas.openxmlformats.org/officeDocument/2006/relationships/hyperlink" Target="https://www.fnac.com/Guides/Micro/bien-choisir-ordinateur-portable/choisir-ordinateur-portable.aspx" TargetMode="External"/><Relationship Id="rId25" Type="http://schemas.openxmlformats.org/officeDocument/2006/relationships/hyperlink" Target="https://www.hautconseilclimat.fr/wp-content/uploads/2020/12/rapport-5g_haut-conseil-pour-le-climat_etude-exterieure.pdf" TargetMode="External"/><Relationship Id="rId33" Type="http://schemas.openxmlformats.org/officeDocument/2006/relationships/hyperlink" Target="https://www.cisco.com/c/dam/m/en_us/service-provider/ciscoknowledgenetwork/files/622_11_15-16-Cisco_GCI_CKN_2015-2020_AMER_EMEAR_NOV2016.pdf" TargetMode="External"/><Relationship Id="rId38" Type="http://schemas.openxmlformats.org/officeDocument/2006/relationships/hyperlink" Target="https://www.hautconseilclimat.fr/wp-content/uploads/2020/12/rapport-5g_haut-conseil-pour-le-climat_etude-exterieure.pdf" TargetMode="External"/><Relationship Id="rId46" Type="http://schemas.openxmlformats.org/officeDocument/2006/relationships/hyperlink" Target="https://www.hautconseilclimat.fr/wp-content/uploads/2020/12/rapport-5g_haut-conseil-pour-le-climat_etude-exterieure.pdf" TargetMode="External"/><Relationship Id="rId2" Type="http://schemas.openxmlformats.org/officeDocument/2006/relationships/hyperlink" Target="https://www.grosbill.com/4-samsung_televiseur_led_108_cm_43_pouces_samsung_ue43ku6079_noir-695961-tv_video-_televiseur_led" TargetMode="External"/><Relationship Id="rId16" Type="http://schemas.openxmlformats.org/officeDocument/2006/relationships/hyperlink" Target="https://www.bilans-ges.ademe.fr/documentation/UPLOAD_DOC_FR/index.htm?ordinateurs_et_equuipements_pe.htm" TargetMode="External"/><Relationship Id="rId20" Type="http://schemas.openxmlformats.org/officeDocument/2006/relationships/hyperlink" Target="https://www.greenit.fr/2015/04/16/combien-consomme-une-tablette/" TargetMode="External"/><Relationship Id="rId29" Type="http://schemas.openxmlformats.org/officeDocument/2006/relationships/hyperlink" Target="https://www.hautconseilclimat.fr/wp-content/uploads/2020/12/rapport-5g_haut-conseil-pour-le-climat_etude-exterieure.pdf" TargetMode="External"/><Relationship Id="rId41" Type="http://schemas.openxmlformats.org/officeDocument/2006/relationships/hyperlink" Target="https://www.hautconseilclimat.fr/wp-content/uploads/2020/12/rapport-5g_haut-conseil-pour-le-climat_etude-exterieure.pdf" TargetMode="External"/><Relationship Id="rId1" Type="http://schemas.openxmlformats.org/officeDocument/2006/relationships/hyperlink" Target="https://www.bilans-ges.ademe.fr/documentation/UPLOAD_DOC_FR/index.htm?ordinateurs_et_equuipements_pe.htm" TargetMode="External"/><Relationship Id="rId6" Type="http://schemas.openxmlformats.org/officeDocument/2006/relationships/hyperlink" Target="https://www.gov.uk/government/publications/greenhouse-gas-reporting-conversion-factors-2019" TargetMode="External"/><Relationship Id="rId11" Type="http://schemas.openxmlformats.org/officeDocument/2006/relationships/hyperlink" Target="https://www.fnac.com/Guides/Micro/bien-choisir-ordinateur-portable/choisir-ordinateur-portable.aspx" TargetMode="External"/><Relationship Id="rId24" Type="http://schemas.openxmlformats.org/officeDocument/2006/relationships/hyperlink" Target="https://www.hautconseilclimat.fr/wp-content/uploads/2020/12/rapport-5g_haut-conseil-pour-le-climat_etude-exterieure.pdf" TargetMode="External"/><Relationship Id="rId32" Type="http://schemas.openxmlformats.org/officeDocument/2006/relationships/hyperlink" Target="https://www.zora.uzh.ch/id/eprint/191299/1/5G%20and%20climate%20protection_University%20of%20Zurich_Empa.pdf" TargetMode="External"/><Relationship Id="rId37" Type="http://schemas.openxmlformats.org/officeDocument/2006/relationships/hyperlink" Target="https://www.hautconseilclimat.fr/wp-content/uploads/2020/12/rapport-5g_haut-conseil-pour-le-climat_etude-exterieure.pdf" TargetMode="External"/><Relationship Id="rId40" Type="http://schemas.openxmlformats.org/officeDocument/2006/relationships/hyperlink" Target="https://www.hautconseilclimat.fr/wp-content/uploads/2020/12/rapport-5g_haut-conseil-pour-le-climat_etude-exterieure.pdf" TargetMode="External"/><Relationship Id="rId45" Type="http://schemas.openxmlformats.org/officeDocument/2006/relationships/hyperlink" Target="https://www.hautconseilclimat.fr/wp-content/uploads/2020/12/rapport-5g_haut-conseil-pour-le-climat_etude-exterieure.pdf" TargetMode="External"/><Relationship Id="rId5" Type="http://schemas.openxmlformats.org/officeDocument/2006/relationships/hyperlink" Target="https://www.fnac.com/Guides/Micro/bien-choisir-ordinateur-portable/choisir-ordinateur-portable.aspx" TargetMode="External"/><Relationship Id="rId15" Type="http://schemas.openxmlformats.org/officeDocument/2006/relationships/hyperlink" Target="https://www.gov.uk/government/publications/greenhouse-gas-reporting-conversion-factors-2019" TargetMode="External"/><Relationship Id="rId23" Type="http://schemas.openxmlformats.org/officeDocument/2006/relationships/hyperlink" Target="http://www.calculconsommationelectrique.com/consommation_box_adsl.php" TargetMode="External"/><Relationship Id="rId28" Type="http://schemas.openxmlformats.org/officeDocument/2006/relationships/hyperlink" Target="https://www.hautconseilclimat.fr/wp-content/uploads/2020/12/rapport-5g_haut-conseil-pour-le-climat_etude-exterieure.pdf" TargetMode="External"/><Relationship Id="rId36" Type="http://schemas.openxmlformats.org/officeDocument/2006/relationships/hyperlink" Target="https://www.hautconseilclimat.fr/wp-content/uploads/2020/12/rapport-5g_haut-conseil-pour-le-climat_etude-exterieure.pdf" TargetMode="External"/><Relationship Id="rId49" Type="http://schemas.openxmlformats.org/officeDocument/2006/relationships/printerSettings" Target="../printerSettings/printerSettings7.bin"/><Relationship Id="rId10" Type="http://schemas.openxmlformats.org/officeDocument/2006/relationships/hyperlink" Target="https://www.bilans-ges.ademe.fr/documentation/UPLOAD_DOC_FR/index.htm?ordinateurs_et_equuipements_pe.htm" TargetMode="External"/><Relationship Id="rId19" Type="http://schemas.openxmlformats.org/officeDocument/2006/relationships/hyperlink" Target="https://www.bing.com/search?q=consommation+%C3%A9nerg%C3%A9tique+d%27un+smartphone&amp;qs=n&amp;form=QBRE&amp;sp=-1&amp;pq=consommation+%C3%A9nerg%C3%A9tique+d%27un+smartphone&amp;sc=1-40&amp;sk=&amp;cvid=864422214885496C989B48B9C4F3633C" TargetMode="External"/><Relationship Id="rId31" Type="http://schemas.openxmlformats.org/officeDocument/2006/relationships/hyperlink" Target="https://www.zora.uzh.ch/id/eprint/191299/1/5G%20and%20climate%20protection_University%20of%20Zurich_Empa.pdf" TargetMode="External"/><Relationship Id="rId44" Type="http://schemas.openxmlformats.org/officeDocument/2006/relationships/hyperlink" Target="https://www.hautconseilclimat.fr/wp-content/uploads/2020/12/rapport-5g_haut-conseil-pour-le-climat_etude-exterieure.pdf" TargetMode="External"/><Relationship Id="rId4" Type="http://schemas.openxmlformats.org/officeDocument/2006/relationships/hyperlink" Target="https://www.bilans-ges.ademe.fr/documentation/UPLOAD_DOC_FR/index.htm?ordinateurs_et_equuipements_pe.htm" TargetMode="External"/><Relationship Id="rId9" Type="http://schemas.openxmlformats.org/officeDocument/2006/relationships/hyperlink" Target="https://www.gov.uk/government/publications/greenhouse-gas-reporting-conversion-factors-2019" TargetMode="External"/><Relationship Id="rId14" Type="http://schemas.openxmlformats.org/officeDocument/2006/relationships/hyperlink" Target="https://www.fnac.com/Guides/Micro/bien-choisir-ordinateur-portable/choisir-ordinateur-portable.aspx" TargetMode="External"/><Relationship Id="rId22" Type="http://schemas.openxmlformats.org/officeDocument/2006/relationships/hyperlink" Target="https://www.agence-france-electricite.fr/tout-savoir-sur-la-consommation-electrique-dun-ecran-geant/" TargetMode="External"/><Relationship Id="rId27" Type="http://schemas.openxmlformats.org/officeDocument/2006/relationships/hyperlink" Target="https://www.hautconseilclimat.fr/wp-content/uploads/2020/12/rapport-5g_haut-conseil-pour-le-climat_etude-exterieure.pdf" TargetMode="External"/><Relationship Id="rId30" Type="http://schemas.openxmlformats.org/officeDocument/2006/relationships/hyperlink" Target="https://www.hautconseilclimat.fr/wp-content/uploads/2020/12/rapport-5g_haut-conseil-pour-le-climat_etude-exterieure.pdf" TargetMode="External"/><Relationship Id="rId35" Type="http://schemas.openxmlformats.org/officeDocument/2006/relationships/hyperlink" Target="https://www.hautconseilclimat.fr/wp-content/uploads/2020/12/rapport-5g_haut-conseil-pour-le-climat_etude-exterieure.pdf" TargetMode="External"/><Relationship Id="rId43" Type="http://schemas.openxmlformats.org/officeDocument/2006/relationships/hyperlink" Target="https://www.hautconseilclimat.fr/wp-content/uploads/2020/12/rapport-5g_haut-conseil-pour-le-climat_etude-exterieure.pdf" TargetMode="External"/><Relationship Id="rId48" Type="http://schemas.openxmlformats.org/officeDocument/2006/relationships/hyperlink" Target="https://www.hautconseilclimat.fr/wp-content/uploads/2020/12/rapport-5g_haut-conseil-pour-le-climat_etude-exterieure.pdf" TargetMode="External"/><Relationship Id="rId8" Type="http://schemas.openxmlformats.org/officeDocument/2006/relationships/hyperlink" Target="https://www.fnac.com/Guides/Micro/bien-choisir-ordinateur-portable/choisir-ordinateur-portable.asp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onnees.banquemondiale.org/indicator/SP.RUR.TOTL.ZS?locations=CO" TargetMode="External"/><Relationship Id="rId3" Type="http://schemas.openxmlformats.org/officeDocument/2006/relationships/hyperlink" Target="https://www.zora.uzh.ch/id/eprint/191299/1/5G%20and%20climate%20protection_University%20of%20Zurich_Empa.pdf" TargetMode="External"/><Relationship Id="rId7" Type="http://schemas.openxmlformats.org/officeDocument/2006/relationships/hyperlink" Target="https://fliphtml5.com/uuvsa/zwbe/basic" TargetMode="External"/><Relationship Id="rId2" Type="http://schemas.openxmlformats.org/officeDocument/2006/relationships/hyperlink" Target="https://www.zora.uzh.ch/id/eprint/191299/1/5G%20and%20climate%20protection_University%20of%20Zurich_Empa.pdf" TargetMode="External"/><Relationship Id="rId1" Type="http://schemas.openxmlformats.org/officeDocument/2006/relationships/hyperlink" Target="https://www.zora.uzh.ch/id/eprint/191299/1/5G%20and%20climate%20protection_University%20of%20Zurich_Empa.pdf" TargetMode="External"/><Relationship Id="rId6" Type="http://schemas.openxmlformats.org/officeDocument/2006/relationships/hyperlink" Target="https://www.zora.uzh.ch/id/eprint/191299/1/5G%20and%20climate%20protection_University%20of%20Zurich_Empa.pdf" TargetMode="External"/><Relationship Id="rId5" Type="http://schemas.openxmlformats.org/officeDocument/2006/relationships/hyperlink" Target="https://www.zora.uzh.ch/id/eprint/191299/1/5G%20and%20climate%20protection_University%20of%20Zurich_Empa.pdf" TargetMode="External"/><Relationship Id="rId4" Type="http://schemas.openxmlformats.org/officeDocument/2006/relationships/hyperlink" Target="https://www.zora.uzh.ch/id/eprint/191299/1/5G%20and%20climate%20protection_University%20of%20Zurich_Empa.pdf" TargetMode="External"/><Relationship Id="rId9"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8" Type="http://schemas.openxmlformats.org/officeDocument/2006/relationships/hyperlink" Target="https://www.nitidae.org/files/30c6cfd6/171122_rapport_technique_nerf_me.pdf" TargetMode="External"/><Relationship Id="rId13" Type="http://schemas.openxmlformats.org/officeDocument/2006/relationships/hyperlink" Target="https://www.nitidae.org/files/30c6cfd6/171122_rapport_technique_nerf_me.pdf" TargetMode="External"/><Relationship Id="rId18" Type="http://schemas.openxmlformats.org/officeDocument/2006/relationships/hyperlink" Target="https://www.nitidae.org/files/30c6cfd6/171122_rapport_technique_nerf_me.pdf" TargetMode="External"/><Relationship Id="rId26" Type="http://schemas.openxmlformats.org/officeDocument/2006/relationships/hyperlink" Target="https://www.bilans-ges.ademe.fr/documentation/UPLOAD_DOC_FR/index.htm?ordinateurs_et_equuipements_pe.htm" TargetMode="External"/><Relationship Id="rId3" Type="http://schemas.openxmlformats.org/officeDocument/2006/relationships/hyperlink" Target="https://www.nitidae.org/files/9189383d/170913_rapport_technique_occsol_me_vf.pdf" TargetMode="External"/><Relationship Id="rId21" Type="http://schemas.openxmlformats.org/officeDocument/2006/relationships/hyperlink" Target="https://www.nitidae.org/files/30c6cfd6/171122_rapport_technique_nerf_me.pdf" TargetMode="External"/><Relationship Id="rId7" Type="http://schemas.openxmlformats.org/officeDocument/2006/relationships/hyperlink" Target="https://www.nitidae.org/files/30c6cfd6/171122_rapport_technique_nerf_me.pdf" TargetMode="External"/><Relationship Id="rId12" Type="http://schemas.openxmlformats.org/officeDocument/2006/relationships/hyperlink" Target="https://www.nitidae.org/files/30c6cfd6/171122_rapport_technique_nerf_me.pdf" TargetMode="External"/><Relationship Id="rId17" Type="http://schemas.openxmlformats.org/officeDocument/2006/relationships/hyperlink" Target="https://www.nitidae.org/files/30c6cfd6/171122_rapport_technique_nerf_me.pdf" TargetMode="External"/><Relationship Id="rId25" Type="http://schemas.openxmlformats.org/officeDocument/2006/relationships/hyperlink" Target="https://www.nitidae.org/files/30c6cfd6/171122_rapport_technique_nerf_me.pdf" TargetMode="External"/><Relationship Id="rId2" Type="http://schemas.openxmlformats.org/officeDocument/2006/relationships/hyperlink" Target="https://advances.sciencemag.org/content/advances/5/10/eaax2546.full.pdf" TargetMode="External"/><Relationship Id="rId16" Type="http://schemas.openxmlformats.org/officeDocument/2006/relationships/hyperlink" Target="https://www.nitidae.org/files/30c6cfd6/171122_rapport_technique_nerf_me.pdf" TargetMode="External"/><Relationship Id="rId20" Type="http://schemas.openxmlformats.org/officeDocument/2006/relationships/hyperlink" Target="https://www.nitidae.org/files/30c6cfd6/171122_rapport_technique_nerf_me.pdf" TargetMode="External"/><Relationship Id="rId29" Type="http://schemas.openxmlformats.org/officeDocument/2006/relationships/hyperlink" Target="https://www.nitidae.org/files/9189383d/170913_rapport_technique_occsol_me_vf.pdf" TargetMode="External"/><Relationship Id="rId1" Type="http://schemas.openxmlformats.org/officeDocument/2006/relationships/hyperlink" Target="https://www.ucsusa.org/resources/satellite-database" TargetMode="External"/><Relationship Id="rId6" Type="http://schemas.openxmlformats.org/officeDocument/2006/relationships/hyperlink" Target="https://www.nitidae.org/files/30c6cfd6/171122_rapport_technique_nerf_me.pdf" TargetMode="External"/><Relationship Id="rId11" Type="http://schemas.openxmlformats.org/officeDocument/2006/relationships/hyperlink" Target="https://www.nitidae.org/files/30c6cfd6/171122_rapport_technique_nerf_me.pdf" TargetMode="External"/><Relationship Id="rId24" Type="http://schemas.openxmlformats.org/officeDocument/2006/relationships/hyperlink" Target="https://www.nitidae.org/files/30c6cfd6/171122_rapport_technique_nerf_me.pdf" TargetMode="External"/><Relationship Id="rId5" Type="http://schemas.openxmlformats.org/officeDocument/2006/relationships/hyperlink" Target="https://www.greenit.fr/2015/04/16/combien-consomme-une-tablette/" TargetMode="External"/><Relationship Id="rId15" Type="http://schemas.openxmlformats.org/officeDocument/2006/relationships/hyperlink" Target="https://www.nitidae.org/files/30c6cfd6/171122_rapport_technique_nerf_me.pdf" TargetMode="External"/><Relationship Id="rId23" Type="http://schemas.openxmlformats.org/officeDocument/2006/relationships/hyperlink" Target="https://www.nitidae.org/files/30c6cfd6/171122_rapport_technique_nerf_me.pdf" TargetMode="External"/><Relationship Id="rId28" Type="http://schemas.openxmlformats.org/officeDocument/2006/relationships/hyperlink" Target="https://www.gov.uk/government/publications/greenhouse-gas-reporting-conversion-factors-2019" TargetMode="External"/><Relationship Id="rId10" Type="http://schemas.openxmlformats.org/officeDocument/2006/relationships/hyperlink" Target="https://www.nitidae.org/files/30c6cfd6/171122_rapport_technique_nerf_me.pdf" TargetMode="External"/><Relationship Id="rId19" Type="http://schemas.openxmlformats.org/officeDocument/2006/relationships/hyperlink" Target="https://www.nitidae.org/files/30c6cfd6/171122_rapport_technique_nerf_me.pdf" TargetMode="External"/><Relationship Id="rId4" Type="http://schemas.openxmlformats.org/officeDocument/2006/relationships/hyperlink" Target="https://www.nitidae.org/files/9189383d/170913_rapport_technique_occsol_me_vf.pdf" TargetMode="External"/><Relationship Id="rId9" Type="http://schemas.openxmlformats.org/officeDocument/2006/relationships/hyperlink" Target="https://www.nitidae.org/files/30c6cfd6/171122_rapport_technique_nerf_me.pdf" TargetMode="External"/><Relationship Id="rId14" Type="http://schemas.openxmlformats.org/officeDocument/2006/relationships/hyperlink" Target="https://www.nitidae.org/files/30c6cfd6/171122_rapport_technique_nerf_me.pdf" TargetMode="External"/><Relationship Id="rId22" Type="http://schemas.openxmlformats.org/officeDocument/2006/relationships/hyperlink" Target="https://www.nitidae.org/files/30c6cfd6/171122_rapport_technique_nerf_me.pdf" TargetMode="External"/><Relationship Id="rId27" Type="http://schemas.openxmlformats.org/officeDocument/2006/relationships/hyperlink" Target="https://www.fnac.com/Guides/Micro/bien-choisir-ordinateur-portable/choisir-ordinateur-portable.aspx" TargetMode="External"/><Relationship Id="rId30"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8" Type="http://schemas.openxmlformats.org/officeDocument/2006/relationships/hyperlink" Target="https://www.greenit.fr/2015/04/16/combien-consomme-une-tablette/" TargetMode="External"/><Relationship Id="rId13" Type="http://schemas.openxmlformats.org/officeDocument/2006/relationships/hyperlink" Target="https://www.nitidae.org/files/30c6cfd6/171122_rapport_technique_nerf_me.pdf" TargetMode="External"/><Relationship Id="rId18" Type="http://schemas.openxmlformats.org/officeDocument/2006/relationships/printerSettings" Target="../printerSettings/printerSettings10.bin"/><Relationship Id="rId3" Type="http://schemas.openxmlformats.org/officeDocument/2006/relationships/hyperlink" Target="https://www.bilans-ges.ademe.fr/documentation/UPLOAD_DOC_FR/index.htm?ordinateurs_et_equuipements_pe.htm" TargetMode="External"/><Relationship Id="rId7" Type="http://schemas.openxmlformats.org/officeDocument/2006/relationships/hyperlink" Target="https://www.videoproc.com/gopro-video-processing/gopro-video-size-calculator.htm" TargetMode="External"/><Relationship Id="rId12" Type="http://schemas.openxmlformats.org/officeDocument/2006/relationships/hyperlink" Target="https://www.nitidae.org/files/30c6cfd6/171122_rapport_technique_nerf_me.pdf" TargetMode="External"/><Relationship Id="rId17" Type="http://schemas.openxmlformats.org/officeDocument/2006/relationships/hyperlink" Target="https://www.nitidae.org/files/30c6cfd6/171122_rapport_technique_nerf_me.pdf" TargetMode="External"/><Relationship Id="rId2" Type="http://schemas.openxmlformats.org/officeDocument/2006/relationships/hyperlink" Target="https://www.gov.uk/government/publications/greenhouse-gas-reporting-conversion-factors-2019" TargetMode="External"/><Relationship Id="rId16" Type="http://schemas.openxmlformats.org/officeDocument/2006/relationships/hyperlink" Target="https://www.nitidae.org/files/30c6cfd6/171122_rapport_technique_nerf_me.pdf" TargetMode="External"/><Relationship Id="rId1" Type="http://schemas.openxmlformats.org/officeDocument/2006/relationships/hyperlink" Target="https://www.fnac.com/Guides/Micro/bien-choisir-ordinateur-portable/choisir-ordinateur-portable.aspx" TargetMode="External"/><Relationship Id="rId6" Type="http://schemas.openxmlformats.org/officeDocument/2006/relationships/hyperlink" Target="https://doi.org/10.3390/f5061481" TargetMode="External"/><Relationship Id="rId11" Type="http://schemas.openxmlformats.org/officeDocument/2006/relationships/hyperlink" Target="https://www.nitidae.org/files/30c6cfd6/171122_rapport_technique_nerf_me.pdf" TargetMode="External"/><Relationship Id="rId5" Type="http://schemas.openxmlformats.org/officeDocument/2006/relationships/hyperlink" Target="https://www.gov.uk/government/publications/greenhouse-gas-reporting-conversion-factors-2019" TargetMode="External"/><Relationship Id="rId15" Type="http://schemas.openxmlformats.org/officeDocument/2006/relationships/hyperlink" Target="https://www.nitidae.org/files/30c6cfd6/171122_rapport_technique_nerf_me.pdf" TargetMode="External"/><Relationship Id="rId10" Type="http://schemas.openxmlformats.org/officeDocument/2006/relationships/hyperlink" Target="https://www.nitidae.org/files/30c6cfd6/171122_rapport_technique_nerf_me.pdf" TargetMode="External"/><Relationship Id="rId4" Type="http://schemas.openxmlformats.org/officeDocument/2006/relationships/hyperlink" Target="https://www.fnac.com/Guides/Micro/bien-choisir-ordinateur-portable/choisir-ordinateur-portable.aspx" TargetMode="External"/><Relationship Id="rId9" Type="http://schemas.openxmlformats.org/officeDocument/2006/relationships/hyperlink" Target="https://www.greenit.fr/2015/04/16/combien-consomme-une-tablette/" TargetMode="External"/><Relationship Id="rId14" Type="http://schemas.openxmlformats.org/officeDocument/2006/relationships/hyperlink" Target="https://www.nitidae.org/files/30c6cfd6/171122_rapport_technique_nerf_me.pdf"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www.nitidae.org/files/30c6cfd6/171122_rapport_technique_nerf_me.pdf" TargetMode="External"/><Relationship Id="rId3" Type="http://schemas.openxmlformats.org/officeDocument/2006/relationships/hyperlink" Target="https://www.bilans-ges.ademe.fr/documentation/UPLOAD_DOC_FR/index.htm?ordinateurs_et_equuipements_pe.htm" TargetMode="External"/><Relationship Id="rId7" Type="http://schemas.openxmlformats.org/officeDocument/2006/relationships/hyperlink" Target="https://www.bilans-ges.ademe.fr/documentation/UPLOAD_DOC_FR/index.htm?ordinateurs_et_equuipements_pe.htm" TargetMode="External"/><Relationship Id="rId2" Type="http://schemas.openxmlformats.org/officeDocument/2006/relationships/hyperlink" Target="https://www.gov.uk/government/publications/greenhouse-gas-reporting-conversion-factors-2019" TargetMode="External"/><Relationship Id="rId1" Type="http://schemas.openxmlformats.org/officeDocument/2006/relationships/hyperlink" Target="https://www.bilans-ges.ademe.fr/documentation/UPLOAD_DOC_FR/index.htm?ordinateurs_et_equuipements_pe.htm" TargetMode="External"/><Relationship Id="rId6" Type="http://schemas.openxmlformats.org/officeDocument/2006/relationships/hyperlink" Target="https://www.bilans-ges.ademe.fr/documentation/UPLOAD_DOC_FR/index.htm?ordinateurs_et_equuipements_pe.htm" TargetMode="External"/><Relationship Id="rId5" Type="http://schemas.openxmlformats.org/officeDocument/2006/relationships/hyperlink" Target="https://www.bilans-ges.ademe.fr/documentation/UPLOAD_DOC_FR/index.htm?ordinateurs_et_equuipements_pe.htm" TargetMode="External"/><Relationship Id="rId4" Type="http://schemas.openxmlformats.org/officeDocument/2006/relationships/hyperlink" Target="https://www.bilans-ges.ademe.fr/documentation/UPLOAD_DOC_FR/index.htm?ordinateurs_et_equuipements_pe.htm" TargetMode="External"/><Relationship Id="rId9"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hyperlink" Target="https://unfccc.int/climate-action/sectoral-engagement/ifis-harmonization-of-standards-for-ghg-accounting/ifi-twg-list-of-methodologi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C41"/>
  <sheetViews>
    <sheetView showGridLines="0" tabSelected="1" zoomScaleNormal="100" workbookViewId="0"/>
  </sheetViews>
  <sheetFormatPr baseColWidth="10" defaultColWidth="8.7109375" defaultRowHeight="15" x14ac:dyDescent="0.25"/>
  <cols>
    <col min="1" max="1" width="8.7109375" style="146"/>
    <col min="2" max="2" width="171.5703125" style="146" customWidth="1"/>
    <col min="3" max="16384" width="8.7109375" style="146"/>
  </cols>
  <sheetData>
    <row r="2" spans="2:2" x14ac:dyDescent="0.25">
      <c r="B2" s="156" t="s">
        <v>263</v>
      </c>
    </row>
    <row r="3" spans="2:2" x14ac:dyDescent="0.25">
      <c r="B3" s="156"/>
    </row>
    <row r="4" spans="2:2" ht="143.1" customHeight="1" x14ac:dyDescent="0.25">
      <c r="B4" s="124" t="s">
        <v>1339</v>
      </c>
    </row>
    <row r="5" spans="2:2" x14ac:dyDescent="0.25">
      <c r="B5" s="147" t="s">
        <v>264</v>
      </c>
    </row>
    <row r="6" spans="2:2" x14ac:dyDescent="0.25">
      <c r="B6" s="156"/>
    </row>
    <row r="7" spans="2:2" x14ac:dyDescent="0.25">
      <c r="B7" s="156" t="s">
        <v>251</v>
      </c>
    </row>
    <row r="8" spans="2:2" x14ac:dyDescent="0.25">
      <c r="B8" s="148"/>
    </row>
    <row r="9" spans="2:2" ht="30" x14ac:dyDescent="0.25">
      <c r="B9" s="147" t="s">
        <v>266</v>
      </c>
    </row>
    <row r="10" spans="2:2" ht="30" x14ac:dyDescent="0.25">
      <c r="B10" s="147" t="s">
        <v>396</v>
      </c>
    </row>
    <row r="11" spans="2:2" x14ac:dyDescent="0.25">
      <c r="B11" s="147" t="s">
        <v>265</v>
      </c>
    </row>
    <row r="12" spans="2:2" ht="30" x14ac:dyDescent="0.25">
      <c r="B12" s="147" t="s">
        <v>1251</v>
      </c>
    </row>
    <row r="13" spans="2:2" x14ac:dyDescent="0.25">
      <c r="B13" s="147"/>
    </row>
    <row r="14" spans="2:2" x14ac:dyDescent="0.25">
      <c r="B14" s="156" t="s">
        <v>250</v>
      </c>
    </row>
    <row r="15" spans="2:2" x14ac:dyDescent="0.25">
      <c r="B15" s="148"/>
    </row>
    <row r="16" spans="2:2" ht="60" x14ac:dyDescent="0.25">
      <c r="B16" s="147" t="s">
        <v>1327</v>
      </c>
    </row>
    <row r="17" spans="2:3" ht="30" x14ac:dyDescent="0.25">
      <c r="B17" s="147" t="s">
        <v>252</v>
      </c>
    </row>
    <row r="18" spans="2:3" x14ac:dyDescent="0.25">
      <c r="B18" s="149" t="s">
        <v>1252</v>
      </c>
    </row>
    <row r="19" spans="2:3" x14ac:dyDescent="0.25">
      <c r="B19" s="150" t="s">
        <v>1274</v>
      </c>
    </row>
    <row r="21" spans="2:3" x14ac:dyDescent="0.25">
      <c r="B21" s="86" t="s">
        <v>262</v>
      </c>
    </row>
    <row r="22" spans="2:3" ht="15.75" thickBot="1" x14ac:dyDescent="0.3"/>
    <row r="23" spans="2:3" x14ac:dyDescent="0.25">
      <c r="B23" s="157" t="s">
        <v>836</v>
      </c>
    </row>
    <row r="24" spans="2:3" x14ac:dyDescent="0.25">
      <c r="B24" s="158" t="s">
        <v>253</v>
      </c>
    </row>
    <row r="25" spans="2:3" ht="15.75" thickBot="1" x14ac:dyDescent="0.3">
      <c r="B25" s="159" t="s">
        <v>397</v>
      </c>
      <c r="C25" s="50"/>
    </row>
    <row r="28" spans="2:3" x14ac:dyDescent="0.25">
      <c r="B28" s="128" t="s">
        <v>1273</v>
      </c>
    </row>
    <row r="30" spans="2:3" x14ac:dyDescent="0.25">
      <c r="B30" s="151" t="s">
        <v>534</v>
      </c>
    </row>
    <row r="31" spans="2:3" x14ac:dyDescent="0.25">
      <c r="B31" s="152" t="s">
        <v>533</v>
      </c>
    </row>
    <row r="33" spans="2:2" x14ac:dyDescent="0.25">
      <c r="B33" s="128" t="s">
        <v>1272</v>
      </c>
    </row>
    <row r="35" spans="2:2" x14ac:dyDescent="0.25">
      <c r="B35" s="153" t="s">
        <v>1253</v>
      </c>
    </row>
    <row r="36" spans="2:2" x14ac:dyDescent="0.25">
      <c r="B36" s="154" t="s">
        <v>1254</v>
      </c>
    </row>
    <row r="37" spans="2:2" x14ac:dyDescent="0.25">
      <c r="B37" s="155" t="s">
        <v>1255</v>
      </c>
    </row>
    <row r="39" spans="2:2" x14ac:dyDescent="0.25">
      <c r="B39" s="86" t="s">
        <v>1340</v>
      </c>
    </row>
    <row r="40" spans="2:2" ht="75" x14ac:dyDescent="0.25">
      <c r="B40" s="261" t="s">
        <v>1341</v>
      </c>
    </row>
    <row r="41" spans="2:2" x14ac:dyDescent="0.25">
      <c r="B41"/>
    </row>
  </sheetData>
  <pageMargins left="0.7" right="0.7" top="0.75" bottom="0.75" header="0.3" footer="0.3"/>
  <pageSetup paperSize="9"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B2:H35"/>
  <sheetViews>
    <sheetView showGridLines="0" zoomScaleNormal="100" workbookViewId="0"/>
  </sheetViews>
  <sheetFormatPr baseColWidth="10" defaultColWidth="9.140625" defaultRowHeight="15" x14ac:dyDescent="0.25"/>
  <cols>
    <col min="1" max="1" width="9.140625" style="146"/>
    <col min="2" max="2" width="47.28515625" style="146" customWidth="1"/>
    <col min="3" max="3" width="13.140625" style="146" bestFit="1" customWidth="1"/>
    <col min="4" max="4" width="13.7109375" style="146" customWidth="1"/>
    <col min="5" max="5" width="9.140625" style="146"/>
    <col min="6" max="6" width="40.5703125" style="146" bestFit="1" customWidth="1"/>
    <col min="7" max="7" width="55.28515625" style="146" customWidth="1"/>
    <col min="8" max="8" width="16.42578125" style="146" customWidth="1"/>
    <col min="9" max="16384" width="9.140625" style="146"/>
  </cols>
  <sheetData>
    <row r="2" spans="2:4" x14ac:dyDescent="0.25">
      <c r="B2" s="172" t="s">
        <v>833</v>
      </c>
      <c r="C2" s="83" t="s">
        <v>643</v>
      </c>
    </row>
    <row r="3" spans="2:4" x14ac:dyDescent="0.25">
      <c r="B3" s="173" t="s">
        <v>60</v>
      </c>
      <c r="C3" s="163">
        <v>2021</v>
      </c>
    </row>
    <row r="4" spans="2:4" ht="30" x14ac:dyDescent="0.25">
      <c r="B4" s="174" t="s">
        <v>1232</v>
      </c>
      <c r="C4" s="163">
        <v>2024</v>
      </c>
    </row>
    <row r="5" spans="2:4" x14ac:dyDescent="0.25">
      <c r="B5" s="174" t="s">
        <v>1233</v>
      </c>
      <c r="C5" s="163">
        <v>20</v>
      </c>
    </row>
    <row r="6" spans="2:4" x14ac:dyDescent="0.25">
      <c r="B6" s="174" t="s">
        <v>1239</v>
      </c>
      <c r="C6" s="164">
        <f>C3+C5-1</f>
        <v>2040</v>
      </c>
    </row>
    <row r="8" spans="2:4" x14ac:dyDescent="0.25">
      <c r="B8" s="175" t="s">
        <v>1288</v>
      </c>
      <c r="C8" s="176"/>
      <c r="D8" s="176"/>
    </row>
    <row r="9" spans="2:4" x14ac:dyDescent="0.25">
      <c r="B9" s="165" t="s">
        <v>18</v>
      </c>
      <c r="C9" s="165" t="s">
        <v>19</v>
      </c>
      <c r="D9" s="165" t="s">
        <v>20</v>
      </c>
    </row>
    <row r="10" spans="2:4" x14ac:dyDescent="0.25">
      <c r="B10" s="166" t="s">
        <v>21</v>
      </c>
      <c r="C10" s="167">
        <v>1500000</v>
      </c>
      <c r="D10" s="166" t="s">
        <v>261</v>
      </c>
    </row>
    <row r="11" spans="2:4" x14ac:dyDescent="0.25">
      <c r="B11" s="166" t="s">
        <v>22</v>
      </c>
      <c r="C11" s="167">
        <v>700000</v>
      </c>
      <c r="D11" s="166" t="s">
        <v>261</v>
      </c>
    </row>
    <row r="12" spans="2:4" x14ac:dyDescent="0.25">
      <c r="B12" s="168" t="s">
        <v>277</v>
      </c>
      <c r="C12" s="167">
        <v>300000</v>
      </c>
      <c r="D12" s="166" t="s">
        <v>261</v>
      </c>
    </row>
    <row r="13" spans="2:4" x14ac:dyDescent="0.25">
      <c r="B13" s="169" t="s">
        <v>24</v>
      </c>
      <c r="C13" s="170">
        <v>350000</v>
      </c>
      <c r="D13" s="166" t="s">
        <v>261</v>
      </c>
    </row>
    <row r="14" spans="2:4" ht="30" x14ac:dyDescent="0.25">
      <c r="B14" s="166" t="s">
        <v>25</v>
      </c>
      <c r="C14" s="167">
        <v>1.2</v>
      </c>
      <c r="D14" s="166" t="s">
        <v>214</v>
      </c>
    </row>
    <row r="17" spans="2:8" x14ac:dyDescent="0.25">
      <c r="B17" s="176" t="s">
        <v>1289</v>
      </c>
      <c r="C17" s="176"/>
      <c r="D17" s="176"/>
      <c r="F17" s="176" t="s">
        <v>1289</v>
      </c>
      <c r="G17" s="176"/>
      <c r="H17" s="176"/>
    </row>
    <row r="18" spans="2:8" x14ac:dyDescent="0.25">
      <c r="B18" s="165" t="s">
        <v>18</v>
      </c>
      <c r="C18" s="165" t="s">
        <v>19</v>
      </c>
      <c r="D18" s="165" t="s">
        <v>20</v>
      </c>
      <c r="F18" s="165" t="s">
        <v>1270</v>
      </c>
      <c r="G18" s="165" t="s">
        <v>1271</v>
      </c>
      <c r="H18" s="165" t="s">
        <v>20</v>
      </c>
    </row>
    <row r="19" spans="2:8" ht="127.5" customHeight="1" x14ac:dyDescent="0.25">
      <c r="B19" s="169" t="s">
        <v>1202</v>
      </c>
      <c r="C19" s="171">
        <v>50.34</v>
      </c>
      <c r="D19" s="166" t="s">
        <v>1210</v>
      </c>
      <c r="F19" s="160" t="s">
        <v>870</v>
      </c>
      <c r="G19" s="161" t="s">
        <v>1276</v>
      </c>
      <c r="H19" s="162" t="s">
        <v>909</v>
      </c>
    </row>
    <row r="20" spans="2:8" x14ac:dyDescent="0.25">
      <c r="G20" s="161"/>
    </row>
    <row r="21" spans="2:8" x14ac:dyDescent="0.25">
      <c r="G21" s="161"/>
    </row>
    <row r="22" spans="2:8" x14ac:dyDescent="0.25">
      <c r="G22" s="161"/>
    </row>
    <row r="23" spans="2:8" x14ac:dyDescent="0.25">
      <c r="G23" s="161"/>
    </row>
    <row r="24" spans="2:8" x14ac:dyDescent="0.25">
      <c r="G24" s="161"/>
    </row>
    <row r="25" spans="2:8" x14ac:dyDescent="0.25">
      <c r="G25" s="161"/>
    </row>
    <row r="26" spans="2:8" x14ac:dyDescent="0.25">
      <c r="G26" s="161"/>
    </row>
    <row r="27" spans="2:8" x14ac:dyDescent="0.25">
      <c r="G27" s="161"/>
    </row>
    <row r="28" spans="2:8" x14ac:dyDescent="0.25">
      <c r="G28" s="161"/>
    </row>
    <row r="29" spans="2:8" x14ac:dyDescent="0.25">
      <c r="G29" s="161"/>
    </row>
    <row r="30" spans="2:8" x14ac:dyDescent="0.25">
      <c r="G30" s="161"/>
    </row>
    <row r="31" spans="2:8" x14ac:dyDescent="0.25">
      <c r="G31" s="161"/>
    </row>
    <row r="32" spans="2:8" x14ac:dyDescent="0.25">
      <c r="G32" s="161"/>
    </row>
    <row r="33" spans="7:7" x14ac:dyDescent="0.25">
      <c r="G33" s="161"/>
    </row>
    <row r="34" spans="7:7" x14ac:dyDescent="0.25">
      <c r="G34" s="161"/>
    </row>
    <row r="35" spans="7:7" x14ac:dyDescent="0.25">
      <c r="G35" s="161"/>
    </row>
  </sheetData>
  <mergeCells count="1">
    <mergeCell ref="G19:G35"/>
  </mergeCells>
  <hyperlinks>
    <hyperlink ref="H19" r:id="rId1" display="https://www.hautconseilclimat.fr/wp-content/uploads/2020/12/rapport-5g_haut-conseil-pour-le-climat_etude-exterieure.pdf"/>
  </hyperlinks>
  <pageMargins left="0.7" right="0.7" top="0.75" bottom="0.75" header="0.3" footer="0.3"/>
  <pageSetup paperSize="9" orientation="portrait" horizontalDpi="300" verticalDpi="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FE_par_pays!$A$8:$A$242</xm:f>
          </x14:formula1>
          <xm:sqref>C2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AA98"/>
  <sheetViews>
    <sheetView showGridLines="0" zoomScaleNormal="100" workbookViewId="0"/>
  </sheetViews>
  <sheetFormatPr baseColWidth="10" defaultColWidth="8.7109375" defaultRowHeight="15" x14ac:dyDescent="0.25"/>
  <cols>
    <col min="1" max="1" width="33.85546875" style="146" customWidth="1"/>
    <col min="2" max="2" width="75.5703125" style="146" customWidth="1"/>
    <col min="3" max="3" width="11.85546875" style="146" customWidth="1"/>
    <col min="4" max="4" width="11.28515625" style="146" customWidth="1"/>
    <col min="5" max="5" width="11.5703125" style="146" customWidth="1"/>
    <col min="6" max="6" width="12.5703125" style="146" customWidth="1"/>
    <col min="7" max="7" width="10.85546875" style="146" customWidth="1"/>
    <col min="8" max="8" width="11.140625" style="146" customWidth="1"/>
    <col min="9" max="9" width="14.5703125" style="146" customWidth="1"/>
    <col min="10" max="10" width="12.140625" style="146" customWidth="1"/>
    <col min="11" max="11" width="12.42578125" style="146" customWidth="1"/>
    <col min="12" max="12" width="12" style="146" customWidth="1"/>
    <col min="13" max="13" width="14.85546875" style="146" customWidth="1"/>
    <col min="14" max="14" width="19.140625" style="146" customWidth="1"/>
    <col min="15" max="15" width="15.42578125" style="146" customWidth="1"/>
    <col min="16" max="16" width="16.7109375" style="146" customWidth="1"/>
    <col min="17" max="27" width="14.85546875" style="146" customWidth="1"/>
    <col min="28" max="16384" width="8.7109375" style="146"/>
  </cols>
  <sheetData>
    <row r="1" spans="1:27" x14ac:dyDescent="0.25">
      <c r="C1" s="73">
        <v>3</v>
      </c>
      <c r="D1" s="73">
        <f>C1+1</f>
        <v>4</v>
      </c>
      <c r="E1" s="73">
        <f t="shared" ref="E1:L1" si="0">D1+1</f>
        <v>5</v>
      </c>
      <c r="F1" s="73">
        <f t="shared" si="0"/>
        <v>6</v>
      </c>
      <c r="G1" s="73">
        <f t="shared" si="0"/>
        <v>7</v>
      </c>
      <c r="H1" s="73">
        <f t="shared" si="0"/>
        <v>8</v>
      </c>
      <c r="I1" s="73">
        <f t="shared" si="0"/>
        <v>9</v>
      </c>
      <c r="J1" s="73">
        <f t="shared" si="0"/>
        <v>10</v>
      </c>
      <c r="K1" s="73">
        <f t="shared" si="0"/>
        <v>11</v>
      </c>
      <c r="L1" s="73">
        <f t="shared" si="0"/>
        <v>12</v>
      </c>
    </row>
    <row r="2" spans="1:27" x14ac:dyDescent="0.25">
      <c r="B2" s="491" t="s">
        <v>1290</v>
      </c>
      <c r="C2" s="491"/>
      <c r="D2" s="491"/>
      <c r="E2" s="491"/>
      <c r="F2" s="491"/>
      <c r="G2" s="491"/>
      <c r="H2" s="491"/>
      <c r="I2" s="491"/>
      <c r="J2" s="491"/>
      <c r="K2" s="491"/>
      <c r="L2" s="491"/>
      <c r="N2" s="73" t="str">
        <f>Télétravail!B68</f>
        <v>Profil type n°1 de ville : Amérique Latine, Bogota</v>
      </c>
      <c r="O2" s="73">
        <v>1</v>
      </c>
    </row>
    <row r="3" spans="1:27" x14ac:dyDescent="0.25">
      <c r="N3" s="73" t="str">
        <f>Télétravail!B78</f>
        <v>Profil type n°2 de ville : Lagos, Afrique</v>
      </c>
      <c r="O3" s="73">
        <v>2</v>
      </c>
    </row>
    <row r="4" spans="1:27" x14ac:dyDescent="0.25">
      <c r="N4" s="73" t="str">
        <f>Télétravail!B88</f>
        <v>Profil type n°3 de ville : Minsk, Europe</v>
      </c>
      <c r="O4" s="73">
        <v>3</v>
      </c>
    </row>
    <row r="5" spans="1:27" x14ac:dyDescent="0.25">
      <c r="N5" s="73" t="str">
        <f>Télétravail!B98</f>
        <v>Profil type n°4 de ville : Jakarta, Asie du Sud-Est</v>
      </c>
      <c r="O5" s="73">
        <v>4</v>
      </c>
    </row>
    <row r="7" spans="1:27" ht="60.95" customHeight="1" x14ac:dyDescent="0.25">
      <c r="C7" s="483" t="s">
        <v>320</v>
      </c>
      <c r="D7" s="483"/>
      <c r="E7" s="483"/>
      <c r="F7" s="483"/>
      <c r="G7" s="483"/>
      <c r="H7" s="483"/>
      <c r="I7" s="483"/>
      <c r="J7" s="483"/>
      <c r="K7" s="483"/>
      <c r="L7" s="483"/>
    </row>
    <row r="8" spans="1:27" x14ac:dyDescent="0.25">
      <c r="C8" s="178">
        <f>Hypothèses_projet!$C$3</f>
        <v>2021</v>
      </c>
      <c r="D8" s="178">
        <f>IF(Hypothèses_projet!$C$6&lt;=C8,"",C8+1)</f>
        <v>2022</v>
      </c>
      <c r="E8" s="178">
        <f>IF(Hypothèses_projet!$C$6&lt;=D8,"",D8+1)</f>
        <v>2023</v>
      </c>
      <c r="F8" s="178">
        <f>IF(Hypothèses_projet!$C$6&lt;=E8,"",E8+1)</f>
        <v>2024</v>
      </c>
      <c r="G8" s="178">
        <f>IF(Hypothèses_projet!$C$6&lt;=F8,"",F8+1)</f>
        <v>2025</v>
      </c>
      <c r="H8" s="178">
        <f>IF(Hypothèses_projet!$C$6&lt;=G8,"",G8+1)</f>
        <v>2026</v>
      </c>
      <c r="I8" s="178">
        <f>IF(Hypothèses_projet!$C$6&lt;=H8,"",H8+1)</f>
        <v>2027</v>
      </c>
      <c r="J8" s="178">
        <f>IF(Hypothèses_projet!$C$6&lt;=I8,"",I8+1)</f>
        <v>2028</v>
      </c>
      <c r="K8" s="178">
        <f>IF(Hypothèses_projet!$C$6&lt;=J8,"",J8+1)</f>
        <v>2029</v>
      </c>
      <c r="L8" s="178">
        <f>IF(Hypothèses_projet!$C$6&lt;=K8,"",K8+1)</f>
        <v>2030</v>
      </c>
      <c r="M8" s="178">
        <f>IF(Hypothèses_projet!$C$6&lt;=L8,"",L8+1)</f>
        <v>2031</v>
      </c>
      <c r="N8" s="178">
        <f>IF(Hypothèses_projet!$C$6&lt;=M8,"",M8+1)</f>
        <v>2032</v>
      </c>
      <c r="O8" s="178">
        <f>IF(Hypothèses_projet!$C$6&lt;=N8,"",N8+1)</f>
        <v>2033</v>
      </c>
      <c r="P8" s="178">
        <f>IF(Hypothèses_projet!$C$6&lt;=O8,"",O8+1)</f>
        <v>2034</v>
      </c>
      <c r="Q8" s="178">
        <f>IF(Hypothèses_projet!$C$6&lt;=P8,"",P8+1)</f>
        <v>2035</v>
      </c>
      <c r="R8" s="178">
        <f>IF(Hypothèses_projet!$C$6&lt;=Q8,"",Q8+1)</f>
        <v>2036</v>
      </c>
      <c r="S8" s="178">
        <f>IF(Hypothèses_projet!$C$6&lt;=R8,"",R8+1)</f>
        <v>2037</v>
      </c>
      <c r="T8" s="178">
        <f>IF(Hypothèses_projet!$C$6&lt;=S8,"",S8+1)</f>
        <v>2038</v>
      </c>
      <c r="U8" s="178">
        <f>IF(Hypothèses_projet!$C$6&lt;=T8,"",T8+1)</f>
        <v>2039</v>
      </c>
      <c r="V8" s="178">
        <f>IF(Hypothèses_projet!$C$6&lt;=U8,"",U8+1)</f>
        <v>2040</v>
      </c>
      <c r="W8" s="178" t="str">
        <f>IF(Hypothèses_projet!$C$6&lt;=V8,"",V8+1)</f>
        <v/>
      </c>
      <c r="X8" s="178" t="str">
        <f>IF(Hypothèses_projet!$C$6&lt;=W8,"",W8+1)</f>
        <v/>
      </c>
      <c r="Y8" s="178" t="str">
        <f>IF(Hypothèses_projet!$C$6&lt;=X8,"",X8+1)</f>
        <v/>
      </c>
      <c r="Z8" s="178" t="str">
        <f>IF(Hypothèses_projet!$C$6&lt;=Y8,"",Y8+1)</f>
        <v/>
      </c>
      <c r="AA8" s="178" t="str">
        <f>IF(Hypothèses_projet!$C$6&lt;=Z8,"",Z8+1)</f>
        <v/>
      </c>
    </row>
    <row r="9" spans="1:27" x14ac:dyDescent="0.25">
      <c r="B9" s="146" t="s">
        <v>336</v>
      </c>
      <c r="C9" s="409"/>
      <c r="D9" s="409"/>
      <c r="E9" s="409"/>
      <c r="F9" s="409"/>
      <c r="G9" s="409"/>
      <c r="H9" s="409"/>
      <c r="I9" s="409"/>
      <c r="J9" s="409"/>
      <c r="K9" s="409"/>
      <c r="L9" s="409"/>
    </row>
    <row r="10" spans="1:27" x14ac:dyDescent="0.25">
      <c r="A10" s="484" t="s">
        <v>1196</v>
      </c>
      <c r="B10" s="244"/>
      <c r="C10" s="485">
        <f ca="1">IF(C8="","",SUM(C19,C29,C39,C50,C67,C77,C84,C93))</f>
        <v>-189092.22568576259</v>
      </c>
      <c r="D10" s="485">
        <f t="shared" ref="D10:AA10" ca="1" si="1">IF(D8="","",SUM(D19,D29,D39,D50,D67,D77,D84,D93))</f>
        <v>-333239.25686502043</v>
      </c>
      <c r="E10" s="485">
        <f t="shared" ca="1" si="1"/>
        <v>-463799.17429344612</v>
      </c>
      <c r="F10" s="485">
        <f t="shared" ca="1" si="1"/>
        <v>-589077.62795197382</v>
      </c>
      <c r="G10" s="485">
        <f t="shared" ca="1" si="1"/>
        <v>-714015.19571770728</v>
      </c>
      <c r="H10" s="485">
        <f t="shared" ca="1" si="1"/>
        <v>-833900.75017133099</v>
      </c>
      <c r="I10" s="485">
        <f t="shared" ca="1" si="1"/>
        <v>-951722.24130192539</v>
      </c>
      <c r="J10" s="485">
        <f t="shared" ca="1" si="1"/>
        <v>-1065250.2408011435</v>
      </c>
      <c r="K10" s="485">
        <f t="shared" ca="1" si="1"/>
        <v>-1174798.2511559154</v>
      </c>
      <c r="L10" s="485">
        <f t="shared" ca="1" si="1"/>
        <v>-842979.05774441885</v>
      </c>
      <c r="M10" s="485">
        <f t="shared" ca="1" si="1"/>
        <v>-1527331.2234238936</v>
      </c>
      <c r="N10" s="485">
        <f t="shared" ca="1" si="1"/>
        <v>-1626957.2268285232</v>
      </c>
      <c r="O10" s="485">
        <f t="shared" ca="1" si="1"/>
        <v>-1721606.0545542943</v>
      </c>
      <c r="P10" s="485">
        <f t="shared" ca="1" si="1"/>
        <v>-1811526.5400624995</v>
      </c>
      <c r="Q10" s="485">
        <f t="shared" ca="1" si="1"/>
        <v>-1896955.073939695</v>
      </c>
      <c r="R10" s="485">
        <f t="shared" ca="1" si="1"/>
        <v>-1978116.2260162451</v>
      </c>
      <c r="S10" s="485">
        <f t="shared" ca="1" si="1"/>
        <v>-2055223.3363785071</v>
      </c>
      <c r="T10" s="485">
        <f t="shared" ca="1" si="1"/>
        <v>-2128479.0768299685</v>
      </c>
      <c r="U10" s="485">
        <f t="shared" ca="1" si="1"/>
        <v>-2198075.9842788787</v>
      </c>
      <c r="V10" s="485">
        <f t="shared" ca="1" si="1"/>
        <v>-2264086.3384960173</v>
      </c>
      <c r="W10" s="485" t="str">
        <f t="shared" si="1"/>
        <v/>
      </c>
      <c r="X10" s="485" t="str">
        <f t="shared" si="1"/>
        <v/>
      </c>
      <c r="Y10" s="485" t="str">
        <f t="shared" si="1"/>
        <v/>
      </c>
      <c r="Z10" s="485" t="str">
        <f t="shared" si="1"/>
        <v/>
      </c>
      <c r="AA10" s="485" t="str">
        <f t="shared" si="1"/>
        <v/>
      </c>
    </row>
    <row r="11" spans="1:27" x14ac:dyDescent="0.25">
      <c r="A11" s="484" t="s">
        <v>1197</v>
      </c>
      <c r="B11" s="244"/>
      <c r="C11" s="485">
        <f ca="1">IF(C8="","",C10)</f>
        <v>-189092.22568576259</v>
      </c>
      <c r="D11" s="485">
        <f ca="1">IF(D8="","",C11+D10)</f>
        <v>-522331.48255078302</v>
      </c>
      <c r="E11" s="485">
        <f t="shared" ref="E11:AA11" ca="1" si="2">IF(E8="","",D11+E10)</f>
        <v>-986130.6568442292</v>
      </c>
      <c r="F11" s="485">
        <f t="shared" ca="1" si="2"/>
        <v>-1575208.284796203</v>
      </c>
      <c r="G11" s="485">
        <f t="shared" ca="1" si="2"/>
        <v>-2289223.4805139103</v>
      </c>
      <c r="H11" s="485">
        <f ca="1">IF(H8="","",G11+H10)</f>
        <v>-3123124.2306852415</v>
      </c>
      <c r="I11" s="485">
        <f t="shared" ca="1" si="2"/>
        <v>-4074846.4719871669</v>
      </c>
      <c r="J11" s="485">
        <f t="shared" ca="1" si="2"/>
        <v>-5140096.7127883099</v>
      </c>
      <c r="K11" s="485">
        <f t="shared" ca="1" si="2"/>
        <v>-6314894.9639442256</v>
      </c>
      <c r="L11" s="485">
        <f t="shared" ca="1" si="2"/>
        <v>-7157874.0216886448</v>
      </c>
      <c r="M11" s="485">
        <f t="shared" ca="1" si="2"/>
        <v>-8685205.2451125383</v>
      </c>
      <c r="N11" s="485">
        <f t="shared" ca="1" si="2"/>
        <v>-10312162.471941061</v>
      </c>
      <c r="O11" s="485">
        <f t="shared" ca="1" si="2"/>
        <v>-12033768.526495356</v>
      </c>
      <c r="P11" s="485">
        <f t="shared" ca="1" si="2"/>
        <v>-13845295.066557856</v>
      </c>
      <c r="Q11" s="485">
        <f t="shared" ca="1" si="2"/>
        <v>-15742250.14049755</v>
      </c>
      <c r="R11" s="485">
        <f t="shared" ca="1" si="2"/>
        <v>-17720366.366513796</v>
      </c>
      <c r="S11" s="485">
        <f t="shared" ca="1" si="2"/>
        <v>-19775589.702892303</v>
      </c>
      <c r="T11" s="485">
        <f t="shared" ca="1" si="2"/>
        <v>-21904068.779722273</v>
      </c>
      <c r="U11" s="485">
        <f t="shared" ca="1" si="2"/>
        <v>-24102144.764001153</v>
      </c>
      <c r="V11" s="485">
        <f t="shared" ca="1" si="2"/>
        <v>-26366231.102497172</v>
      </c>
      <c r="W11" s="485" t="str">
        <f t="shared" si="2"/>
        <v/>
      </c>
      <c r="X11" s="485" t="str">
        <f t="shared" si="2"/>
        <v/>
      </c>
      <c r="Y11" s="485" t="str">
        <f t="shared" si="2"/>
        <v/>
      </c>
      <c r="Z11" s="485" t="str">
        <f t="shared" si="2"/>
        <v/>
      </c>
      <c r="AA11" s="485" t="str">
        <f t="shared" si="2"/>
        <v/>
      </c>
    </row>
    <row r="13" spans="1:27" x14ac:dyDescent="0.25">
      <c r="A13" s="486" t="s">
        <v>1291</v>
      </c>
      <c r="B13" s="205"/>
      <c r="C13" s="205"/>
      <c r="D13" s="205"/>
      <c r="E13" s="205"/>
      <c r="F13" s="205"/>
      <c r="G13" s="205"/>
      <c r="H13" s="205"/>
      <c r="I13" s="205"/>
      <c r="J13" s="205"/>
      <c r="K13" s="205"/>
      <c r="L13" s="205"/>
    </row>
    <row r="14" spans="1:27" x14ac:dyDescent="0.25">
      <c r="C14" s="73" t="s">
        <v>201</v>
      </c>
    </row>
    <row r="15" spans="1:27" x14ac:dyDescent="0.25">
      <c r="C15" s="73" t="s">
        <v>322</v>
      </c>
    </row>
    <row r="16" spans="1:27" ht="30" x14ac:dyDescent="0.25">
      <c r="A16" s="150" t="s">
        <v>1300</v>
      </c>
      <c r="B16" s="466" t="s">
        <v>369</v>
      </c>
      <c r="C16" s="409"/>
      <c r="D16" s="409"/>
      <c r="E16" s="409"/>
      <c r="F16" s="409"/>
      <c r="G16" s="409"/>
      <c r="H16" s="409"/>
      <c r="I16" s="409"/>
      <c r="J16" s="409"/>
      <c r="K16" s="409"/>
      <c r="L16" s="409"/>
    </row>
    <row r="17" spans="1:27" x14ac:dyDescent="0.25">
      <c r="A17" s="261"/>
      <c r="B17" s="487" t="s">
        <v>201</v>
      </c>
      <c r="C17" s="409"/>
      <c r="D17" s="409"/>
      <c r="E17" s="409"/>
      <c r="F17" s="409"/>
      <c r="G17" s="409"/>
      <c r="H17" s="409"/>
      <c r="I17" s="409"/>
      <c r="J17" s="409"/>
      <c r="K17" s="409"/>
      <c r="L17" s="409"/>
    </row>
    <row r="18" spans="1:27" x14ac:dyDescent="0.25">
      <c r="A18" s="488" t="s">
        <v>1293</v>
      </c>
      <c r="B18" s="488"/>
    </row>
    <row r="19" spans="1:27" x14ac:dyDescent="0.25">
      <c r="A19" s="268" t="s">
        <v>201</v>
      </c>
      <c r="B19" s="205" t="s">
        <v>301</v>
      </c>
      <c r="C19" s="206">
        <f>IF(C8="","",IF($A19="OUI",SUM(C22:C26),0))</f>
        <v>1816.7323154873966</v>
      </c>
      <c r="D19" s="206">
        <f t="shared" ref="D19:K19" si="3">IF($A19="OUI",SUM(D22:D26),0)</f>
        <v>1239.7966975622835</v>
      </c>
      <c r="E19" s="206">
        <f t="shared" si="3"/>
        <v>1973.883013599434</v>
      </c>
      <c r="F19" s="206">
        <f t="shared" si="3"/>
        <v>2028.1885691549896</v>
      </c>
      <c r="G19" s="206">
        <f t="shared" si="3"/>
        <v>2028.1885691549896</v>
      </c>
      <c r="H19" s="206">
        <f t="shared" si="3"/>
        <v>2028.1885691549896</v>
      </c>
      <c r="I19" s="206">
        <f t="shared" si="3"/>
        <v>2028.1885691549896</v>
      </c>
      <c r="J19" s="206">
        <f t="shared" si="3"/>
        <v>2028.1885691549896</v>
      </c>
      <c r="K19" s="206">
        <f t="shared" si="3"/>
        <v>2028.1885691549896</v>
      </c>
      <c r="L19" s="206">
        <f>IF($A19="OUI",SUM(L22:L26),0)</f>
        <v>2028.1885691549896</v>
      </c>
      <c r="M19" s="206">
        <f t="shared" ref="M19:AA19" si="4">IF($A19="OUI",SUM(M22:M26),0)</f>
        <v>2028.1885691549896</v>
      </c>
      <c r="N19" s="206">
        <f t="shared" si="4"/>
        <v>2028.1885691549896</v>
      </c>
      <c r="O19" s="206">
        <f t="shared" si="4"/>
        <v>2028.1885691549896</v>
      </c>
      <c r="P19" s="206">
        <f t="shared" si="4"/>
        <v>2028.1885691549896</v>
      </c>
      <c r="Q19" s="206">
        <f t="shared" si="4"/>
        <v>2028.1885691549896</v>
      </c>
      <c r="R19" s="206">
        <f t="shared" si="4"/>
        <v>2028.1885691549896</v>
      </c>
      <c r="S19" s="206">
        <f t="shared" si="4"/>
        <v>2028.1885691549896</v>
      </c>
      <c r="T19" s="206">
        <f t="shared" si="4"/>
        <v>2028.1885691549896</v>
      </c>
      <c r="U19" s="206">
        <f t="shared" si="4"/>
        <v>2028.1885691549896</v>
      </c>
      <c r="V19" s="206">
        <f t="shared" si="4"/>
        <v>2028.1885691549896</v>
      </c>
      <c r="W19" s="206">
        <f t="shared" si="4"/>
        <v>0</v>
      </c>
      <c r="X19" s="206">
        <f t="shared" si="4"/>
        <v>0</v>
      </c>
      <c r="Y19" s="206">
        <f t="shared" si="4"/>
        <v>0</v>
      </c>
      <c r="Z19" s="206">
        <f t="shared" si="4"/>
        <v>0</v>
      </c>
      <c r="AA19" s="206">
        <f t="shared" si="4"/>
        <v>0</v>
      </c>
    </row>
    <row r="20" spans="1:27" x14ac:dyDescent="0.25">
      <c r="C20" s="284"/>
      <c r="D20" s="284"/>
      <c r="E20" s="284"/>
      <c r="F20" s="284"/>
      <c r="G20" s="284"/>
      <c r="H20" s="284"/>
      <c r="I20" s="284"/>
      <c r="J20" s="284"/>
      <c r="K20" s="284"/>
      <c r="L20" s="284"/>
    </row>
    <row r="21" spans="1:27" x14ac:dyDescent="0.25">
      <c r="A21" s="146" t="s">
        <v>1294</v>
      </c>
      <c r="C21" s="284"/>
      <c r="D21" s="284"/>
      <c r="E21" s="284"/>
      <c r="F21" s="284"/>
      <c r="G21" s="284"/>
      <c r="H21" s="284"/>
      <c r="I21" s="284"/>
      <c r="J21" s="284"/>
      <c r="K21" s="284"/>
      <c r="L21" s="284"/>
    </row>
    <row r="22" spans="1:27" x14ac:dyDescent="0.25">
      <c r="A22" s="268" t="s">
        <v>201</v>
      </c>
      <c r="B22" s="208" t="str">
        <f>Data_center!$B$32</f>
        <v>Nouveau data center : Production</v>
      </c>
      <c r="C22" s="206">
        <f>IF(C8="","",IF(AND($A22="OUI",C8=Data_center!$C$14),Data_center!E43,0))</f>
        <v>1311.0219339622643</v>
      </c>
      <c r="D22" s="206">
        <f>IF(AND($A22="OUI",D8=Data_center!$C$14),Data_center!F43,0)</f>
        <v>0</v>
      </c>
      <c r="E22" s="206">
        <f>IF(AND($A22="OUI",E8=Data_center!$C$14),Data_center!G43,0)</f>
        <v>0</v>
      </c>
      <c r="F22" s="206">
        <f>IF(AND($A22="OUI",F8=Data_center!$C$14),Data_center!H43,0)</f>
        <v>0</v>
      </c>
      <c r="G22" s="206">
        <f>IF(AND($A22="OUI",G8=Data_center!$C$14),Data_center!I43,0)</f>
        <v>0</v>
      </c>
      <c r="H22" s="206">
        <f>IF(AND($A22="OUI",H8=Data_center!$C$14),Data_center!J43,0)</f>
        <v>0</v>
      </c>
      <c r="I22" s="206">
        <f>IF(AND($A22="OUI",I8=Data_center!$C$14),Data_center!K43,0)</f>
        <v>0</v>
      </c>
      <c r="J22" s="206">
        <f>IF(AND($A22="OUI",J8=Data_center!$C$14),Data_center!L43,0)</f>
        <v>0</v>
      </c>
      <c r="K22" s="206">
        <f>IF(AND($A22="OUI",K8=Data_center!$C$14),Data_center!M43,0)</f>
        <v>0</v>
      </c>
      <c r="L22" s="206">
        <f>IF(AND($A22="OUI",L8=Data_center!$C$14),Data_center!N43,0)</f>
        <v>0</v>
      </c>
      <c r="M22" s="206">
        <f>IF(AND($A22="OUI",M8=Data_center!$C$14),Data_center!O43,0)</f>
        <v>0</v>
      </c>
      <c r="N22" s="206">
        <f>IF(AND($A22="OUI",N8=Data_center!$C$14),Data_center!P43,0)</f>
        <v>0</v>
      </c>
      <c r="O22" s="206">
        <f>IF(AND($A22="OUI",O8=Data_center!$C$14),Data_center!Q43,0)</f>
        <v>0</v>
      </c>
      <c r="P22" s="206">
        <f>IF(AND($A22="OUI",P8=Data_center!$C$14),Data_center!R43,0)</f>
        <v>0</v>
      </c>
      <c r="Q22" s="206">
        <f>IF(AND($A22="OUI",Q8=Data_center!$C$14),Data_center!S43,0)</f>
        <v>0</v>
      </c>
      <c r="R22" s="206">
        <f>IF(AND($A22="OUI",R8=Data_center!$C$14),Data_center!T43,0)</f>
        <v>0</v>
      </c>
      <c r="S22" s="206">
        <f>IF(AND($A22="OUI",S8=Data_center!$C$14),Data_center!U43,0)</f>
        <v>0</v>
      </c>
      <c r="T22" s="206">
        <f>IF(AND($A22="OUI",T8=Data_center!$C$14),Data_center!V43,0)</f>
        <v>0</v>
      </c>
      <c r="U22" s="206">
        <f>IF(AND($A22="OUI",U8=Data_center!$C$14),Data_center!W43,0)</f>
        <v>0</v>
      </c>
      <c r="V22" s="206">
        <f>IF(AND($A22="OUI",V8=Data_center!$C$14),Data_center!X43,0)</f>
        <v>0</v>
      </c>
      <c r="W22" s="206">
        <f>IF(AND($A22="OUI",W8=Data_center!$C$14),Data_center!Y43,0)</f>
        <v>0</v>
      </c>
      <c r="X22" s="206">
        <f>IF(AND($A22="OUI",X8=Data_center!$C$14),Data_center!Z43,0)</f>
        <v>0</v>
      </c>
      <c r="Y22" s="206">
        <f>IF(AND($A22="OUI",Y8=Data_center!$C$14),Data_center!AA43,0)</f>
        <v>0</v>
      </c>
      <c r="Z22" s="206">
        <f>IF(AND($A22="OUI",Z8=Data_center!$C$14),Data_center!AB43,0)</f>
        <v>0</v>
      </c>
      <c r="AA22" s="206">
        <f>IF(AND($A22="OUI",AA8=Data_center!$C$14),Data_center!AC43,0)</f>
        <v>0</v>
      </c>
    </row>
    <row r="23" spans="1:27" x14ac:dyDescent="0.25">
      <c r="A23" s="268" t="s">
        <v>201</v>
      </c>
      <c r="B23" s="208" t="str">
        <f>Data_center!$B$73</f>
        <v xml:space="preserve">Nouveau data center : Renouvellement des équipements
</v>
      </c>
      <c r="C23" s="206">
        <f>IF(C8="","",IF($A23="OUI",Data_center!C83,0))</f>
        <v>0</v>
      </c>
      <c r="D23" s="206">
        <f>IF($A23="OUI",Data_center!D83,0)</f>
        <v>54.30555555555555</v>
      </c>
      <c r="E23" s="206">
        <f>IF($A23="OUI",Data_center!E83,0)</f>
        <v>108.6111111111111</v>
      </c>
      <c r="F23" s="206">
        <f>IF($A23="OUI",Data_center!F83,0)</f>
        <v>162.91666666666666</v>
      </c>
      <c r="G23" s="206">
        <f>IF($A23="OUI",Data_center!G83,0)</f>
        <v>162.91666666666666</v>
      </c>
      <c r="H23" s="206">
        <f>IF($A23="OUI",Data_center!H83,0)</f>
        <v>162.91666666666666</v>
      </c>
      <c r="I23" s="206">
        <f>IF($A23="OUI",Data_center!I83,0)</f>
        <v>162.91666666666666</v>
      </c>
      <c r="J23" s="206">
        <f>IF($A23="OUI",Data_center!J83,0)</f>
        <v>162.91666666666666</v>
      </c>
      <c r="K23" s="206">
        <f>IF($A23="OUI",Data_center!K83,0)</f>
        <v>162.91666666666666</v>
      </c>
      <c r="L23" s="206">
        <f>IF($A23="OUI",Data_center!L83,0)</f>
        <v>162.91666666666666</v>
      </c>
      <c r="M23" s="206">
        <f>IF($A23="OUI",Data_center!M83,0)</f>
        <v>162.91666666666666</v>
      </c>
      <c r="N23" s="206">
        <f>IF($A23="OUI",Data_center!N83,0)</f>
        <v>162.91666666666666</v>
      </c>
      <c r="O23" s="206">
        <f>IF($A23="OUI",Data_center!O83,0)</f>
        <v>162.91666666666666</v>
      </c>
      <c r="P23" s="206">
        <f>IF($A23="OUI",Data_center!P83,0)</f>
        <v>162.91666666666666</v>
      </c>
      <c r="Q23" s="206">
        <f>IF($A23="OUI",Data_center!Q83,0)</f>
        <v>162.91666666666666</v>
      </c>
      <c r="R23" s="206">
        <f>IF($A23="OUI",Data_center!R83,0)</f>
        <v>162.91666666666666</v>
      </c>
      <c r="S23" s="206">
        <f>IF($A23="OUI",Data_center!S83,0)</f>
        <v>162.91666666666666</v>
      </c>
      <c r="T23" s="206">
        <f>IF($A23="OUI",Data_center!T83,0)</f>
        <v>162.91666666666666</v>
      </c>
      <c r="U23" s="206">
        <f>IF($A23="OUI",Data_center!U83,0)</f>
        <v>162.91666666666666</v>
      </c>
      <c r="V23" s="206">
        <f>IF($A23="OUI",Data_center!V83,0)</f>
        <v>162.91666666666666</v>
      </c>
      <c r="W23" s="206" t="str">
        <f>IF($A23="OUI",Data_center!W83,0)</f>
        <v/>
      </c>
      <c r="X23" s="206" t="str">
        <f>IF($A23="OUI",Data_center!X83,0)</f>
        <v/>
      </c>
      <c r="Y23" s="206" t="str">
        <f>IF($A23="OUI",Data_center!Y83,0)</f>
        <v/>
      </c>
      <c r="Z23" s="206" t="str">
        <f>IF($A23="OUI",Data_center!Z83,0)</f>
        <v/>
      </c>
      <c r="AA23" s="206" t="str">
        <f>IF($A23="OUI",Data_center!AA83,0)</f>
        <v/>
      </c>
    </row>
    <row r="24" spans="1:27" x14ac:dyDescent="0.25">
      <c r="A24" s="268" t="s">
        <v>201</v>
      </c>
      <c r="B24" s="208" t="str">
        <f>Data_center!$B$91</f>
        <v>Nouveau data center : Consommations énergétiques en phase utilisation</v>
      </c>
      <c r="C24" s="206">
        <f>IF($A24="OUI",Data_center!C104,0)</f>
        <v>679.78076048159517</v>
      </c>
      <c r="D24" s="206">
        <f>IF($A24="OUI",Data_center!D104,0)</f>
        <v>1359.5615209631903</v>
      </c>
      <c r="E24" s="206">
        <f>IF($A24="OUI",Data_center!E104,0)</f>
        <v>2039.3422814447854</v>
      </c>
      <c r="F24" s="206">
        <f>IF($A24="OUI",Data_center!F104,0)</f>
        <v>2039.3422814447856</v>
      </c>
      <c r="G24" s="206">
        <f>IF($A24="OUI",Data_center!G104,0)</f>
        <v>2039.3422814447856</v>
      </c>
      <c r="H24" s="206">
        <f>IF($A24="OUI",Data_center!H104,0)</f>
        <v>2039.3422814447856</v>
      </c>
      <c r="I24" s="206">
        <f>IF($A24="OUI",Data_center!I104,0)</f>
        <v>2039.3422814447856</v>
      </c>
      <c r="J24" s="206">
        <f>IF($A24="OUI",Data_center!J104,0)</f>
        <v>2039.3422814447856</v>
      </c>
      <c r="K24" s="206">
        <f>IF($A24="OUI",Data_center!K104,0)</f>
        <v>2039.3422814447856</v>
      </c>
      <c r="L24" s="206">
        <f>IF($A24="OUI",Data_center!L104,0)</f>
        <v>2039.3422814447856</v>
      </c>
      <c r="M24" s="206">
        <f>IF($A24="OUI",Data_center!M104,0)</f>
        <v>2039.3422814447856</v>
      </c>
      <c r="N24" s="206">
        <f>IF($A24="OUI",Data_center!N104,0)</f>
        <v>2039.3422814447856</v>
      </c>
      <c r="O24" s="206">
        <f>IF($A24="OUI",Data_center!O104,0)</f>
        <v>2039.3422814447856</v>
      </c>
      <c r="P24" s="206">
        <f>IF($A24="OUI",Data_center!P104,0)</f>
        <v>2039.3422814447856</v>
      </c>
      <c r="Q24" s="206">
        <f>IF($A24="OUI",Data_center!Q104,0)</f>
        <v>2039.3422814447856</v>
      </c>
      <c r="R24" s="206">
        <f>IF($A24="OUI",Data_center!R104,0)</f>
        <v>2039.3422814447856</v>
      </c>
      <c r="S24" s="206">
        <f>IF($A24="OUI",Data_center!S104,0)</f>
        <v>2039.3422814447856</v>
      </c>
      <c r="T24" s="206">
        <f>IF($A24="OUI",Data_center!T104,0)</f>
        <v>2039.3422814447856</v>
      </c>
      <c r="U24" s="206">
        <f>IF($A24="OUI",Data_center!U104,0)</f>
        <v>2039.3422814447856</v>
      </c>
      <c r="V24" s="206">
        <f>IF($A24="OUI",Data_center!V104,0)</f>
        <v>2039.3422814447856</v>
      </c>
      <c r="W24" s="206" t="str">
        <f>IF($A24="OUI",Data_center!W104,0)</f>
        <v/>
      </c>
      <c r="X24" s="206" t="str">
        <f>IF($A24="OUI",Data_center!X104,0)</f>
        <v/>
      </c>
      <c r="Y24" s="206" t="str">
        <f>IF($A24="OUI",Data_center!Y104,0)</f>
        <v/>
      </c>
      <c r="Z24" s="206" t="str">
        <f>IF($A24="OUI",Data_center!Z104,0)</f>
        <v/>
      </c>
      <c r="AA24" s="206" t="str">
        <f>IF($A24="OUI",Data_center!AA104,0)</f>
        <v/>
      </c>
    </row>
    <row r="25" spans="1:27" x14ac:dyDescent="0.25">
      <c r="A25" s="268" t="s">
        <v>201</v>
      </c>
      <c r="B25" s="489" t="str">
        <f>Data_center!$B$132</f>
        <v>Changement de data center : Renouvellement des équipements</v>
      </c>
      <c r="C25" s="206">
        <f>IF($A25="OUI",Data_center!C141,0)</f>
        <v>162.91666666666666</v>
      </c>
      <c r="D25" s="206">
        <f>IF($A25="OUI",Data_center!D141,0)</f>
        <v>162.91666666666666</v>
      </c>
      <c r="E25" s="206">
        <f>IF($A25="OUI",Data_center!E141,0)</f>
        <v>162.91666666666666</v>
      </c>
      <c r="F25" s="206">
        <f>IF($A25="OUI",Data_center!F141,0)</f>
        <v>162.91666666666666</v>
      </c>
      <c r="G25" s="206">
        <f>IF($A25="OUI",Data_center!G141,0)</f>
        <v>162.91666666666666</v>
      </c>
      <c r="H25" s="206">
        <f>IF($A25="OUI",Data_center!H141,0)</f>
        <v>162.91666666666666</v>
      </c>
      <c r="I25" s="206">
        <f>IF($A25="OUI",Data_center!I141,0)</f>
        <v>162.91666666666666</v>
      </c>
      <c r="J25" s="206">
        <f>IF($A25="OUI",Data_center!J141,0)</f>
        <v>162.91666666666666</v>
      </c>
      <c r="K25" s="206">
        <f>IF($A25="OUI",Data_center!K141,0)</f>
        <v>162.91666666666666</v>
      </c>
      <c r="L25" s="206">
        <f>IF($A25="OUI",Data_center!L141,0)</f>
        <v>162.91666666666666</v>
      </c>
      <c r="M25" s="206">
        <f>IF($A25="OUI",Data_center!M141,0)</f>
        <v>162.91666666666666</v>
      </c>
      <c r="N25" s="206">
        <f>IF($A25="OUI",Data_center!N141,0)</f>
        <v>162.91666666666666</v>
      </c>
      <c r="O25" s="206">
        <f>IF($A25="OUI",Data_center!O141,0)</f>
        <v>162.91666666666666</v>
      </c>
      <c r="P25" s="206">
        <f>IF($A25="OUI",Data_center!P141,0)</f>
        <v>162.91666666666666</v>
      </c>
      <c r="Q25" s="206">
        <f>IF($A25="OUI",Data_center!Q141,0)</f>
        <v>162.91666666666666</v>
      </c>
      <c r="R25" s="206">
        <f>IF($A25="OUI",Data_center!R141,0)</f>
        <v>162.91666666666666</v>
      </c>
      <c r="S25" s="206">
        <f>IF($A25="OUI",Data_center!S141,0)</f>
        <v>162.91666666666666</v>
      </c>
      <c r="T25" s="206">
        <f>IF($A25="OUI",Data_center!T141,0)</f>
        <v>162.91666666666666</v>
      </c>
      <c r="U25" s="206">
        <f>IF($A25="OUI",Data_center!U141,0)</f>
        <v>162.91666666666666</v>
      </c>
      <c r="V25" s="206">
        <f>IF($A25="OUI",Data_center!V141,0)</f>
        <v>162.91666666666666</v>
      </c>
      <c r="W25" s="206" t="str">
        <f>IF($A25="OUI",Data_center!W141,0)</f>
        <v/>
      </c>
      <c r="X25" s="206" t="str">
        <f>IF($A25="OUI",Data_center!X141,0)</f>
        <v/>
      </c>
      <c r="Y25" s="206" t="str">
        <f>IF($A25="OUI",Data_center!Y141,0)</f>
        <v/>
      </c>
      <c r="Z25" s="206" t="str">
        <f>IF($A25="OUI",Data_center!Z141,0)</f>
        <v/>
      </c>
      <c r="AA25" s="206" t="str">
        <f>IF($A25="OUI",Data_center!AA141,0)</f>
        <v/>
      </c>
    </row>
    <row r="26" spans="1:27" x14ac:dyDescent="0.25">
      <c r="A26" s="268" t="s">
        <v>201</v>
      </c>
      <c r="B26" s="489" t="str">
        <f>Data_center!$B$149</f>
        <v>Changement de data center : Consommations énergétiques en phase utilisation</v>
      </c>
      <c r="C26" s="206">
        <f>IF($A26="OUI",Data_center!C166,0)</f>
        <v>-336.98704562312923</v>
      </c>
      <c r="D26" s="206">
        <f>IF($A26="OUI",Data_center!D166,0)</f>
        <v>-336.98704562312923</v>
      </c>
      <c r="E26" s="206">
        <f>IF($A26="OUI",Data_center!E166,0)</f>
        <v>-336.98704562312923</v>
      </c>
      <c r="F26" s="206">
        <f>IF($A26="OUI",Data_center!F166,0)</f>
        <v>-336.98704562312923</v>
      </c>
      <c r="G26" s="206">
        <f>IF($A26="OUI",Data_center!G166,0)</f>
        <v>-336.98704562312923</v>
      </c>
      <c r="H26" s="206">
        <f>IF($A26="OUI",Data_center!H166,0)</f>
        <v>-336.98704562312923</v>
      </c>
      <c r="I26" s="206">
        <f>IF($A26="OUI",Data_center!I166,0)</f>
        <v>-336.98704562312923</v>
      </c>
      <c r="J26" s="206">
        <f>IF($A26="OUI",Data_center!J166,0)</f>
        <v>-336.98704562312923</v>
      </c>
      <c r="K26" s="206">
        <f>IF($A26="OUI",Data_center!K166,0)</f>
        <v>-336.98704562312923</v>
      </c>
      <c r="L26" s="206">
        <f>IF($A26="OUI",Data_center!L166,0)</f>
        <v>-336.98704562312923</v>
      </c>
      <c r="M26" s="206">
        <f>IF($A26="OUI",Data_center!M166,0)</f>
        <v>-336.98704562312923</v>
      </c>
      <c r="N26" s="206">
        <f>IF($A26="OUI",Data_center!N166,0)</f>
        <v>-336.98704562312923</v>
      </c>
      <c r="O26" s="206">
        <f>IF($A26="OUI",Data_center!O166,0)</f>
        <v>-336.98704562312923</v>
      </c>
      <c r="P26" s="206">
        <f>IF($A26="OUI",Data_center!P166,0)</f>
        <v>-336.98704562312923</v>
      </c>
      <c r="Q26" s="206">
        <f>IF($A26="OUI",Data_center!Q166,0)</f>
        <v>-336.98704562312923</v>
      </c>
      <c r="R26" s="206">
        <f>IF($A26="OUI",Data_center!R166,0)</f>
        <v>-336.98704562312923</v>
      </c>
      <c r="S26" s="206">
        <f>IF($A26="OUI",Data_center!S166,0)</f>
        <v>-336.98704562312923</v>
      </c>
      <c r="T26" s="206">
        <f>IF($A26="OUI",Data_center!T166,0)</f>
        <v>-336.98704562312923</v>
      </c>
      <c r="U26" s="206">
        <f>IF($A26="OUI",Data_center!U166,0)</f>
        <v>-336.98704562312923</v>
      </c>
      <c r="V26" s="206">
        <f>IF($A26="OUI",Data_center!V166,0)</f>
        <v>-336.98704562312923</v>
      </c>
      <c r="W26" s="206" t="str">
        <f>IF($A26="OUI",Data_center!W166,0)</f>
        <v/>
      </c>
      <c r="X26" s="206" t="str">
        <f>IF($A26="OUI",Data_center!X166,0)</f>
        <v/>
      </c>
      <c r="Y26" s="206" t="str">
        <f>IF($A26="OUI",Data_center!Y166,0)</f>
        <v/>
      </c>
      <c r="Z26" s="206" t="str">
        <f>IF($A26="OUI",Data_center!Z166,0)</f>
        <v/>
      </c>
      <c r="AA26" s="206" t="str">
        <f>IF($A26="OUI",Data_center!AA166,0)</f>
        <v/>
      </c>
    </row>
    <row r="27" spans="1:27" x14ac:dyDescent="0.25">
      <c r="C27" s="284"/>
      <c r="D27" s="284"/>
      <c r="E27" s="284"/>
      <c r="F27" s="284"/>
      <c r="G27" s="284"/>
      <c r="H27" s="284"/>
      <c r="I27" s="284"/>
      <c r="J27" s="284"/>
      <c r="K27" s="284"/>
      <c r="L27" s="284"/>
    </row>
    <row r="28" spans="1:27" x14ac:dyDescent="0.25">
      <c r="A28" s="146" t="s">
        <v>1295</v>
      </c>
      <c r="C28" s="284"/>
      <c r="D28" s="284"/>
      <c r="E28" s="284"/>
      <c r="F28" s="284"/>
      <c r="G28" s="284"/>
      <c r="H28" s="284"/>
      <c r="I28" s="284"/>
      <c r="J28" s="284"/>
      <c r="K28" s="284"/>
      <c r="L28" s="284"/>
    </row>
    <row r="29" spans="1:27" x14ac:dyDescent="0.25">
      <c r="A29" s="268" t="s">
        <v>201</v>
      </c>
      <c r="B29" s="205" t="s">
        <v>321</v>
      </c>
      <c r="C29" s="206">
        <f>IF($A29="OUI",SUM(C32:C36),0)</f>
        <v>-30829.33593302092</v>
      </c>
      <c r="D29" s="206">
        <f t="shared" ref="D29:L29" si="5">IF($A29="OUI",SUM(D32:D36),0)</f>
        <v>-31199.287964217532</v>
      </c>
      <c r="E29" s="206">
        <f t="shared" si="5"/>
        <v>-31573.679419788135</v>
      </c>
      <c r="F29" s="206">
        <f t="shared" si="5"/>
        <v>-31952.563572825493</v>
      </c>
      <c r="G29" s="206">
        <f t="shared" si="5"/>
        <v>-32335.994335699241</v>
      </c>
      <c r="H29" s="206">
        <f t="shared" si="5"/>
        <v>-32724.026267727837</v>
      </c>
      <c r="I29" s="206">
        <f t="shared" si="5"/>
        <v>-33116.714582940556</v>
      </c>
      <c r="J29" s="206">
        <f t="shared" si="5"/>
        <v>-33514.115157935827</v>
      </c>
      <c r="K29" s="206">
        <f t="shared" si="5"/>
        <v>-33916.2845398309</v>
      </c>
      <c r="L29" s="206">
        <f t="shared" si="5"/>
        <v>-34323.279954308971</v>
      </c>
      <c r="M29" s="206">
        <f t="shared" ref="M29:AA29" si="6">IF($A29="OUI",SUM(M32:M36),0)</f>
        <v>-34735.159313760596</v>
      </c>
      <c r="N29" s="206">
        <f t="shared" si="6"/>
        <v>-35151.981225525866</v>
      </c>
      <c r="O29" s="206">
        <f t="shared" si="6"/>
        <v>-35573.805000232023</v>
      </c>
      <c r="P29" s="206">
        <f t="shared" si="6"/>
        <v>-36000.690660234817</v>
      </c>
      <c r="Q29" s="206">
        <f t="shared" si="6"/>
        <v>-36432.698948157995</v>
      </c>
      <c r="R29" s="206">
        <f t="shared" si="6"/>
        <v>-36869.891335535693</v>
      </c>
      <c r="S29" s="206">
        <f t="shared" si="6"/>
        <v>-37312.330031562014</v>
      </c>
      <c r="T29" s="206">
        <f t="shared" si="6"/>
        <v>-37760.07799194078</v>
      </c>
      <c r="U29" s="206">
        <f t="shared" si="6"/>
        <v>-38213.198927844162</v>
      </c>
      <c r="V29" s="206">
        <f t="shared" si="6"/>
        <v>-38671.75731497832</v>
      </c>
      <c r="W29" s="206">
        <f t="shared" si="6"/>
        <v>0</v>
      </c>
      <c r="X29" s="206">
        <f t="shared" si="6"/>
        <v>0</v>
      </c>
      <c r="Y29" s="206">
        <f t="shared" si="6"/>
        <v>0</v>
      </c>
      <c r="Z29" s="206">
        <f t="shared" si="6"/>
        <v>0</v>
      </c>
      <c r="AA29" s="206">
        <f t="shared" si="6"/>
        <v>0</v>
      </c>
    </row>
    <row r="30" spans="1:27" x14ac:dyDescent="0.25">
      <c r="C30" s="284"/>
      <c r="D30" s="284"/>
      <c r="E30" s="284"/>
      <c r="F30" s="284"/>
      <c r="G30" s="284"/>
      <c r="H30" s="284"/>
      <c r="I30" s="284"/>
      <c r="J30" s="284"/>
      <c r="K30" s="284"/>
      <c r="L30" s="284"/>
      <c r="M30" s="284"/>
      <c r="N30" s="284"/>
      <c r="O30" s="284"/>
      <c r="P30" s="284"/>
      <c r="Q30" s="284"/>
      <c r="R30" s="284"/>
      <c r="S30" s="284"/>
      <c r="T30" s="284"/>
      <c r="U30" s="284"/>
      <c r="V30" s="284"/>
      <c r="W30" s="284"/>
      <c r="X30" s="284"/>
      <c r="Y30" s="284"/>
      <c r="Z30" s="284"/>
      <c r="AA30" s="284"/>
    </row>
    <row r="31" spans="1:27" x14ac:dyDescent="0.25">
      <c r="A31" s="146" t="s">
        <v>1296</v>
      </c>
      <c r="C31" s="284"/>
      <c r="D31" s="284"/>
      <c r="E31" s="284"/>
      <c r="F31" s="284"/>
      <c r="G31" s="284"/>
      <c r="H31" s="284"/>
      <c r="I31" s="284"/>
      <c r="J31" s="284"/>
      <c r="K31" s="284"/>
      <c r="L31" s="284"/>
      <c r="M31" s="284"/>
      <c r="N31" s="284"/>
      <c r="O31" s="284"/>
      <c r="P31" s="284"/>
      <c r="Q31" s="284"/>
      <c r="R31" s="284"/>
      <c r="S31" s="284"/>
      <c r="T31" s="284"/>
      <c r="U31" s="284"/>
      <c r="V31" s="284"/>
      <c r="W31" s="284"/>
      <c r="X31" s="284"/>
      <c r="Y31" s="284"/>
      <c r="Z31" s="284"/>
      <c r="AA31" s="284"/>
    </row>
    <row r="32" spans="1:27" x14ac:dyDescent="0.25">
      <c r="A32" s="268" t="s">
        <v>201</v>
      </c>
      <c r="B32" s="489" t="str">
        <f>Télétravail!$B$36</f>
        <v>Report modal direct (effets du télétravail sur le transport domicile-travail)</v>
      </c>
      <c r="C32" s="206">
        <f>IF($A32="OUI",Télétravail!D7,0)</f>
        <v>-21238.524215999991</v>
      </c>
      <c r="D32" s="206">
        <f>IF($A32="OUI",Télétravail!E7,0)</f>
        <v>-21493.38650659204</v>
      </c>
      <c r="E32" s="206">
        <f>IF($A32="OUI",Télétravail!F7,0)</f>
        <v>-21751.307144671096</v>
      </c>
      <c r="F32" s="206">
        <f>IF($A32="OUI",Télétravail!G7,0)</f>
        <v>-22012.322830407182</v>
      </c>
      <c r="G32" s="206">
        <f>IF($A32="OUI",Télétravail!H7,0)</f>
        <v>-22276.470704372041</v>
      </c>
      <c r="H32" s="206">
        <f>IF($A32="OUI",Télétravail!I7,0)</f>
        <v>-22543.788352824515</v>
      </c>
      <c r="I32" s="206">
        <f>IF($A32="OUI",Télétravail!J7,0)</f>
        <v>-22814.313813058427</v>
      </c>
      <c r="J32" s="206">
        <f>IF($A32="OUI",Télétravail!K7,0)</f>
        <v>-23088.085578815138</v>
      </c>
      <c r="K32" s="206">
        <f>IF($A32="OUI",Télétravail!L7,0)</f>
        <v>-23365.142605760891</v>
      </c>
      <c r="L32" s="206">
        <f>IF($A32="OUI",Télétravail!M7,0)</f>
        <v>-23645.524317030038</v>
      </c>
      <c r="M32" s="206">
        <f>IF($A32="OUI",Télétravail!N7,0)</f>
        <v>-23929.270608834398</v>
      </c>
      <c r="N32" s="206">
        <f>IF($A32="OUI",Télétravail!O7,0)</f>
        <v>-24216.421856140427</v>
      </c>
      <c r="O32" s="206">
        <f>IF($A32="OUI",Télétravail!P7,0)</f>
        <v>-24507.018918414076</v>
      </c>
      <c r="P32" s="206">
        <f>IF($A32="OUI",Télétravail!Q7,0)</f>
        <v>-24801.103145435045</v>
      </c>
      <c r="Q32" s="206">
        <f>IF($A32="OUI",Télétravail!R7,0)</f>
        <v>-25098.71638318029</v>
      </c>
      <c r="R32" s="206">
        <f>IF($A32="OUI",Télétravail!S7,0)</f>
        <v>-25399.900979778438</v>
      </c>
      <c r="S32" s="206">
        <f>IF($A32="OUI",Télétravail!T7,0)</f>
        <v>-25704.699791535793</v>
      </c>
      <c r="T32" s="206">
        <f>IF($A32="OUI",Télétravail!U7,0)</f>
        <v>-26013.156189034227</v>
      </c>
      <c r="U32" s="206">
        <f>IF($A32="OUI",Télétravail!V7,0)</f>
        <v>-26325.314063302649</v>
      </c>
      <c r="V32" s="206">
        <f>IF($A32="OUI",Télétravail!W7,0)</f>
        <v>-26641.217832062277</v>
      </c>
      <c r="W32" s="206" t="str">
        <f>IF($A32="OUI",Télétravail!X7,0)</f>
        <v/>
      </c>
      <c r="X32" s="206" t="str">
        <f>IF($A32="OUI",Télétravail!Y7,0)</f>
        <v/>
      </c>
      <c r="Y32" s="206" t="str">
        <f>IF($A32="OUI",Télétravail!Z7,0)</f>
        <v/>
      </c>
      <c r="Z32" s="206" t="str">
        <f>IF($A32="OUI",Télétravail!AA7,0)</f>
        <v/>
      </c>
      <c r="AA32" s="206" t="str">
        <f>IF($A32="OUI",Télétravail!AB7,0)</f>
        <v/>
      </c>
    </row>
    <row r="33" spans="1:27" x14ac:dyDescent="0.25">
      <c r="A33" s="268" t="s">
        <v>201</v>
      </c>
      <c r="B33" s="489" t="str">
        <f>Télétravail!$B$109</f>
        <v>Report modal indirect (nouveaux déplacements induits par le télétravail)</v>
      </c>
      <c r="C33" s="206">
        <f>IF($A33="OUI",Télétravail!D8,0)</f>
        <v>12622.365</v>
      </c>
      <c r="D33" s="206">
        <f>IF($A33="OUI",Télétravail!E8,0)</f>
        <v>12773.83338</v>
      </c>
      <c r="E33" s="206">
        <f>IF($A33="OUI",Télétravail!F8,0)</f>
        <v>12927.11938056</v>
      </c>
      <c r="F33" s="206">
        <f>IF($A33="OUI",Télétravail!G8,0)</f>
        <v>13082.244813126719</v>
      </c>
      <c r="G33" s="206">
        <f>IF($A33="OUI",Télétravail!H8,0)</f>
        <v>13239.231750884241</v>
      </c>
      <c r="H33" s="206">
        <f>IF($A33="OUI",Télétravail!I8,0)</f>
        <v>13398.102531894854</v>
      </c>
      <c r="I33" s="206">
        <f>IF($A33="OUI",Télétravail!J8,0)</f>
        <v>13558.879762277593</v>
      </c>
      <c r="J33" s="206">
        <f>IF($A33="OUI",Télétravail!K8,0)</f>
        <v>13721.586319424921</v>
      </c>
      <c r="K33" s="206">
        <f>IF($A33="OUI",Télétravail!L8,0)</f>
        <v>13886.245355258023</v>
      </c>
      <c r="L33" s="206">
        <f>IF($A33="OUI",Télétravail!M8,0)</f>
        <v>14052.880299521117</v>
      </c>
      <c r="M33" s="206">
        <f>IF($A33="OUI",Télétravail!N8,0)</f>
        <v>14221.514863115372</v>
      </c>
      <c r="N33" s="206">
        <f>IF($A33="OUI",Télétravail!O8,0)</f>
        <v>14392.173041472755</v>
      </c>
      <c r="O33" s="206">
        <f>IF($A33="OUI",Télétravail!P8,0)</f>
        <v>14564.879117970429</v>
      </c>
      <c r="P33" s="206">
        <f>IF($A33="OUI",Télétravail!Q8,0)</f>
        <v>14739.657667386078</v>
      </c>
      <c r="Q33" s="206">
        <f>IF($A33="OUI",Télétravail!R8,0)</f>
        <v>14916.533559394707</v>
      </c>
      <c r="R33" s="206">
        <f>IF($A33="OUI",Télétravail!S8,0)</f>
        <v>15095.531962107445</v>
      </c>
      <c r="S33" s="206">
        <f>IF($A33="OUI",Télétravail!T8,0)</f>
        <v>15276.678345652734</v>
      </c>
      <c r="T33" s="206">
        <f>IF($A33="OUI",Télétravail!U8,0)</f>
        <v>15459.998485800566</v>
      </c>
      <c r="U33" s="206">
        <f>IF($A33="OUI",Télétravail!V8,0)</f>
        <v>15645.518467630174</v>
      </c>
      <c r="V33" s="206">
        <f>IF($A33="OUI",Télétravail!W8,0)</f>
        <v>15833.264689241734</v>
      </c>
      <c r="W33" s="206" t="str">
        <f>IF($A33="OUI",Télétravail!X8,0)</f>
        <v/>
      </c>
      <c r="X33" s="206" t="str">
        <f>IF($A33="OUI",Télétravail!Y8,0)</f>
        <v/>
      </c>
      <c r="Y33" s="206" t="str">
        <f>IF($A33="OUI",Télétravail!Z8,0)</f>
        <v/>
      </c>
      <c r="Z33" s="206" t="str">
        <f>IF($A33="OUI",Télétravail!AA8,0)</f>
        <v/>
      </c>
      <c r="AA33" s="206" t="str">
        <f>IF($A33="OUI",Télétravail!AB8,0)</f>
        <v/>
      </c>
    </row>
    <row r="34" spans="1:27" x14ac:dyDescent="0.25">
      <c r="A34" s="268" t="s">
        <v>201</v>
      </c>
      <c r="B34" s="489" t="str">
        <f>Télétravail!$B$166</f>
        <v>Consommation en immobilier de bureaux</v>
      </c>
      <c r="C34" s="206">
        <f>IF($A34="OUI",Télétravail!D9,0)</f>
        <v>-28937.999999999767</v>
      </c>
      <c r="D34" s="206">
        <f>IF($A34="OUI",Télétravail!E9,0)</f>
        <v>-29285.256000000052</v>
      </c>
      <c r="E34" s="206">
        <f>IF($A34="OUI",Télétravail!F9,0)</f>
        <v>-29636.679072000086</v>
      </c>
      <c r="F34" s="206">
        <f>IF($A34="OUI",Télétravail!G9,0)</f>
        <v>-29992.319220863981</v>
      </c>
      <c r="G34" s="206">
        <f>IF($A34="OUI",Télétravail!H9,0)</f>
        <v>-30352.227051514201</v>
      </c>
      <c r="H34" s="206">
        <f>IF($A34="OUI",Télétravail!I9,0)</f>
        <v>-30716.453776132548</v>
      </c>
      <c r="I34" s="206">
        <f>IF($A34="OUI",Télétravail!J9,0)</f>
        <v>-31085.051221446134</v>
      </c>
      <c r="J34" s="206">
        <f>IF($A34="OUI",Télétravail!K9,0)</f>
        <v>-31458.071836103452</v>
      </c>
      <c r="K34" s="206">
        <f>IF($A34="OUI",Télétravail!L9,0)</f>
        <v>-31835.568698136602</v>
      </c>
      <c r="L34" s="206">
        <f>IF($A34="OUI",Télétravail!M9,0)</f>
        <v>-32217.595522514312</v>
      </c>
      <c r="M34" s="206">
        <f>IF($A34="OUI",Télétravail!N9,0)</f>
        <v>-32604.206668784376</v>
      </c>
      <c r="N34" s="206">
        <f>IF($A34="OUI",Télétravail!O9,0)</f>
        <v>-32995.457148809917</v>
      </c>
      <c r="O34" s="206">
        <f>IF($A34="OUI",Télétravail!P9,0)</f>
        <v>-33391.402634595521</v>
      </c>
      <c r="P34" s="206">
        <f>IF($A34="OUI",Télétravail!Q9,0)</f>
        <v>-33792.099466210697</v>
      </c>
      <c r="Q34" s="206">
        <f>IF($A34="OUI",Télétravail!R9,0)</f>
        <v>-34197.60465980554</v>
      </c>
      <c r="R34" s="206">
        <f>IF($A34="OUI",Télétravail!S9,0)</f>
        <v>-34607.975915723015</v>
      </c>
      <c r="S34" s="206">
        <f>IF($A34="OUI",Télétravail!T9,0)</f>
        <v>-35023.27162671159</v>
      </c>
      <c r="T34" s="206">
        <f>IF($A34="OUI",Télétravail!U9,0)</f>
        <v>-35443.550886232173</v>
      </c>
      <c r="U34" s="206">
        <f>IF($A34="OUI",Télétravail!V9,0)</f>
        <v>-35868.873496867018</v>
      </c>
      <c r="V34" s="206">
        <f>IF($A34="OUI",Télétravail!W9,0)</f>
        <v>-36299.299978829455</v>
      </c>
      <c r="W34" s="206" t="str">
        <f>IF($A34="OUI",Télétravail!X9,0)</f>
        <v/>
      </c>
      <c r="X34" s="206" t="str">
        <f>IF($A34="OUI",Télétravail!Y9,0)</f>
        <v/>
      </c>
      <c r="Y34" s="206" t="str">
        <f>IF($A34="OUI",Télétravail!Z9,0)</f>
        <v/>
      </c>
      <c r="Z34" s="206" t="str">
        <f>IF($A34="OUI",Télétravail!AA9,0)</f>
        <v/>
      </c>
      <c r="AA34" s="206" t="str">
        <f>IF($A34="OUI",Télétravail!AB9,0)</f>
        <v/>
      </c>
    </row>
    <row r="35" spans="1:27" x14ac:dyDescent="0.25">
      <c r="A35" s="268" t="s">
        <v>201</v>
      </c>
      <c r="B35" s="489" t="str">
        <f>Télétravail!$B$211</f>
        <v>Consommation électrique des foyers</v>
      </c>
      <c r="C35" s="206">
        <f>IF($A35="OUI",Télétravail!D10,0)</f>
        <v>1682.647929089464</v>
      </c>
      <c r="D35" s="206">
        <f>IF($A35="OUI",Télétravail!E10,0)</f>
        <v>1702.8397042385186</v>
      </c>
      <c r="E35" s="206">
        <f>IF($A35="OUI",Télétravail!F10,0)</f>
        <v>1723.2737806893711</v>
      </c>
      <c r="F35" s="206">
        <f>IF($A35="OUI",Télétravail!G10,0)</f>
        <v>1743.9530660576711</v>
      </c>
      <c r="G35" s="206">
        <f>IF($A35="OUI",Télétravail!H10,0)</f>
        <v>1764.8805028503411</v>
      </c>
      <c r="H35" s="206">
        <f>IF($A35="OUI",Télétravail!I10,0)</f>
        <v>1786.0590688845259</v>
      </c>
      <c r="I35" s="206">
        <f>IF($A35="OUI",Télétravail!J10,0)</f>
        <v>1807.4917777111696</v>
      </c>
      <c r="J35" s="206">
        <f>IF($A35="OUI",Télétravail!K10,0)</f>
        <v>1829.181679043686</v>
      </c>
      <c r="K35" s="206">
        <f>IF($A35="OUI",Télétravail!L10,0)</f>
        <v>1851.1318591922463</v>
      </c>
      <c r="L35" s="206">
        <f>IF($A35="OUI",Télétravail!M10,0)</f>
        <v>1873.3454415025481</v>
      </c>
      <c r="M35" s="206">
        <f>IF($A35="OUI",Télétravail!N10,0)</f>
        <v>1895.8255868005508</v>
      </c>
      <c r="N35" s="206">
        <f>IF($A35="OUI",Télétravail!O10,0)</f>
        <v>1918.5754938421596</v>
      </c>
      <c r="O35" s="206">
        <f>IF($A35="OUI",Télétravail!P10,0)</f>
        <v>1941.5983997682633</v>
      </c>
      <c r="P35" s="206">
        <f>IF($A35="OUI",Télétravail!Q10,0)</f>
        <v>1964.8975805655064</v>
      </c>
      <c r="Q35" s="206">
        <f>IF($A35="OUI",Télétravail!R10,0)</f>
        <v>1988.4763515322702</v>
      </c>
      <c r="R35" s="206">
        <f>IF($A35="OUI",Télétravail!S10,0)</f>
        <v>2012.3380677506502</v>
      </c>
      <c r="S35" s="206">
        <f>IF($A35="OUI",Télétravail!T10,0)</f>
        <v>2036.4861245636712</v>
      </c>
      <c r="T35" s="206">
        <f>IF($A35="OUI",Télétravail!U10,0)</f>
        <v>2060.923958058469</v>
      </c>
      <c r="U35" s="206">
        <f>IF($A35="OUI",Télétravail!V10,0)</f>
        <v>2085.6550455551478</v>
      </c>
      <c r="V35" s="206">
        <f>IF($A35="OUI",Télétravail!W10,0)</f>
        <v>2110.682906101807</v>
      </c>
      <c r="W35" s="206" t="str">
        <f>IF($A35="OUI",Télétravail!X10,0)</f>
        <v/>
      </c>
      <c r="X35" s="206" t="str">
        <f>IF($A35="OUI",Télétravail!Y10,0)</f>
        <v/>
      </c>
      <c r="Y35" s="206" t="str">
        <f>IF($A35="OUI",Télétravail!Z10,0)</f>
        <v/>
      </c>
      <c r="Z35" s="206" t="str">
        <f>IF($A35="OUI",Télétravail!AA10,0)</f>
        <v/>
      </c>
      <c r="AA35" s="206" t="str">
        <f>IF($A35="OUI",Télétravail!AB10,0)</f>
        <v/>
      </c>
    </row>
    <row r="36" spans="1:27" x14ac:dyDescent="0.25">
      <c r="A36" s="268" t="s">
        <v>201</v>
      </c>
      <c r="B36" s="208" t="str">
        <f>Télétravail!$B$239</f>
        <v>Production et achat d'équipements numériques additionnels</v>
      </c>
      <c r="C36" s="206">
        <f>IF($A36="OUI",Télétravail!D11,0)</f>
        <v>5042.1753538893745</v>
      </c>
      <c r="D36" s="206">
        <f>IF($A36="OUI",Télétravail!E11,0)</f>
        <v>5102.6814581360468</v>
      </c>
      <c r="E36" s="206">
        <f>IF($A36="OUI",Télétravail!F11,0)</f>
        <v>5163.9136356336794</v>
      </c>
      <c r="F36" s="206">
        <f>IF($A36="OUI",Télétravail!G11,0)</f>
        <v>5225.8805992612843</v>
      </c>
      <c r="G36" s="206">
        <f>IF($A36="OUI",Télétravail!H11,0)</f>
        <v>5288.5911664524201</v>
      </c>
      <c r="H36" s="206">
        <f>IF($A36="OUI",Télétravail!I11,0)</f>
        <v>5352.0542604498487</v>
      </c>
      <c r="I36" s="206">
        <f>IF($A36="OUI",Télétravail!J11,0)</f>
        <v>5416.2789115752475</v>
      </c>
      <c r="J36" s="206">
        <f>IF($A36="OUI",Télétravail!K11,0)</f>
        <v>5481.2742585141505</v>
      </c>
      <c r="K36" s="206">
        <f>IF($A36="OUI",Télétravail!L11,0)</f>
        <v>5547.0495496163203</v>
      </c>
      <c r="L36" s="206">
        <f>IF($A36="OUI",Télétravail!M11,0)</f>
        <v>5613.6141442117168</v>
      </c>
      <c r="M36" s="206">
        <f>IF($A36="OUI",Télétravail!N11,0)</f>
        <v>5680.9775139422572</v>
      </c>
      <c r="N36" s="206">
        <f>IF($A36="OUI",Télétravail!O11,0)</f>
        <v>5749.1492441095643</v>
      </c>
      <c r="O36" s="206">
        <f>IF($A36="OUI",Télétravail!P11,0)</f>
        <v>5818.1390350388792</v>
      </c>
      <c r="P36" s="206">
        <f>IF($A36="OUI",Télétravail!Q11,0)</f>
        <v>5887.9567034593456</v>
      </c>
      <c r="Q36" s="206">
        <f>IF($A36="OUI",Télétravail!R11,0)</f>
        <v>5958.6121839008583</v>
      </c>
      <c r="R36" s="206">
        <f>IF($A36="OUI",Télétravail!S11,0)</f>
        <v>6030.1155301076687</v>
      </c>
      <c r="S36" s="206">
        <f>IF($A36="OUI",Télétravail!T11,0)</f>
        <v>6102.4769164689606</v>
      </c>
      <c r="T36" s="206">
        <f>IF($A36="OUI",Télétravail!U11,0)</f>
        <v>6175.7066394665881</v>
      </c>
      <c r="U36" s="206">
        <f>IF($A36="OUI",Télétravail!V11,0)</f>
        <v>6249.8151191401876</v>
      </c>
      <c r="V36" s="206">
        <f>IF($A36="OUI",Télétravail!W11,0)</f>
        <v>6324.8129005698693</v>
      </c>
      <c r="W36" s="206" t="str">
        <f>IF($A36="OUI",Télétravail!X11,0)</f>
        <v/>
      </c>
      <c r="X36" s="206" t="str">
        <f>IF($A36="OUI",Télétravail!Y11,0)</f>
        <v/>
      </c>
      <c r="Y36" s="206" t="str">
        <f>IF($A36="OUI",Télétravail!Z11,0)</f>
        <v/>
      </c>
      <c r="Z36" s="206" t="str">
        <f>IF($A36="OUI",Télétravail!AA11,0)</f>
        <v/>
      </c>
      <c r="AA36" s="206" t="str">
        <f>IF($A36="OUI",Télétravail!AB11,0)</f>
        <v/>
      </c>
    </row>
    <row r="38" spans="1:27" x14ac:dyDescent="0.25">
      <c r="A38" s="146" t="s">
        <v>1301</v>
      </c>
    </row>
    <row r="39" spans="1:27" x14ac:dyDescent="0.25">
      <c r="A39" s="268" t="s">
        <v>201</v>
      </c>
      <c r="B39" s="205" t="s">
        <v>302</v>
      </c>
      <c r="C39" s="206">
        <f ca="1">IF($A39="OUI",SUM(C42:C46),0)</f>
        <v>3384.6799997993635</v>
      </c>
      <c r="D39" s="206">
        <f t="shared" ref="D39:L39" ca="1" si="7">IF($A39="OUI",SUM(D42:D46),0)</f>
        <v>110.41890121695994</v>
      </c>
      <c r="E39" s="206">
        <f t="shared" ca="1" si="7"/>
        <v>223.2338573127239</v>
      </c>
      <c r="F39" s="206">
        <f t="shared" ca="1" si="7"/>
        <v>338.48647328260984</v>
      </c>
      <c r="G39" s="206">
        <f t="shared" ca="1" si="7"/>
        <v>456.21900760991434</v>
      </c>
      <c r="H39" s="206">
        <f t="shared" ca="1" si="7"/>
        <v>576.4743819585168</v>
      </c>
      <c r="I39" s="206">
        <f t="shared" ca="1" si="7"/>
        <v>699.29619100398941</v>
      </c>
      <c r="J39" s="206">
        <f t="shared" ca="1" si="7"/>
        <v>824.72871240514633</v>
      </c>
      <c r="K39" s="206">
        <f t="shared" ca="1" si="7"/>
        <v>952.81691691802348</v>
      </c>
      <c r="L39" s="206">
        <f t="shared" ca="1" si="7"/>
        <v>1083.6064786542224</v>
      </c>
      <c r="M39" s="206">
        <f t="shared" ref="M39:AA39" ca="1" si="8">IF($A39="OUI",SUM(M42:M46),0)</f>
        <v>1217.143785485647</v>
      </c>
      <c r="N39" s="206">
        <f t="shared" ca="1" si="8"/>
        <v>1353.4759495977019</v>
      </c>
      <c r="O39" s="206">
        <f t="shared" ca="1" si="8"/>
        <v>1492.6508181929262</v>
      </c>
      <c r="P39" s="206">
        <f t="shared" ca="1" si="8"/>
        <v>1634.7169843472952</v>
      </c>
      <c r="Q39" s="206">
        <f t="shared" ca="1" si="8"/>
        <v>1779.7237980211439</v>
      </c>
      <c r="R39" s="206">
        <f t="shared" ca="1" si="8"/>
        <v>1927.7213772270138</v>
      </c>
      <c r="S39" s="206">
        <f t="shared" ca="1" si="8"/>
        <v>2078.760619356508</v>
      </c>
      <c r="T39" s="206">
        <f t="shared" ca="1" si="8"/>
        <v>2232.8932126683867</v>
      </c>
      <c r="U39" s="206">
        <f t="shared" ca="1" si="8"/>
        <v>2390.1716479401621</v>
      </c>
      <c r="V39" s="206">
        <f t="shared" ca="1" si="8"/>
        <v>2661.2781903218183</v>
      </c>
      <c r="W39" s="206">
        <f t="shared" si="8"/>
        <v>0</v>
      </c>
      <c r="X39" s="206">
        <f t="shared" si="8"/>
        <v>0</v>
      </c>
      <c r="Y39" s="206">
        <f t="shared" si="8"/>
        <v>0</v>
      </c>
      <c r="Z39" s="206">
        <f t="shared" si="8"/>
        <v>0</v>
      </c>
      <c r="AA39" s="206">
        <f t="shared" si="8"/>
        <v>0</v>
      </c>
    </row>
    <row r="41" spans="1:27" x14ac:dyDescent="0.25">
      <c r="A41" s="146" t="s">
        <v>1297</v>
      </c>
    </row>
    <row r="42" spans="1:27" x14ac:dyDescent="0.25">
      <c r="A42" s="268" t="s">
        <v>201</v>
      </c>
      <c r="B42" s="489" t="str">
        <f>'Fibre optique'!$B$25</f>
        <v>Remplacer l'usage de la 3G/4G par le wifi sur fibre optique</v>
      </c>
      <c r="C42" s="206">
        <f ca="1">IF($A42="OUI",'Fibre optique'!C34,0)</f>
        <v>0</v>
      </c>
      <c r="D42" s="206">
        <f ca="1">IF($A42="OUI",'Fibre optique'!D34,0)</f>
        <v>-309.91393976843972</v>
      </c>
      <c r="E42" s="206">
        <f ca="1">IF($A42="OUI",'Fibre optique'!E34,0)</f>
        <v>-626.55291301581462</v>
      </c>
      <c r="F42" s="206">
        <f ca="1">IF($A42="OUI",'Fibre optique'!F34,0)</f>
        <v>-950.03369293829451</v>
      </c>
      <c r="G42" s="206">
        <f ca="1">IF($A42="OUI",'Fibre optique'!G34,0)</f>
        <v>-1280.4748868839351</v>
      </c>
      <c r="H42" s="206">
        <f ca="1">IF($A42="OUI",'Fibre optique'!H34,0)</f>
        <v>-1617.9969635569819</v>
      </c>
      <c r="I42" s="206">
        <f ca="1">IF($A42="OUI",'Fibre optique'!I34,0)</f>
        <v>-1962.7222806109644</v>
      </c>
      <c r="J42" s="206">
        <f ca="1">IF($A42="OUI",'Fibre optique'!J34,0)</f>
        <v>-2314.7751126359854</v>
      </c>
      <c r="K42" s="206">
        <f ca="1">IF($A42="OUI",'Fibre optique'!K34,0)</f>
        <v>-2674.2816795456938</v>
      </c>
      <c r="L42" s="206">
        <f ca="1">IF($A42="OUI",'Fibre optique'!L34,0)</f>
        <v>-3041.3701753695082</v>
      </c>
      <c r="M42" s="206">
        <f ca="1">IF($A42="OUI",'Fibre optique'!M34,0)</f>
        <v>-3416.1707974557362</v>
      </c>
      <c r="N42" s="206">
        <f ca="1">IF($A42="OUI",'Fibre optique'!N34,0)</f>
        <v>-3798.8157760912713</v>
      </c>
      <c r="O42" s="206">
        <f ca="1">IF($A42="OUI",'Fibre optique'!O34,0)</f>
        <v>-4189.4394045437239</v>
      </c>
      <c r="P42" s="206">
        <f ca="1">IF($A42="OUI",'Fibre optique'!P34,0)</f>
        <v>-4588.1780695317684</v>
      </c>
      <c r="Q42" s="206">
        <f ca="1">IF($A42="OUI",'Fibre optique'!Q34,0)</f>
        <v>-4995.1702821297704</v>
      </c>
      <c r="R42" s="206">
        <f ca="1">IF($A42="OUI",'Fibre optique'!R34,0)</f>
        <v>-5410.5567091126031</v>
      </c>
      <c r="S42" s="206">
        <f ca="1">IF($A42="OUI",'Fibre optique'!S34,0)</f>
        <v>-5834.4802047468929</v>
      </c>
      <c r="T42" s="206">
        <f ca="1">IF($A42="OUI",'Fibre optique'!T34,0)</f>
        <v>-6267.0858430347871</v>
      </c>
      <c r="U42" s="206">
        <f ca="1">IF($A42="OUI",'Fibre optique'!U34,0)</f>
        <v>-6708.5209504166014</v>
      </c>
      <c r="V42" s="206">
        <f ca="1">IF($A42="OUI",'Fibre optique'!V34,0)</f>
        <v>-7469.438653096945</v>
      </c>
      <c r="W42" s="206" t="str">
        <f>IF($A42="OUI",'Fibre optique'!W34,0)</f>
        <v/>
      </c>
      <c r="X42" s="206" t="str">
        <f>IF($A42="OUI",'Fibre optique'!X34,0)</f>
        <v/>
      </c>
      <c r="Y42" s="206" t="str">
        <f>IF($A42="OUI",'Fibre optique'!Y34,0)</f>
        <v/>
      </c>
      <c r="Z42" s="206" t="str">
        <f>IF($A42="OUI",'Fibre optique'!Z34,0)</f>
        <v/>
      </c>
      <c r="AA42" s="206" t="str">
        <f>IF($A42="OUI",'Fibre optique'!AA34,0)</f>
        <v/>
      </c>
    </row>
    <row r="43" spans="1:27" x14ac:dyDescent="0.25">
      <c r="A43" s="268" t="s">
        <v>201</v>
      </c>
      <c r="B43" s="489" t="str">
        <f>'Fibre optique'!$B$50</f>
        <v>Remplacer le réseau cuivre (DSL) par le réseau fibre</v>
      </c>
      <c r="C43" s="206">
        <f ca="1">IF($A43="OUI",'Fibre optique'!C58,0)</f>
        <v>0</v>
      </c>
      <c r="D43" s="206">
        <f ca="1">IF($A43="OUI",'Fibre optique'!D58,0)</f>
        <v>-19.425105730325917</v>
      </c>
      <c r="E43" s="206">
        <f ca="1">IF($A43="OUI",'Fibre optique'!E58,0)</f>
        <v>-39.271730048895769</v>
      </c>
      <c r="F43" s="206">
        <f ca="1">IF($A43="OUI",'Fibre optique'!F58,0)</f>
        <v>-59.54719218660243</v>
      </c>
      <c r="G43" s="206">
        <f ca="1">IF($A43="OUI",'Fibre optique'!G58,0)</f>
        <v>-80.25892633720315</v>
      </c>
      <c r="H43" s="206">
        <f ca="1">IF($A43="OUI",'Fibre optique'!H58,0)</f>
        <v>-101.41448336245946</v>
      </c>
      <c r="I43" s="206">
        <f ca="1">IF($A43="OUI",'Fibre optique'!I58,0)</f>
        <v>-123.02153252164571</v>
      </c>
      <c r="J43" s="206">
        <f ca="1">IF($A43="OUI",'Fibre optique'!J58,0)</f>
        <v>-145.08786322576438</v>
      </c>
      <c r="K43" s="206">
        <f ca="1">IF($A43="OUI",'Fibre optique'!K58,0)</f>
        <v>-167.62138681681492</v>
      </c>
      <c r="L43" s="206">
        <f ca="1">IF($A43="OUI",'Fibre optique'!L58,0)</f>
        <v>-190.63013837246251</v>
      </c>
      <c r="M43" s="206">
        <f ca="1">IF($A43="OUI",'Fibre optique'!M58,0)</f>
        <v>-214.12227853646007</v>
      </c>
      <c r="N43" s="206">
        <f ca="1">IF($A43="OUI",'Fibre optique'!N58,0)</f>
        <v>-238.10609537518408</v>
      </c>
      <c r="O43" s="206">
        <f ca="1">IF($A43="OUI",'Fibre optique'!O58,0)</f>
        <v>-262.59000626064449</v>
      </c>
      <c r="P43" s="206">
        <f ca="1">IF($A43="OUI",'Fibre optique'!P58,0)</f>
        <v>-287.58255978033804</v>
      </c>
      <c r="Q43" s="206">
        <f ca="1">IF($A43="OUI",'Fibre optique'!Q58,0)</f>
        <v>-313.09243767431889</v>
      </c>
      <c r="R43" s="206">
        <f ca="1">IF($A43="OUI",'Fibre optique'!R58,0)</f>
        <v>-339.12845679986299</v>
      </c>
      <c r="S43" s="206">
        <f ca="1">IF($A43="OUI",'Fibre optique'!S58,0)</f>
        <v>-365.69957112411134</v>
      </c>
      <c r="T43" s="206">
        <f ca="1">IF($A43="OUI",'Fibre optique'!T58,0)</f>
        <v>-392.81487374507861</v>
      </c>
      <c r="U43" s="206">
        <f ca="1">IF($A43="OUI",'Fibre optique'!U58,0)</f>
        <v>-420.48359894142351</v>
      </c>
      <c r="V43" s="206">
        <f ca="1">IF($A43="OUI",'Fibre optique'!V58,0)</f>
        <v>-468.17718393371655</v>
      </c>
      <c r="W43" s="206" t="str">
        <f>IF($A43="OUI",'Fibre optique'!W58,0)</f>
        <v/>
      </c>
      <c r="X43" s="206" t="str">
        <f>IF($A43="OUI",'Fibre optique'!X58,0)</f>
        <v/>
      </c>
      <c r="Y43" s="206" t="str">
        <f>IF($A43="OUI",'Fibre optique'!Y58,0)</f>
        <v/>
      </c>
      <c r="Z43" s="206" t="str">
        <f>IF($A43="OUI",'Fibre optique'!Z58,0)</f>
        <v/>
      </c>
      <c r="AA43" s="206" t="str">
        <f>IF($A43="OUI",'Fibre optique'!AA58,0)</f>
        <v/>
      </c>
    </row>
    <row r="44" spans="1:27" x14ac:dyDescent="0.25">
      <c r="A44" s="268" t="s">
        <v>201</v>
      </c>
      <c r="B44" s="208" t="str">
        <f>'Fibre optique'!$B$72</f>
        <v>Chantier et production associés à la pose du réseau</v>
      </c>
      <c r="C44" s="206">
        <f ca="1">IF($A44="OUI",'Fibre optique'!C85,0)</f>
        <v>3384.6799997993635</v>
      </c>
      <c r="D44" s="206">
        <f ca="1">IF($A44="OUI",'Fibre optique'!D85,0)</f>
        <v>34.558846649318468</v>
      </c>
      <c r="E44" s="206">
        <f ca="1">IF($A44="OUI",'Fibre optique'!E85,0)</f>
        <v>69.867609229761953</v>
      </c>
      <c r="F44" s="206">
        <f ca="1">IF($A44="OUI",'Fibre optique'!F85,0)</f>
        <v>105.9393092497603</v>
      </c>
      <c r="G44" s="206">
        <f ca="1">IF($A44="OUI",'Fibre optique'!G85,0)</f>
        <v>142.78717274605091</v>
      </c>
      <c r="H44" s="206">
        <f ca="1">IF($A44="OUI",'Fibre optique'!H85,0)</f>
        <v>180.42463331726191</v>
      </c>
      <c r="I44" s="206">
        <f ca="1">IF($A44="OUI",'Fibre optique'!I85,0)</f>
        <v>218.86533520084822</v>
      </c>
      <c r="J44" s="206">
        <f ca="1">IF($A44="OUI",'Fibre optique'!J85,0)</f>
        <v>258.12313639398428</v>
      </c>
      <c r="K44" s="206">
        <f ca="1">IF($A44="OUI",'Fibre optique'!K85,0)</f>
        <v>298.21211181902828</v>
      </c>
      <c r="L44" s="206">
        <f ca="1">IF($A44="OUI",'Fibre optique'!L85,0)</f>
        <v>339.14655653417424</v>
      </c>
      <c r="M44" s="206">
        <f ca="1">IF($A44="OUI",'Fibre optique'!M85,0)</f>
        <v>380.94098898992308</v>
      </c>
      <c r="N44" s="206">
        <f ca="1">IF($A44="OUI",'Fibre optique'!N85,0)</f>
        <v>423.61015433201067</v>
      </c>
      <c r="O44" s="206">
        <f ca="1">IF($A44="OUI",'Fibre optique'!O85,0)</f>
        <v>467.16902775143501</v>
      </c>
      <c r="P44" s="206">
        <f ca="1">IF($A44="OUI",'Fibre optique'!P85,0)</f>
        <v>511.63281788224333</v>
      </c>
      <c r="Q44" s="206">
        <f ca="1">IF($A44="OUI",'Fibre optique'!Q85,0)</f>
        <v>557.01697024773648</v>
      </c>
      <c r="R44" s="206">
        <f ca="1">IF($A44="OUI",'Fibre optique'!R85,0)</f>
        <v>603.3371707557676</v>
      </c>
      <c r="S44" s="206">
        <f ca="1">IF($A44="OUI",'Fibre optique'!S85,0)</f>
        <v>650.60934924381752</v>
      </c>
      <c r="T44" s="206">
        <f ca="1">IF($A44="OUI",'Fibre optique'!T85,0)</f>
        <v>698.84968307453335</v>
      </c>
      <c r="U44" s="206">
        <f ca="1">IF($A44="OUI",'Fibre optique'!U85,0)</f>
        <v>748.07460078243685</v>
      </c>
      <c r="V44" s="206">
        <f ca="1">IF($A44="OUI",'Fibre optique'!V85,0)</f>
        <v>832.92537651498355</v>
      </c>
      <c r="W44" s="206" t="str">
        <f>IF($A44="OUI",'Fibre optique'!W85,0)</f>
        <v/>
      </c>
      <c r="X44" s="206" t="str">
        <f>IF($A44="OUI",'Fibre optique'!X85,0)</f>
        <v/>
      </c>
      <c r="Y44" s="206" t="str">
        <f>IF($A44="OUI",'Fibre optique'!Y85,0)</f>
        <v/>
      </c>
      <c r="Z44" s="206" t="str">
        <f>IF($A44="OUI",'Fibre optique'!Z85,0)</f>
        <v/>
      </c>
      <c r="AA44" s="206" t="str">
        <f>IF($A44="OUI",'Fibre optique'!AA85,0)</f>
        <v/>
      </c>
    </row>
    <row r="45" spans="1:27" x14ac:dyDescent="0.25">
      <c r="A45" s="268" t="s">
        <v>201</v>
      </c>
      <c r="B45" s="208" t="str">
        <f>'Fibre optique'!$B$128</f>
        <v>Production de nouveaux terminaux</v>
      </c>
      <c r="C45" s="206">
        <f ca="1">IF($A45="OUI",'Fibre optique'!C142,0)</f>
        <v>0</v>
      </c>
      <c r="D45" s="206">
        <f ca="1">IF($A45="OUI",'Fibre optique'!D142,0)</f>
        <v>226.21062583697542</v>
      </c>
      <c r="E45" s="206">
        <f ca="1">IF($A45="OUI",'Fibre optique'!E142,0)</f>
        <v>457.32994998284698</v>
      </c>
      <c r="F45" s="206">
        <f ca="1">IF($A45="OUI",'Fibre optique'!F142,0)</f>
        <v>693.44320686690969</v>
      </c>
      <c r="G45" s="206">
        <f ca="1">IF($A45="OUI",'Fibre optique'!G142,0)</f>
        <v>934.63696969220132</v>
      </c>
      <c r="H45" s="206">
        <f ca="1">IF($A45="OUI",'Fibre optique'!H142,0)</f>
        <v>1180.9991702923196</v>
      </c>
      <c r="I45" s="206">
        <f ca="1">IF($A45="OUI",'Fibre optique'!I142,0)</f>
        <v>1432.6191192720157</v>
      </c>
      <c r="J45" s="206">
        <f ca="1">IF($A45="OUI",'Fibre optique'!J142,0)</f>
        <v>1689.5875264355116</v>
      </c>
      <c r="K45" s="206">
        <f ca="1">IF($A45="OUI",'Fibre optique'!K142,0)</f>
        <v>1951.9965215065658</v>
      </c>
      <c r="L45" s="206">
        <f ca="1">IF($A45="OUI",'Fibre optique'!L142,0)</f>
        <v>2219.9396751443287</v>
      </c>
      <c r="M45" s="206">
        <f ca="1">IF($A45="OUI",'Fibre optique'!M142,0)</f>
        <v>2493.5120202591097</v>
      </c>
      <c r="N45" s="206">
        <f ca="1">IF($A45="OUI",'Fibre optique'!N142,0)</f>
        <v>2772.8100736322353</v>
      </c>
      <c r="O45" s="206">
        <f ca="1">IF($A45="OUI",'Fibre optique'!O142,0)</f>
        <v>3057.9318578442067</v>
      </c>
      <c r="P45" s="206">
        <f ca="1">IF($A45="OUI",'Fibre optique'!P142,0)</f>
        <v>3348.9769235154722</v>
      </c>
      <c r="Q45" s="206">
        <f ca="1">IF($A45="OUI",'Fibre optique'!Q142,0)</f>
        <v>3646.0463718641286</v>
      </c>
      <c r="R45" s="206">
        <f ca="1">IF($A45="OUI",'Fibre optique'!R142,0)</f>
        <v>3949.2428775849744</v>
      </c>
      <c r="S45" s="206">
        <f ca="1">IF($A45="OUI",'Fibre optique'!S142,0)</f>
        <v>4258.6707120543824</v>
      </c>
      <c r="T45" s="206">
        <f ca="1">IF($A45="OUI",'Fibre optique'!T142,0)</f>
        <v>4574.4357668654939</v>
      </c>
      <c r="U45" s="206">
        <f ca="1">IF($A45="OUI",'Fibre optique'!U142,0)</f>
        <v>4896.6455776983466</v>
      </c>
      <c r="V45" s="206">
        <f ca="1">IF($A45="OUI",'Fibre optique'!V142,0)</f>
        <v>5452.0503131625355</v>
      </c>
      <c r="W45" s="206" t="str">
        <f>IF($A45="OUI",'Fibre optique'!W142,0)</f>
        <v/>
      </c>
      <c r="X45" s="206" t="str">
        <f>IF($A45="OUI",'Fibre optique'!X142,0)</f>
        <v/>
      </c>
      <c r="Y45" s="206" t="str">
        <f>IF($A45="OUI",'Fibre optique'!Y142,0)</f>
        <v/>
      </c>
      <c r="Z45" s="206" t="str">
        <f>IF($A45="OUI",'Fibre optique'!Z142,0)</f>
        <v/>
      </c>
      <c r="AA45" s="206" t="str">
        <f>IF($A45="OUI",'Fibre optique'!AA142,0)</f>
        <v/>
      </c>
    </row>
    <row r="46" spans="1:27" x14ac:dyDescent="0.25">
      <c r="A46" s="268" t="s">
        <v>201</v>
      </c>
      <c r="B46" s="489" t="str">
        <f>'Fibre optique'!$B$190</f>
        <v>Augmentation de la consommation de données 
dans les data-centers</v>
      </c>
      <c r="C46" s="206">
        <f ca="1">IF($A46="OUI",'Fibre optique'!C202,0)</f>
        <v>0</v>
      </c>
      <c r="D46" s="206">
        <f ca="1">IF($A46="OUI",'Fibre optique'!D202,0)</f>
        <v>178.98847422943169</v>
      </c>
      <c r="E46" s="206">
        <f ca="1">IF($A46="OUI",'Fibre optique'!E202,0)</f>
        <v>361.86094116482536</v>
      </c>
      <c r="F46" s="206">
        <f ca="1">IF($A46="OUI",'Fibre optique'!F202,0)</f>
        <v>548.68484229083674</v>
      </c>
      <c r="G46" s="206">
        <f ca="1">IF($A46="OUI",'Fibre optique'!G202,0)</f>
        <v>739.52867839280043</v>
      </c>
      <c r="H46" s="206">
        <f ca="1">IF($A46="OUI",'Fibre optique'!H202,0)</f>
        <v>934.46202526837681</v>
      </c>
      <c r="I46" s="206">
        <f ca="1">IF($A46="OUI",'Fibre optique'!I202,0)</f>
        <v>1133.5555496637357</v>
      </c>
      <c r="J46" s="206">
        <f ca="1">IF($A46="OUI",'Fibre optique'!J202,0)</f>
        <v>1336.8810254374005</v>
      </c>
      <c r="K46" s="206">
        <f ca="1">IF($A46="OUI",'Fibre optique'!K202,0)</f>
        <v>1544.5113499549377</v>
      </c>
      <c r="L46" s="206">
        <f ca="1">IF($A46="OUI",'Fibre optique'!L202,0)</f>
        <v>1756.5205607176904</v>
      </c>
      <c r="M46" s="206">
        <f ca="1">IF($A46="OUI",'Fibre optique'!M202,0)</f>
        <v>1972.9838522288107</v>
      </c>
      <c r="N46" s="206">
        <f ca="1">IF($A46="OUI",'Fibre optique'!N202,0)</f>
        <v>2193.9775930999112</v>
      </c>
      <c r="O46" s="206">
        <f ca="1">IF($A46="OUI",'Fibre optique'!O202,0)</f>
        <v>2419.5793434016527</v>
      </c>
      <c r="P46" s="206">
        <f ca="1">IF($A46="OUI",'Fibre optique'!P202,0)</f>
        <v>2649.867872261686</v>
      </c>
      <c r="Q46" s="206">
        <f ca="1">IF($A46="OUI",'Fibre optique'!Q202,0)</f>
        <v>2884.9231757133675</v>
      </c>
      <c r="R46" s="206">
        <f ca="1">IF($A46="OUI",'Fibre optique'!R202,0)</f>
        <v>3124.8264947987382</v>
      </c>
      <c r="S46" s="206">
        <f ca="1">IF($A46="OUI",'Fibre optique'!S202,0)</f>
        <v>3369.6603339293124</v>
      </c>
      <c r="T46" s="206">
        <f ca="1">IF($A46="OUI",'Fibre optique'!T202,0)</f>
        <v>3619.5084795082248</v>
      </c>
      <c r="U46" s="206">
        <f ca="1">IF($A46="OUI",'Fibre optique'!U202,0)</f>
        <v>3874.4560188174028</v>
      </c>
      <c r="V46" s="206">
        <f ca="1">IF($A46="OUI",'Fibre optique'!V202,0)</f>
        <v>4313.9183376749606</v>
      </c>
      <c r="W46" s="206" t="str">
        <f>IF($A46="OUI",'Fibre optique'!W202,0)</f>
        <v/>
      </c>
      <c r="X46" s="206" t="str">
        <f>IF($A46="OUI",'Fibre optique'!X202,0)</f>
        <v/>
      </c>
      <c r="Y46" s="206" t="str">
        <f>IF($A46="OUI",'Fibre optique'!Y202,0)</f>
        <v/>
      </c>
      <c r="Z46" s="206" t="str">
        <f>IF($A46="OUI",'Fibre optique'!Z202,0)</f>
        <v/>
      </c>
      <c r="AA46" s="206" t="str">
        <f>IF($A46="OUI",'Fibre optique'!AA202,0)</f>
        <v/>
      </c>
    </row>
    <row r="49" spans="1:27" x14ac:dyDescent="0.25">
      <c r="A49" s="146" t="s">
        <v>1298</v>
      </c>
    </row>
    <row r="50" spans="1:27" x14ac:dyDescent="0.25">
      <c r="A50" s="268" t="s">
        <v>201</v>
      </c>
      <c r="B50" s="205" t="s">
        <v>588</v>
      </c>
      <c r="C50" s="206">
        <f>IF($A50="OUI",SUM(C53,C56),0)</f>
        <v>14385.958314724176</v>
      </c>
      <c r="D50" s="206">
        <f t="shared" ref="D50:L50" si="9">IF($A50="OUI",SUM(D53,D56),0)</f>
        <v>14558.589814500865</v>
      </c>
      <c r="E50" s="206">
        <f t="shared" si="9"/>
        <v>14733.292892274876</v>
      </c>
      <c r="F50" s="206">
        <f t="shared" si="9"/>
        <v>14910.092406982172</v>
      </c>
      <c r="G50" s="206">
        <f t="shared" si="9"/>
        <v>15089.013515865958</v>
      </c>
      <c r="H50" s="206">
        <f t="shared" si="9"/>
        <v>15270.081678056353</v>
      </c>
      <c r="I50" s="206">
        <f t="shared" si="9"/>
        <v>15453.322658193028</v>
      </c>
      <c r="J50" s="206">
        <f t="shared" si="9"/>
        <v>15638.762530091348</v>
      </c>
      <c r="K50" s="206">
        <f t="shared" si="9"/>
        <v>15826.427680452445</v>
      </c>
      <c r="L50" s="206">
        <f t="shared" si="9"/>
        <v>16016.34481261787</v>
      </c>
      <c r="M50" s="206">
        <f t="shared" ref="M50:AA50" si="10">IF($A50="OUI",SUM(M53,M56),0)</f>
        <v>16208.540950369286</v>
      </c>
      <c r="N50" s="206">
        <f t="shared" si="10"/>
        <v>16403.04344177372</v>
      </c>
      <c r="O50" s="206">
        <f t="shared" si="10"/>
        <v>16599.879963075004</v>
      </c>
      <c r="P50" s="206">
        <f t="shared" si="10"/>
        <v>16799.078522631906</v>
      </c>
      <c r="Q50" s="206">
        <f t="shared" si="10"/>
        <v>17000.66746490349</v>
      </c>
      <c r="R50" s="206">
        <f t="shared" si="10"/>
        <v>17204.675474482327</v>
      </c>
      <c r="S50" s="206">
        <f t="shared" si="10"/>
        <v>17411.131580176119</v>
      </c>
      <c r="T50" s="206">
        <f t="shared" si="10"/>
        <v>17620.06515913823</v>
      </c>
      <c r="U50" s="206">
        <f t="shared" si="10"/>
        <v>17831.50594104789</v>
      </c>
      <c r="V50" s="206">
        <f t="shared" si="10"/>
        <v>18045.484012340468</v>
      </c>
      <c r="W50" s="206">
        <f t="shared" si="10"/>
        <v>0</v>
      </c>
      <c r="X50" s="206">
        <f t="shared" si="10"/>
        <v>0</v>
      </c>
      <c r="Y50" s="206">
        <f t="shared" si="10"/>
        <v>0</v>
      </c>
      <c r="Z50" s="206">
        <f t="shared" si="10"/>
        <v>0</v>
      </c>
      <c r="AA50" s="206">
        <f t="shared" si="10"/>
        <v>0</v>
      </c>
    </row>
    <row r="52" spans="1:27" x14ac:dyDescent="0.25">
      <c r="A52" s="146" t="s">
        <v>1299</v>
      </c>
    </row>
    <row r="53" spans="1:27" x14ac:dyDescent="0.25">
      <c r="A53" s="268" t="s">
        <v>201</v>
      </c>
      <c r="B53" s="490" t="str">
        <f>Terminaux_utilisateurs_IoT!C10</f>
        <v>Production de terminaux et objets connectés (IoT)</v>
      </c>
      <c r="C53" s="206">
        <f>IF($A53="OUI",Terminaux_utilisateurs_IoT!D10,0)</f>
        <v>13177.534267756002</v>
      </c>
      <c r="D53" s="206">
        <f>IF($A53="OUI",Terminaux_utilisateurs_IoT!E10,0)</f>
        <v>13335.664678969073</v>
      </c>
      <c r="E53" s="206">
        <f>IF($A53="OUI",Terminaux_utilisateurs_IoT!F10,0)</f>
        <v>13495.692655116702</v>
      </c>
      <c r="F53" s="206">
        <f>IF($A53="OUI",Terminaux_utilisateurs_IoT!G10,0)</f>
        <v>13657.640966978101</v>
      </c>
      <c r="G53" s="206">
        <f>IF($A53="OUI",Terminaux_utilisateurs_IoT!H10,0)</f>
        <v>13821.532658581837</v>
      </c>
      <c r="H53" s="206">
        <f>IF($A53="OUI",Terminaux_utilisateurs_IoT!I10,0)</f>
        <v>13987.391050484823</v>
      </c>
      <c r="I53" s="206">
        <f>IF($A53="OUI",Terminaux_utilisateurs_IoT!J10,0)</f>
        <v>14155.23974309064</v>
      </c>
      <c r="J53" s="206">
        <f>IF($A53="OUI",Terminaux_utilisateurs_IoT!K10,0)</f>
        <v>14325.10262000773</v>
      </c>
      <c r="K53" s="206">
        <f>IF($A53="OUI",Terminaux_utilisateurs_IoT!L10,0)</f>
        <v>14497.003851447826</v>
      </c>
      <c r="L53" s="206">
        <f>IF($A53="OUI",Terminaux_utilisateurs_IoT!M10,0)</f>
        <v>14670.967897665194</v>
      </c>
      <c r="M53" s="206">
        <f>IF($A53="OUI",Terminaux_utilisateurs_IoT!N10,0)</f>
        <v>14847.019512437178</v>
      </c>
      <c r="N53" s="206">
        <f>IF($A53="OUI",Terminaux_utilisateurs_IoT!O10,0)</f>
        <v>15025.183746586425</v>
      </c>
      <c r="O53" s="206">
        <f>IF($A53="OUI",Terminaux_utilisateurs_IoT!P10,0)</f>
        <v>15205.485951545463</v>
      </c>
      <c r="P53" s="206">
        <f>IF($A53="OUI",Terminaux_utilisateurs_IoT!Q10,0)</f>
        <v>15387.95178296401</v>
      </c>
      <c r="Q53" s="206">
        <f>IF($A53="OUI",Terminaux_utilisateurs_IoT!R10,0)</f>
        <v>15572.60720435958</v>
      </c>
      <c r="R53" s="206">
        <f>IF($A53="OUI",Terminaux_utilisateurs_IoT!S10,0)</f>
        <v>15759.478490811889</v>
      </c>
      <c r="S53" s="206">
        <f>IF($A53="OUI",Terminaux_utilisateurs_IoT!T10,0)</f>
        <v>15948.592232701636</v>
      </c>
      <c r="T53" s="206">
        <f>IF($A53="OUI",Terminaux_utilisateurs_IoT!U10,0)</f>
        <v>16139.975339494054</v>
      </c>
      <c r="U53" s="206">
        <f>IF($A53="OUI",Terminaux_utilisateurs_IoT!V10,0)</f>
        <v>16333.655043567984</v>
      </c>
      <c r="V53" s="206">
        <f>IF($A53="OUI",Terminaux_utilisateurs_IoT!W10,0)</f>
        <v>16529.658904090804</v>
      </c>
      <c r="W53" s="206">
        <f>IF($A53="OUI",Terminaux_utilisateurs_IoT!X10,0)</f>
        <v>0</v>
      </c>
      <c r="X53" s="206">
        <f>IF($A53="OUI",Terminaux_utilisateurs_IoT!Y10,0)</f>
        <v>0</v>
      </c>
      <c r="Y53" s="206">
        <f>IF($A53="OUI",Terminaux_utilisateurs_IoT!Z10,0)</f>
        <v>0</v>
      </c>
      <c r="Z53" s="206">
        <f>IF($A53="OUI",Terminaux_utilisateurs_IoT!AA10,0)</f>
        <v>0</v>
      </c>
      <c r="AA53" s="206">
        <f>IF($A53="OUI",Terminaux_utilisateurs_IoT!AB10,0)</f>
        <v>0</v>
      </c>
    </row>
    <row r="54" spans="1:27" x14ac:dyDescent="0.25">
      <c r="A54" s="268" t="s">
        <v>201</v>
      </c>
      <c r="B54" s="490" t="str">
        <f>Terminaux_utilisateurs_IoT!C11</f>
        <v>Entreprises</v>
      </c>
      <c r="C54" s="206">
        <f>IF($A54="OUI",Terminaux_utilisateurs_IoT!D11,0)</f>
        <v>261.61978642449969</v>
      </c>
      <c r="D54" s="206">
        <f>IF($A54="OUI",Terminaux_utilisateurs_IoT!E11,0)</f>
        <v>264.75922386159425</v>
      </c>
      <c r="E54" s="206">
        <f>IF($A54="OUI",Terminaux_utilisateurs_IoT!F11,0)</f>
        <v>267.9363345479332</v>
      </c>
      <c r="F54" s="206">
        <f>IF($A54="OUI",Terminaux_utilisateurs_IoT!G11,0)</f>
        <v>271.15157056250757</v>
      </c>
      <c r="G54" s="206">
        <f>IF($A54="OUI",Terminaux_utilisateurs_IoT!H11,0)</f>
        <v>274.40538940925717</v>
      </c>
      <c r="H54" s="206">
        <f>IF($A54="OUI",Terminaux_utilisateurs_IoT!I11,0)</f>
        <v>277.69825408216894</v>
      </c>
      <c r="I54" s="206">
        <f>IF($A54="OUI",Terminaux_utilisateurs_IoT!J11,0)</f>
        <v>281.03063313115513</v>
      </c>
      <c r="J54" s="206">
        <f>IF($A54="OUI",Terminaux_utilisateurs_IoT!K11,0)</f>
        <v>284.40300072872986</v>
      </c>
      <c r="K54" s="206">
        <f>IF($A54="OUI",Terminaux_utilisateurs_IoT!L11,0)</f>
        <v>287.81583673747434</v>
      </c>
      <c r="L54" s="206">
        <f>IF($A54="OUI",Terminaux_utilisateurs_IoT!M11,0)</f>
        <v>291.26962677832296</v>
      </c>
      <c r="M54" s="206">
        <f>IF($A54="OUI",Terminaux_utilisateurs_IoT!N11,0)</f>
        <v>294.76486229966423</v>
      </c>
      <c r="N54" s="206">
        <f>IF($A54="OUI",Terminaux_utilisateurs_IoT!O11,0)</f>
        <v>298.30204064725956</v>
      </c>
      <c r="O54" s="206">
        <f>IF($A54="OUI",Terminaux_utilisateurs_IoT!P11,0)</f>
        <v>301.88166513502694</v>
      </c>
      <c r="P54" s="206">
        <f>IF($A54="OUI",Terminaux_utilisateurs_IoT!Q11,0)</f>
        <v>305.50424511664613</v>
      </c>
      <c r="Q54" s="206">
        <f>IF($A54="OUI",Terminaux_utilisateurs_IoT!R11,0)</f>
        <v>309.17029605804612</v>
      </c>
      <c r="R54" s="206">
        <f>IF($A54="OUI",Terminaux_utilisateurs_IoT!S11,0)</f>
        <v>312.88033961074319</v>
      </c>
      <c r="S54" s="206">
        <f>IF($A54="OUI",Terminaux_utilisateurs_IoT!T11,0)</f>
        <v>316.63490368607233</v>
      </c>
      <c r="T54" s="206">
        <f>IF($A54="OUI",Terminaux_utilisateurs_IoT!U11,0)</f>
        <v>320.43452253030483</v>
      </c>
      <c r="U54" s="206">
        <f>IF($A54="OUI",Terminaux_utilisateurs_IoT!V11,0)</f>
        <v>324.27973680066833</v>
      </c>
      <c r="V54" s="206">
        <f>IF($A54="OUI",Terminaux_utilisateurs_IoT!W11,0)</f>
        <v>328.17109364227764</v>
      </c>
      <c r="W54" s="206" t="str">
        <f>IF($A54="OUI",Terminaux_utilisateurs_IoT!X11,0)</f>
        <v/>
      </c>
      <c r="X54" s="206" t="str">
        <f>IF($A54="OUI",Terminaux_utilisateurs_IoT!Y11,0)</f>
        <v/>
      </c>
      <c r="Y54" s="206" t="str">
        <f>IF($A54="OUI",Terminaux_utilisateurs_IoT!Z11,0)</f>
        <v/>
      </c>
      <c r="Z54" s="206" t="str">
        <f>IF($A54="OUI",Terminaux_utilisateurs_IoT!AA11,0)</f>
        <v/>
      </c>
      <c r="AA54" s="206" t="str">
        <f>IF($A54="OUI",Terminaux_utilisateurs_IoT!AB11,0)</f>
        <v/>
      </c>
    </row>
    <row r="55" spans="1:27" x14ac:dyDescent="0.25">
      <c r="A55" s="268" t="s">
        <v>201</v>
      </c>
      <c r="B55" s="490" t="str">
        <f>Terminaux_utilisateurs_IoT!C12</f>
        <v>Ménages</v>
      </c>
      <c r="C55" s="206">
        <f>IF($A55="OUI",Terminaux_utilisateurs_IoT!D12,0)</f>
        <v>12915.914481331502</v>
      </c>
      <c r="D55" s="206">
        <f>IF($A55="OUI",Terminaux_utilisateurs_IoT!E12,0)</f>
        <v>13070.905455107479</v>
      </c>
      <c r="E55" s="206">
        <f>IF($A55="OUI",Terminaux_utilisateurs_IoT!F12,0)</f>
        <v>13227.756320568769</v>
      </c>
      <c r="F55" s="206">
        <f>IF($A55="OUI",Terminaux_utilisateurs_IoT!G12,0)</f>
        <v>13386.489396415593</v>
      </c>
      <c r="G55" s="206">
        <f>IF($A55="OUI",Terminaux_utilisateurs_IoT!H12,0)</f>
        <v>13547.127269172579</v>
      </c>
      <c r="H55" s="206">
        <f>IF($A55="OUI",Terminaux_utilisateurs_IoT!I12,0)</f>
        <v>13709.692796402654</v>
      </c>
      <c r="I55" s="206">
        <f>IF($A55="OUI",Terminaux_utilisateurs_IoT!J12,0)</f>
        <v>13874.209109959485</v>
      </c>
      <c r="J55" s="206">
        <f>IF($A55="OUI",Terminaux_utilisateurs_IoT!K12,0)</f>
        <v>14040.699619279001</v>
      </c>
      <c r="K55" s="206">
        <f>IF($A55="OUI",Terminaux_utilisateurs_IoT!L12,0)</f>
        <v>14209.188014710351</v>
      </c>
      <c r="L55" s="206">
        <f>IF($A55="OUI",Terminaux_utilisateurs_IoT!M12,0)</f>
        <v>14379.698270886871</v>
      </c>
      <c r="M55" s="206">
        <f>IF($A55="OUI",Terminaux_utilisateurs_IoT!N12,0)</f>
        <v>14552.254650137515</v>
      </c>
      <c r="N55" s="206">
        <f>IF($A55="OUI",Terminaux_utilisateurs_IoT!O12,0)</f>
        <v>14726.881705939166</v>
      </c>
      <c r="O55" s="206">
        <f>IF($A55="OUI",Terminaux_utilisateurs_IoT!P12,0)</f>
        <v>14903.604286410437</v>
      </c>
      <c r="P55" s="206">
        <f>IF($A55="OUI",Terminaux_utilisateurs_IoT!Q12,0)</f>
        <v>15082.447537847363</v>
      </c>
      <c r="Q55" s="206">
        <f>IF($A55="OUI",Terminaux_utilisateurs_IoT!R12,0)</f>
        <v>15263.436908301534</v>
      </c>
      <c r="R55" s="206">
        <f>IF($A55="OUI",Terminaux_utilisateurs_IoT!S12,0)</f>
        <v>15446.598151201146</v>
      </c>
      <c r="S55" s="206">
        <f>IF($A55="OUI",Terminaux_utilisateurs_IoT!T12,0)</f>
        <v>15631.957329015564</v>
      </c>
      <c r="T55" s="206">
        <f>IF($A55="OUI",Terminaux_utilisateurs_IoT!U12,0)</f>
        <v>15819.54081696375</v>
      </c>
      <c r="U55" s="206">
        <f>IF($A55="OUI",Terminaux_utilisateurs_IoT!V12,0)</f>
        <v>16009.375306767315</v>
      </c>
      <c r="V55" s="206">
        <f>IF($A55="OUI",Terminaux_utilisateurs_IoT!W12,0)</f>
        <v>16201.487810448525</v>
      </c>
      <c r="W55" s="206" t="str">
        <f>IF($A55="OUI",Terminaux_utilisateurs_IoT!X12,0)</f>
        <v/>
      </c>
      <c r="X55" s="206" t="str">
        <f>IF($A55="OUI",Terminaux_utilisateurs_IoT!Y12,0)</f>
        <v/>
      </c>
      <c r="Y55" s="206" t="str">
        <f>IF($A55="OUI",Terminaux_utilisateurs_IoT!Z12,0)</f>
        <v/>
      </c>
      <c r="Z55" s="206" t="str">
        <f>IF($A55="OUI",Terminaux_utilisateurs_IoT!AA12,0)</f>
        <v/>
      </c>
      <c r="AA55" s="206" t="str">
        <f>IF($A55="OUI",Terminaux_utilisateurs_IoT!AB12,0)</f>
        <v/>
      </c>
    </row>
    <row r="56" spans="1:27" x14ac:dyDescent="0.25">
      <c r="A56" s="268" t="s">
        <v>201</v>
      </c>
      <c r="B56" s="490" t="str">
        <f>Terminaux_utilisateurs_IoT!C13</f>
        <v>Utilisation terminaux et IoT</v>
      </c>
      <c r="C56" s="206">
        <f>IF($A56="OUI",Terminaux_utilisateurs_IoT!D13,0)</f>
        <v>1208.4240469681743</v>
      </c>
      <c r="D56" s="206">
        <f>IF($A56="OUI",Terminaux_utilisateurs_IoT!E13,0)</f>
        <v>1222.925135531792</v>
      </c>
      <c r="E56" s="206">
        <f>IF($A56="OUI",Terminaux_utilisateurs_IoT!F13,0)</f>
        <v>1237.6002371581737</v>
      </c>
      <c r="F56" s="206">
        <f>IF($A56="OUI",Terminaux_utilisateurs_IoT!G13,0)</f>
        <v>1252.4514400040719</v>
      </c>
      <c r="G56" s="206">
        <f>IF($A56="OUI",Terminaux_utilisateurs_IoT!H13,0)</f>
        <v>1267.4808572841209</v>
      </c>
      <c r="H56" s="206">
        <f>IF($A56="OUI",Terminaux_utilisateurs_IoT!I13,0)</f>
        <v>1282.6906275715301</v>
      </c>
      <c r="I56" s="206">
        <f>IF($A56="OUI",Terminaux_utilisateurs_IoT!J13,0)</f>
        <v>1298.0829151023888</v>
      </c>
      <c r="J56" s="206">
        <f>IF($A56="OUI",Terminaux_utilisateurs_IoT!K13,0)</f>
        <v>1313.6599100836172</v>
      </c>
      <c r="K56" s="206">
        <f>IF($A56="OUI",Terminaux_utilisateurs_IoT!L13,0)</f>
        <v>1329.4238290046205</v>
      </c>
      <c r="L56" s="206">
        <f>IF($A56="OUI",Terminaux_utilisateurs_IoT!M13,0)</f>
        <v>1345.3769149526763</v>
      </c>
      <c r="M56" s="206">
        <f>IF($A56="OUI",Terminaux_utilisateurs_IoT!N13,0)</f>
        <v>1361.5214379321085</v>
      </c>
      <c r="N56" s="206">
        <f>IF($A56="OUI",Terminaux_utilisateurs_IoT!O13,0)</f>
        <v>1377.8596951872937</v>
      </c>
      <c r="O56" s="206">
        <f>IF($A56="OUI",Terminaux_utilisateurs_IoT!P13,0)</f>
        <v>1394.3940115295413</v>
      </c>
      <c r="P56" s="206">
        <f>IF($A56="OUI",Terminaux_utilisateurs_IoT!Q13,0)</f>
        <v>1411.1267396678959</v>
      </c>
      <c r="Q56" s="206">
        <f>IF($A56="OUI",Terminaux_utilisateurs_IoT!R13,0)</f>
        <v>1428.0602605439108</v>
      </c>
      <c r="R56" s="206">
        <f>IF($A56="OUI",Terminaux_utilisateurs_IoT!S13,0)</f>
        <v>1445.1969836704375</v>
      </c>
      <c r="S56" s="206">
        <f>IF($A56="OUI",Terminaux_utilisateurs_IoT!T13,0)</f>
        <v>1462.5393474744828</v>
      </c>
      <c r="T56" s="206">
        <f>IF($A56="OUI",Terminaux_utilisateurs_IoT!U13,0)</f>
        <v>1480.0898196441767</v>
      </c>
      <c r="U56" s="206">
        <f>IF($A56="OUI",Terminaux_utilisateurs_IoT!V13,0)</f>
        <v>1497.850897479907</v>
      </c>
      <c r="V56" s="206">
        <f>IF($A56="OUI",Terminaux_utilisateurs_IoT!W13,0)</f>
        <v>1515.8251082496656</v>
      </c>
      <c r="W56" s="206">
        <f>IF($A56="OUI",Terminaux_utilisateurs_IoT!X13,0)</f>
        <v>0</v>
      </c>
      <c r="X56" s="206">
        <f>IF($A56="OUI",Terminaux_utilisateurs_IoT!Y13,0)</f>
        <v>0</v>
      </c>
      <c r="Y56" s="206">
        <f>IF($A56="OUI",Terminaux_utilisateurs_IoT!Z13,0)</f>
        <v>0</v>
      </c>
      <c r="Z56" s="206">
        <f>IF($A56="OUI",Terminaux_utilisateurs_IoT!AA13,0)</f>
        <v>0</v>
      </c>
      <c r="AA56" s="206">
        <f>IF($A56="OUI",Terminaux_utilisateurs_IoT!AB13,0)</f>
        <v>0</v>
      </c>
    </row>
    <row r="57" spans="1:27" x14ac:dyDescent="0.25">
      <c r="A57" s="268" t="s">
        <v>201</v>
      </c>
      <c r="B57" s="490" t="str">
        <f>Terminaux_utilisateurs_IoT!C14</f>
        <v>Entreprises</v>
      </c>
      <c r="C57" s="206">
        <f>IF($A57="OUI",Terminaux_utilisateurs_IoT!D14,0)</f>
        <v>229.36957163529124</v>
      </c>
      <c r="D57" s="206">
        <f>IF($A57="OUI",Terminaux_utilisateurs_IoT!E14,0)</f>
        <v>232.1220064949147</v>
      </c>
      <c r="E57" s="206">
        <f>IF($A57="OUI",Terminaux_utilisateurs_IoT!F14,0)</f>
        <v>234.90747057285373</v>
      </c>
      <c r="F57" s="206">
        <f>IF($A57="OUI",Terminaux_utilisateurs_IoT!G14,0)</f>
        <v>237.72636021972795</v>
      </c>
      <c r="G57" s="206">
        <f>IF($A57="OUI",Terminaux_utilisateurs_IoT!H14,0)</f>
        <v>240.5790765423647</v>
      </c>
      <c r="H57" s="206">
        <f>IF($A57="OUI",Terminaux_utilisateurs_IoT!I14,0)</f>
        <v>243.46602546087308</v>
      </c>
      <c r="I57" s="206">
        <f>IF($A57="OUI",Terminaux_utilisateurs_IoT!J14,0)</f>
        <v>246.38761776640359</v>
      </c>
      <c r="J57" s="206">
        <f>IF($A57="OUI",Terminaux_utilisateurs_IoT!K14,0)</f>
        <v>249.34426917960042</v>
      </c>
      <c r="K57" s="206">
        <f>IF($A57="OUI",Terminaux_utilisateurs_IoT!L14,0)</f>
        <v>252.33640040975561</v>
      </c>
      <c r="L57" s="206">
        <f>IF($A57="OUI",Terminaux_utilisateurs_IoT!M14,0)</f>
        <v>255.36443721467271</v>
      </c>
      <c r="M57" s="206">
        <f>IF($A57="OUI",Terminaux_utilisateurs_IoT!N14,0)</f>
        <v>258.42881046124882</v>
      </c>
      <c r="N57" s="206">
        <f>IF($A57="OUI",Terminaux_utilisateurs_IoT!O14,0)</f>
        <v>261.52995618678381</v>
      </c>
      <c r="O57" s="206">
        <f>IF($A57="OUI",Terminaux_utilisateurs_IoT!P14,0)</f>
        <v>264.66831566102513</v>
      </c>
      <c r="P57" s="206">
        <f>IF($A57="OUI",Terminaux_utilisateurs_IoT!Q14,0)</f>
        <v>267.84433544895751</v>
      </c>
      <c r="Q57" s="206">
        <f>IF($A57="OUI",Terminaux_utilisateurs_IoT!R14,0)</f>
        <v>271.05846747434498</v>
      </c>
      <c r="R57" s="206">
        <f>IF($A57="OUI",Terminaux_utilisateurs_IoT!S14,0)</f>
        <v>274.31116908403715</v>
      </c>
      <c r="S57" s="206">
        <f>IF($A57="OUI",Terminaux_utilisateurs_IoT!T14,0)</f>
        <v>277.60290311304556</v>
      </c>
      <c r="T57" s="206">
        <f>IF($A57="OUI",Terminaux_utilisateurs_IoT!U14,0)</f>
        <v>280.9341379504022</v>
      </c>
      <c r="U57" s="206">
        <f>IF($A57="OUI",Terminaux_utilisateurs_IoT!V14,0)</f>
        <v>284.30534760580696</v>
      </c>
      <c r="V57" s="206">
        <f>IF($A57="OUI",Terminaux_utilisateurs_IoT!W14,0)</f>
        <v>287.71701177707661</v>
      </c>
      <c r="W57" s="206" t="str">
        <f>IF($A57="OUI",Terminaux_utilisateurs_IoT!X14,0)</f>
        <v/>
      </c>
      <c r="X57" s="206" t="str">
        <f>IF($A57="OUI",Terminaux_utilisateurs_IoT!Y14,0)</f>
        <v/>
      </c>
      <c r="Y57" s="206" t="str">
        <f>IF($A57="OUI",Terminaux_utilisateurs_IoT!Z14,0)</f>
        <v/>
      </c>
      <c r="Z57" s="206" t="str">
        <f>IF($A57="OUI",Terminaux_utilisateurs_IoT!AA14,0)</f>
        <v/>
      </c>
      <c r="AA57" s="206" t="str">
        <f>IF($A57="OUI",Terminaux_utilisateurs_IoT!AB14,0)</f>
        <v/>
      </c>
    </row>
    <row r="58" spans="1:27" x14ac:dyDescent="0.25">
      <c r="A58" s="268" t="s">
        <v>201</v>
      </c>
      <c r="B58" s="490" t="str">
        <f>Terminaux_utilisateurs_IoT!C15</f>
        <v>Ménages</v>
      </c>
      <c r="C58" s="206">
        <f>IF($A58="OUI",Terminaux_utilisateurs_IoT!D15,0)</f>
        <v>979.05447533288293</v>
      </c>
      <c r="D58" s="206">
        <f>IF($A58="OUI",Terminaux_utilisateurs_IoT!E15,0)</f>
        <v>990.80312903687729</v>
      </c>
      <c r="E58" s="206">
        <f>IF($A58="OUI",Terminaux_utilisateurs_IoT!F15,0)</f>
        <v>1002.6927665853201</v>
      </c>
      <c r="F58" s="206">
        <f>IF($A58="OUI",Terminaux_utilisateurs_IoT!G15,0)</f>
        <v>1014.725079784344</v>
      </c>
      <c r="G58" s="206">
        <f>IF($A58="OUI",Terminaux_utilisateurs_IoT!H15,0)</f>
        <v>1026.9017807417563</v>
      </c>
      <c r="H58" s="206">
        <f>IF($A58="OUI",Terminaux_utilisateurs_IoT!I15,0)</f>
        <v>1039.2246021106571</v>
      </c>
      <c r="I58" s="206">
        <f>IF($A58="OUI",Terminaux_utilisateurs_IoT!J15,0)</f>
        <v>1051.6952973359853</v>
      </c>
      <c r="J58" s="206">
        <f>IF($A58="OUI",Terminaux_utilisateurs_IoT!K15,0)</f>
        <v>1064.3156409040168</v>
      </c>
      <c r="K58" s="206">
        <f>IF($A58="OUI",Terminaux_utilisateurs_IoT!L15,0)</f>
        <v>1077.0874285948648</v>
      </c>
      <c r="L58" s="206">
        <f>IF($A58="OUI",Terminaux_utilisateurs_IoT!M15,0)</f>
        <v>1090.0124777380036</v>
      </c>
      <c r="M58" s="206">
        <f>IF($A58="OUI",Terminaux_utilisateurs_IoT!N15,0)</f>
        <v>1103.0926274708597</v>
      </c>
      <c r="N58" s="206">
        <f>IF($A58="OUI",Terminaux_utilisateurs_IoT!O15,0)</f>
        <v>1116.32973900051</v>
      </c>
      <c r="O58" s="206">
        <f>IF($A58="OUI",Terminaux_utilisateurs_IoT!P15,0)</f>
        <v>1129.7256958685161</v>
      </c>
      <c r="P58" s="206">
        <f>IF($A58="OUI",Terminaux_utilisateurs_IoT!Q15,0)</f>
        <v>1143.2824042189384</v>
      </c>
      <c r="Q58" s="206">
        <f>IF($A58="OUI",Terminaux_utilisateurs_IoT!R15,0)</f>
        <v>1157.0017930695658</v>
      </c>
      <c r="R58" s="206">
        <f>IF($A58="OUI",Terminaux_utilisateurs_IoT!S15,0)</f>
        <v>1170.8858145864003</v>
      </c>
      <c r="S58" s="206">
        <f>IF($A58="OUI",Terminaux_utilisateurs_IoT!T15,0)</f>
        <v>1184.9364443614372</v>
      </c>
      <c r="T58" s="206">
        <f>IF($A58="OUI",Terminaux_utilisateurs_IoT!U15,0)</f>
        <v>1199.1556816937746</v>
      </c>
      <c r="U58" s="206">
        <f>IF($A58="OUI",Terminaux_utilisateurs_IoT!V15,0)</f>
        <v>1213.5455498741001</v>
      </c>
      <c r="V58" s="206">
        <f>IF($A58="OUI",Terminaux_utilisateurs_IoT!W15,0)</f>
        <v>1228.1080964725891</v>
      </c>
      <c r="W58" s="206" t="str">
        <f>IF($A58="OUI",Terminaux_utilisateurs_IoT!X15,0)</f>
        <v/>
      </c>
      <c r="X58" s="206" t="str">
        <f>IF($A58="OUI",Terminaux_utilisateurs_IoT!Y15,0)</f>
        <v/>
      </c>
      <c r="Y58" s="206" t="str">
        <f>IF($A58="OUI",Terminaux_utilisateurs_IoT!Z15,0)</f>
        <v/>
      </c>
      <c r="Z58" s="206" t="str">
        <f>IF($A58="OUI",Terminaux_utilisateurs_IoT!AA15,0)</f>
        <v/>
      </c>
      <c r="AA58" s="206" t="str">
        <f>IF($A58="OUI",Terminaux_utilisateurs_IoT!AB15,0)</f>
        <v/>
      </c>
    </row>
    <row r="61" spans="1:27" x14ac:dyDescent="0.25">
      <c r="A61" s="486" t="s">
        <v>1292</v>
      </c>
      <c r="B61" s="205"/>
      <c r="C61" s="205"/>
      <c r="D61" s="205"/>
      <c r="E61" s="205"/>
      <c r="F61" s="205"/>
      <c r="G61" s="205"/>
      <c r="H61" s="205"/>
      <c r="I61" s="205"/>
      <c r="J61" s="205"/>
      <c r="K61" s="205"/>
      <c r="L61" s="205"/>
    </row>
    <row r="63" spans="1:27" ht="4.5" customHeight="1" x14ac:dyDescent="0.25">
      <c r="A63" s="146" t="s">
        <v>201</v>
      </c>
    </row>
    <row r="64" spans="1:27" ht="27" customHeight="1" x14ac:dyDescent="0.25">
      <c r="A64" s="149" t="s">
        <v>883</v>
      </c>
      <c r="B64" s="163" t="s">
        <v>884</v>
      </c>
    </row>
    <row r="65" spans="1:27" ht="27" customHeight="1" x14ac:dyDescent="0.25">
      <c r="A65" s="149"/>
      <c r="B65" s="149"/>
    </row>
    <row r="66" spans="1:27" x14ac:dyDescent="0.25">
      <c r="A66" s="146" t="s">
        <v>1303</v>
      </c>
    </row>
    <row r="67" spans="1:27" x14ac:dyDescent="0.25">
      <c r="A67" s="268" t="s">
        <v>201</v>
      </c>
      <c r="B67" s="205" t="s">
        <v>1321</v>
      </c>
      <c r="C67" s="206">
        <f>IF($A67="OUI",SUM(C70:C74),0)</f>
        <v>0</v>
      </c>
      <c r="D67" s="206">
        <f>IF($A67="OUI",SUM(D70:D74),0)</f>
        <v>26151.486068669557</v>
      </c>
      <c r="E67" s="206">
        <f t="shared" ref="E67:AA67" si="11">IF($A67="OUI",SUM(E70:E74),0)</f>
        <v>52881.855745907538</v>
      </c>
      <c r="F67" s="206">
        <f t="shared" si="11"/>
        <v>77676.553554184575</v>
      </c>
      <c r="G67" s="206">
        <f t="shared" si="11"/>
        <v>95364.356658113786</v>
      </c>
      <c r="H67" s="206">
        <f t="shared" si="11"/>
        <v>110977.17466247962</v>
      </c>
      <c r="I67" s="206">
        <f t="shared" si="11"/>
        <v>121883.38991729097</v>
      </c>
      <c r="J67" s="206">
        <f t="shared" si="11"/>
        <v>130650.94541617483</v>
      </c>
      <c r="K67" s="206">
        <f t="shared" si="11"/>
        <v>137287.92656401009</v>
      </c>
      <c r="L67" s="206">
        <f t="shared" si="11"/>
        <v>579487.05539788993</v>
      </c>
      <c r="M67" s="206">
        <f t="shared" si="11"/>
        <v>0</v>
      </c>
      <c r="N67" s="206">
        <f t="shared" si="11"/>
        <v>0</v>
      </c>
      <c r="O67" s="206">
        <f t="shared" si="11"/>
        <v>0</v>
      </c>
      <c r="P67" s="206">
        <f t="shared" si="11"/>
        <v>0</v>
      </c>
      <c r="Q67" s="206">
        <f t="shared" si="11"/>
        <v>0</v>
      </c>
      <c r="R67" s="206">
        <f t="shared" si="11"/>
        <v>0</v>
      </c>
      <c r="S67" s="206">
        <f t="shared" si="11"/>
        <v>0</v>
      </c>
      <c r="T67" s="206">
        <f t="shared" si="11"/>
        <v>0</v>
      </c>
      <c r="U67" s="206">
        <f t="shared" si="11"/>
        <v>0</v>
      </c>
      <c r="V67" s="206">
        <f t="shared" si="11"/>
        <v>0</v>
      </c>
      <c r="W67" s="206">
        <f t="shared" si="11"/>
        <v>0</v>
      </c>
      <c r="X67" s="206">
        <f t="shared" si="11"/>
        <v>0</v>
      </c>
      <c r="Y67" s="206">
        <f t="shared" si="11"/>
        <v>0</v>
      </c>
      <c r="Z67" s="206">
        <f t="shared" si="11"/>
        <v>0</v>
      </c>
      <c r="AA67" s="206">
        <f t="shared" si="11"/>
        <v>0</v>
      </c>
    </row>
    <row r="68" spans="1:27" x14ac:dyDescent="0.25">
      <c r="C68" s="284"/>
      <c r="D68" s="284"/>
      <c r="E68" s="284"/>
      <c r="F68" s="284"/>
      <c r="G68" s="284"/>
      <c r="H68" s="284"/>
      <c r="I68" s="284"/>
      <c r="J68" s="284"/>
      <c r="K68" s="284"/>
      <c r="L68" s="284"/>
    </row>
    <row r="69" spans="1:27" x14ac:dyDescent="0.25">
      <c r="A69" s="146" t="s">
        <v>1302</v>
      </c>
      <c r="C69" s="284"/>
      <c r="D69" s="284"/>
      <c r="E69" s="284"/>
      <c r="F69" s="284"/>
      <c r="G69" s="284"/>
      <c r="H69" s="284"/>
      <c r="I69" s="284"/>
      <c r="J69" s="284"/>
      <c r="K69" s="284"/>
      <c r="L69" s="284"/>
    </row>
    <row r="70" spans="1:27" x14ac:dyDescent="0.25">
      <c r="A70" s="268" t="s">
        <v>201</v>
      </c>
      <c r="B70" s="489" t="str">
        <f>'Extension 5G'!B59</f>
        <v>Consommation électrique du réseau 5G</v>
      </c>
      <c r="C70" s="206">
        <f>IF($A70="OUI",'Extension 5G'!D16,0)</f>
        <v>0</v>
      </c>
      <c r="D70" s="206">
        <f>IF($A70="OUI",'Extension 5G'!E16,0)</f>
        <v>0</v>
      </c>
      <c r="E70" s="206">
        <f>IF($A70="OUI",'Extension 5G'!F16,0)</f>
        <v>0</v>
      </c>
      <c r="F70" s="206">
        <f>IF($A70="OUI",'Extension 5G'!G16,0)</f>
        <v>0</v>
      </c>
      <c r="G70" s="206">
        <f>IF($A70="OUI",'Extension 5G'!H16,0)</f>
        <v>0</v>
      </c>
      <c r="H70" s="206">
        <f>IF($A70="OUI",'Extension 5G'!I16,0)</f>
        <v>0</v>
      </c>
      <c r="I70" s="206">
        <f>IF($A70="OUI",'Extension 5G'!J16,0)</f>
        <v>0</v>
      </c>
      <c r="J70" s="206">
        <f>IF($A70="OUI",'Extension 5G'!K16,0)</f>
        <v>0</v>
      </c>
      <c r="K70" s="206">
        <f>IF($A70="OUI",'Extension 5G'!L16,0)</f>
        <v>0</v>
      </c>
      <c r="L70" s="206">
        <f>IF($A70="OUI",'Extension 5G'!M16,0)</f>
        <v>434981.21273875708</v>
      </c>
      <c r="M70" s="206">
        <f>IF($A70="OUI",'Extension 5G'!N16,0)</f>
        <v>0</v>
      </c>
      <c r="N70" s="206">
        <f>IF($A70="OUI",'Extension 5G'!O16,0)</f>
        <v>0</v>
      </c>
      <c r="O70" s="206">
        <f>IF($A70="OUI",'Extension 5G'!P16,0)</f>
        <v>0</v>
      </c>
      <c r="P70" s="206">
        <f>IF($A70="OUI",'Extension 5G'!Q16,0)</f>
        <v>0</v>
      </c>
      <c r="Q70" s="206">
        <f>IF($A70="OUI",'Extension 5G'!R16,0)</f>
        <v>0</v>
      </c>
      <c r="R70" s="206">
        <f>IF($A70="OUI",'Extension 5G'!S16,0)</f>
        <v>0</v>
      </c>
      <c r="S70" s="206">
        <f>IF($A70="OUI",'Extension 5G'!T16,0)</f>
        <v>0</v>
      </c>
      <c r="T70" s="206">
        <f>IF($A70="OUI",'Extension 5G'!U16,0)</f>
        <v>0</v>
      </c>
      <c r="U70" s="206">
        <f>IF($A70="OUI",'Extension 5G'!V16,0)</f>
        <v>0</v>
      </c>
      <c r="V70" s="206">
        <f>IF($A70="OUI",'Extension 5G'!W16,0)</f>
        <v>0</v>
      </c>
      <c r="W70" s="206">
        <f>IF($A70="OUI",'Extension 5G'!X16,0)</f>
        <v>0</v>
      </c>
      <c r="X70" s="206">
        <f>IF($A70="OUI",'Extension 5G'!Y16,0)</f>
        <v>0</v>
      </c>
      <c r="Y70" s="206">
        <f>IF($A70="OUI",'Extension 5G'!Z16,0)</f>
        <v>0</v>
      </c>
      <c r="Z70" s="206">
        <f>IF($A70="OUI",'Extension 5G'!AA16,0)</f>
        <v>0</v>
      </c>
      <c r="AA70" s="206">
        <f>IF($A70="OUI",'Extension 5G'!AB16,0)</f>
        <v>0</v>
      </c>
    </row>
    <row r="71" spans="1:27" x14ac:dyDescent="0.25">
      <c r="A71" s="268" t="s">
        <v>201</v>
      </c>
      <c r="B71" s="208" t="str">
        <f>'Extension 5G'!B155</f>
        <v>Production de terminaux numériques additionnels</v>
      </c>
      <c r="C71" s="206">
        <f>IF($A71="OUI",'Extension 5G'!D17,0)</f>
        <v>0</v>
      </c>
      <c r="D71" s="206">
        <f>IF($A71="OUI",'Extension 5G'!E17,0)</f>
        <v>427.32077554035533</v>
      </c>
      <c r="E71" s="206">
        <f>IF($A71="OUI",'Extension 5G'!F17,0)</f>
        <v>855.04058018502076</v>
      </c>
      <c r="F71" s="206">
        <f>IF($A71="OUI",'Extension 5G'!G17,0)</f>
        <v>1240.453142660489</v>
      </c>
      <c r="G71" s="206">
        <f>IF($A71="OUI",'Extension 5G'!H17,0)</f>
        <v>1498.0410741889468</v>
      </c>
      <c r="H71" s="206">
        <f>IF($A71="OUI",'Extension 5G'!I17,0)</f>
        <v>1713.1295961226981</v>
      </c>
      <c r="I71" s="206">
        <f>IF($A71="OUI",'Extension 5G'!J17,0)</f>
        <v>1842.8890512685316</v>
      </c>
      <c r="J71" s="206">
        <f>IF($A71="OUI",'Extension 5G'!K17,0)</f>
        <v>1929.9910151240445</v>
      </c>
      <c r="K71" s="206">
        <f>IF($A71="OUI",'Extension 5G'!L17,0)</f>
        <v>1974.3750343959412</v>
      </c>
      <c r="L71" s="206">
        <f>IF($A71="OUI",'Extension 5G'!M17,0)</f>
        <v>2018.8133026611147</v>
      </c>
      <c r="M71" s="206">
        <f>IF($A71="OUI",'Extension 5G'!N17,0)</f>
        <v>0</v>
      </c>
      <c r="N71" s="206">
        <f>IF($A71="OUI",'Extension 5G'!O17,0)</f>
        <v>0</v>
      </c>
      <c r="O71" s="206">
        <f>IF($A71="OUI",'Extension 5G'!P17,0)</f>
        <v>0</v>
      </c>
      <c r="P71" s="206">
        <f>IF($A71="OUI",'Extension 5G'!Q17,0)</f>
        <v>0</v>
      </c>
      <c r="Q71" s="206">
        <f>IF($A71="OUI",'Extension 5G'!R17,0)</f>
        <v>0</v>
      </c>
      <c r="R71" s="206">
        <f>IF($A71="OUI",'Extension 5G'!S17,0)</f>
        <v>0</v>
      </c>
      <c r="S71" s="206">
        <f>IF($A71="OUI",'Extension 5G'!T17,0)</f>
        <v>0</v>
      </c>
      <c r="T71" s="206">
        <f>IF($A71="OUI",'Extension 5G'!U17,0)</f>
        <v>0</v>
      </c>
      <c r="U71" s="206">
        <f>IF($A71="OUI",'Extension 5G'!V17,0)</f>
        <v>0</v>
      </c>
      <c r="V71" s="206">
        <f>IF($A71="OUI",'Extension 5G'!W17,0)</f>
        <v>0</v>
      </c>
      <c r="W71" s="206">
        <f>IF($A71="OUI",'Extension 5G'!X17,0)</f>
        <v>0</v>
      </c>
      <c r="X71" s="206">
        <f>IF($A71="OUI",'Extension 5G'!Y17,0)</f>
        <v>0</v>
      </c>
      <c r="Y71" s="206">
        <f>IF($A71="OUI",'Extension 5G'!Z17,0)</f>
        <v>0</v>
      </c>
      <c r="Z71" s="206">
        <f>IF($A71="OUI",'Extension 5G'!AA17,0)</f>
        <v>0</v>
      </c>
      <c r="AA71" s="206">
        <f>IF($A71="OUI",'Extension 5G'!AB17,0)</f>
        <v>0</v>
      </c>
    </row>
    <row r="72" spans="1:27" x14ac:dyDescent="0.25">
      <c r="A72" s="268" t="s">
        <v>201</v>
      </c>
      <c r="B72" s="208" t="str">
        <f>'Extension 5G'!B263</f>
        <v>Utilisation de terminaux additionnels</v>
      </c>
      <c r="C72" s="206">
        <f>IF($A72="OUI",'Extension 5G'!D18,0)</f>
        <v>0</v>
      </c>
      <c r="D72" s="206">
        <f>IF($A72="OUI",'Extension 5G'!E18,0)</f>
        <v>25304.803190346563</v>
      </c>
      <c r="E72" s="206">
        <f>IF($A72="OUI",'Extension 5G'!F18,0)</f>
        <v>51062.28232932245</v>
      </c>
      <c r="F72" s="206">
        <f>IF($A72="OUI",'Extension 5G'!G18,0)</f>
        <v>74771.232863477009</v>
      </c>
      <c r="G72" s="206">
        <f>IF($A72="OUI",'Extension 5G'!H18,0)</f>
        <v>91310.303567464667</v>
      </c>
      <c r="H72" s="206">
        <f>IF($A72="OUI",'Extension 5G'!I18,0)</f>
        <v>105582.84259192065</v>
      </c>
      <c r="I72" s="206">
        <f>IF($A72="OUI",'Extension 5G'!J18,0)</f>
        <v>114947.67103654645</v>
      </c>
      <c r="J72" s="206">
        <f>IF($A72="OUI",'Extension 5G'!K18,0)</f>
        <v>121866.63305951189</v>
      </c>
      <c r="K72" s="206">
        <f>IF($A72="OUI",'Extension 5G'!L18,0)</f>
        <v>126271.14781898298</v>
      </c>
      <c r="L72" s="206">
        <f>IF($A72="OUI",'Extension 5G'!M18,0)</f>
        <v>130737.20499285133</v>
      </c>
      <c r="M72" s="206">
        <f>IF($A72="OUI",'Extension 5G'!N18,0)</f>
        <v>0</v>
      </c>
      <c r="N72" s="206">
        <f>IF($A72="OUI",'Extension 5G'!O18,0)</f>
        <v>0</v>
      </c>
      <c r="O72" s="206">
        <f>IF($A72="OUI",'Extension 5G'!P18,0)</f>
        <v>0</v>
      </c>
      <c r="P72" s="206">
        <f>IF($A72="OUI",'Extension 5G'!Q18,0)</f>
        <v>0</v>
      </c>
      <c r="Q72" s="206">
        <f>IF($A72="OUI",'Extension 5G'!R18,0)</f>
        <v>0</v>
      </c>
      <c r="R72" s="206">
        <f>IF($A72="OUI",'Extension 5G'!S18,0)</f>
        <v>0</v>
      </c>
      <c r="S72" s="206">
        <f>IF($A72="OUI",'Extension 5G'!T18,0)</f>
        <v>0</v>
      </c>
      <c r="T72" s="206">
        <f>IF($A72="OUI",'Extension 5G'!U18,0)</f>
        <v>0</v>
      </c>
      <c r="U72" s="206">
        <f>IF($A72="OUI",'Extension 5G'!V18,0)</f>
        <v>0</v>
      </c>
      <c r="V72" s="206">
        <f>IF($A72="OUI",'Extension 5G'!W18,0)</f>
        <v>0</v>
      </c>
      <c r="W72" s="206">
        <f>IF($A72="OUI",'Extension 5G'!X18,0)</f>
        <v>0</v>
      </c>
      <c r="X72" s="206">
        <f>IF($A72="OUI",'Extension 5G'!Y18,0)</f>
        <v>0</v>
      </c>
      <c r="Y72" s="206">
        <f>IF($A72="OUI",'Extension 5G'!Z18,0)</f>
        <v>0</v>
      </c>
      <c r="Z72" s="206">
        <f>IF($A72="OUI",'Extension 5G'!AA18,0)</f>
        <v>0</v>
      </c>
      <c r="AA72" s="206">
        <f>IF($A72="OUI",'Extension 5G'!AB18,0)</f>
        <v>0</v>
      </c>
    </row>
    <row r="73" spans="1:27" x14ac:dyDescent="0.25">
      <c r="A73" s="268" t="s">
        <v>201</v>
      </c>
      <c r="B73" s="489" t="str">
        <f>'Extension 5G'!B323</f>
        <v>Augmentation de la consommation de données 
dans les terminaux utilisateurs (End Users)</v>
      </c>
      <c r="C73" s="206">
        <f>IF($A73="OUI",'Extension 5G'!D19,0)</f>
        <v>0</v>
      </c>
      <c r="D73" s="206">
        <f>IF($A73="OUI",'Extension 5G'!E19,0)</f>
        <v>64.517246581944164</v>
      </c>
      <c r="E73" s="206">
        <f>IF($A73="OUI",'Extension 5G'!F19,0)</f>
        <v>148.38966713847151</v>
      </c>
      <c r="F73" s="206">
        <f>IF($A73="OUI",'Extension 5G'!G19,0)</f>
        <v>256.13346893031826</v>
      </c>
      <c r="G73" s="206">
        <f>IF($A73="OUI",'Extension 5G'!H19,0)</f>
        <v>393.23261791694972</v>
      </c>
      <c r="H73" s="206">
        <f>IF($A73="OUI",'Extension 5G'!I19,0)</f>
        <v>566.33884222096412</v>
      </c>
      <c r="I73" s="206">
        <f>IF($A73="OUI",'Extension 5G'!J19,0)</f>
        <v>783.51228145784376</v>
      </c>
      <c r="J73" s="206">
        <f>IF($A73="OUI",'Extension 5G'!K19,0)</f>
        <v>1054.5109756213683</v>
      </c>
      <c r="K73" s="206">
        <f>IF($A73="OUI",'Extension 5G'!L19,0)</f>
        <v>1391.1390324047932</v>
      </c>
      <c r="L73" s="206">
        <f>IF($A73="OUI",'Extension 5G'!M19,0)</f>
        <v>1807.6652867108182</v>
      </c>
      <c r="M73" s="206">
        <f>IF($A73="OUI",'Extension 5G'!N19,0)</f>
        <v>0</v>
      </c>
      <c r="N73" s="206">
        <f>IF($A73="OUI",'Extension 5G'!O19,0)</f>
        <v>0</v>
      </c>
      <c r="O73" s="206">
        <f>IF($A73="OUI",'Extension 5G'!P19,0)</f>
        <v>0</v>
      </c>
      <c r="P73" s="206">
        <f>IF($A73="OUI",'Extension 5G'!Q19,0)</f>
        <v>0</v>
      </c>
      <c r="Q73" s="206">
        <f>IF($A73="OUI",'Extension 5G'!R19,0)</f>
        <v>0</v>
      </c>
      <c r="R73" s="206">
        <f>IF($A73="OUI",'Extension 5G'!S19,0)</f>
        <v>0</v>
      </c>
      <c r="S73" s="206">
        <f>IF($A73="OUI",'Extension 5G'!T19,0)</f>
        <v>0</v>
      </c>
      <c r="T73" s="206">
        <f>IF($A73="OUI",'Extension 5G'!U19,0)</f>
        <v>0</v>
      </c>
      <c r="U73" s="206">
        <f>IF($A73="OUI",'Extension 5G'!V19,0)</f>
        <v>0</v>
      </c>
      <c r="V73" s="206">
        <f>IF($A73="OUI",'Extension 5G'!W19,0)</f>
        <v>0</v>
      </c>
      <c r="W73" s="206">
        <f>IF($A73="OUI",'Extension 5G'!X19,0)</f>
        <v>0</v>
      </c>
      <c r="X73" s="206">
        <f>IF($A73="OUI",'Extension 5G'!Y19,0)</f>
        <v>0</v>
      </c>
      <c r="Y73" s="206">
        <f>IF($A73="OUI",'Extension 5G'!Z19,0)</f>
        <v>0</v>
      </c>
      <c r="Z73" s="206">
        <f>IF($A73="OUI",'Extension 5G'!AA19,0)</f>
        <v>0</v>
      </c>
      <c r="AA73" s="206">
        <f>IF($A73="OUI",'Extension 5G'!AB19,0)</f>
        <v>0</v>
      </c>
    </row>
    <row r="74" spans="1:27" x14ac:dyDescent="0.25">
      <c r="A74" s="268" t="s">
        <v>201</v>
      </c>
      <c r="B74" s="489" t="str">
        <f>'Extension 5G'!B353</f>
        <v>Augmentation de la consommation de données 
dans les data-centers (Within data-centers)</v>
      </c>
      <c r="C74" s="206">
        <f>IF($A74="OUI",'Extension 5G'!D20,0)</f>
        <v>0</v>
      </c>
      <c r="D74" s="206">
        <f>IF($A74="OUI",'Extension 5G'!E20,0)</f>
        <v>354.8448562006929</v>
      </c>
      <c r="E74" s="206">
        <f>IF($A74="OUI",'Extension 5G'!F20,0)</f>
        <v>816.14316926159427</v>
      </c>
      <c r="F74" s="206">
        <f>IF($A74="OUI",'Extension 5G'!G20,0)</f>
        <v>1408.7340791167517</v>
      </c>
      <c r="G74" s="206">
        <f>IF($A74="OUI",'Extension 5G'!H20,0)</f>
        <v>2162.7793985432245</v>
      </c>
      <c r="H74" s="206">
        <f>IF($A74="OUI",'Extension 5G'!I20,0)</f>
        <v>3114.8636322153043</v>
      </c>
      <c r="I74" s="206">
        <f>IF($A74="OUI",'Extension 5G'!J20,0)</f>
        <v>4309.3175480181435</v>
      </c>
      <c r="J74" s="206">
        <f>IF($A74="OUI",'Extension 5G'!K20,0)</f>
        <v>5799.8103659175276</v>
      </c>
      <c r="K74" s="206">
        <f>IF($A74="OUI",'Extension 5G'!L20,0)</f>
        <v>7651.2646782263646</v>
      </c>
      <c r="L74" s="206">
        <f>IF($A74="OUI",'Extension 5G'!M20,0)</f>
        <v>9942.1590769095001</v>
      </c>
      <c r="M74" s="206">
        <f>IF($A74="OUI",'Extension 5G'!N20,0)</f>
        <v>0</v>
      </c>
      <c r="N74" s="206">
        <f>IF($A74="OUI",'Extension 5G'!O20,0)</f>
        <v>0</v>
      </c>
      <c r="O74" s="206">
        <f>IF($A74="OUI",'Extension 5G'!P20,0)</f>
        <v>0</v>
      </c>
      <c r="P74" s="206">
        <f>IF($A74="OUI",'Extension 5G'!Q20,0)</f>
        <v>0</v>
      </c>
      <c r="Q74" s="206">
        <f>IF($A74="OUI",'Extension 5G'!R20,0)</f>
        <v>0</v>
      </c>
      <c r="R74" s="206">
        <f>IF($A74="OUI",'Extension 5G'!S20,0)</f>
        <v>0</v>
      </c>
      <c r="S74" s="206">
        <f>IF($A74="OUI",'Extension 5G'!T20,0)</f>
        <v>0</v>
      </c>
      <c r="T74" s="206">
        <f>IF($A74="OUI",'Extension 5G'!U20,0)</f>
        <v>0</v>
      </c>
      <c r="U74" s="206">
        <f>IF($A74="OUI",'Extension 5G'!V20,0)</f>
        <v>0</v>
      </c>
      <c r="V74" s="206">
        <f>IF($A74="OUI",'Extension 5G'!W20,0)</f>
        <v>0</v>
      </c>
      <c r="W74" s="206">
        <f>IF($A74="OUI",'Extension 5G'!X20,0)</f>
        <v>0</v>
      </c>
      <c r="X74" s="206">
        <f>IF($A74="OUI",'Extension 5G'!Y20,0)</f>
        <v>0</v>
      </c>
      <c r="Y74" s="206">
        <f>IF($A74="OUI",'Extension 5G'!Z20,0)</f>
        <v>0</v>
      </c>
      <c r="Z74" s="206">
        <f>IF($A74="OUI",'Extension 5G'!AA20,0)</f>
        <v>0</v>
      </c>
      <c r="AA74" s="206">
        <f>IF($A74="OUI",'Extension 5G'!AB20,0)</f>
        <v>0</v>
      </c>
    </row>
    <row r="75" spans="1:27" x14ac:dyDescent="0.25">
      <c r="C75" s="284"/>
      <c r="D75" s="284"/>
      <c r="E75" s="284"/>
      <c r="F75" s="284"/>
      <c r="G75" s="284"/>
      <c r="H75" s="284"/>
      <c r="I75" s="284"/>
      <c r="J75" s="284"/>
      <c r="K75" s="284"/>
      <c r="L75" s="284"/>
    </row>
    <row r="76" spans="1:27" x14ac:dyDescent="0.25">
      <c r="A76" s="146" t="s">
        <v>1305</v>
      </c>
      <c r="C76" s="284"/>
      <c r="D76" s="284"/>
      <c r="E76" s="284"/>
      <c r="F76" s="284"/>
      <c r="G76" s="284"/>
      <c r="H76" s="284"/>
      <c r="I76" s="284"/>
      <c r="J76" s="284"/>
      <c r="K76" s="284"/>
      <c r="L76" s="284"/>
    </row>
    <row r="77" spans="1:27" x14ac:dyDescent="0.25">
      <c r="A77" s="268" t="s">
        <v>201</v>
      </c>
      <c r="B77" s="205" t="s">
        <v>1322</v>
      </c>
      <c r="C77" s="206">
        <f>IF($A77="OUI",SUM(C80:C81),0)</f>
        <v>-175000</v>
      </c>
      <c r="D77" s="206">
        <f t="shared" ref="D77:AA77" si="12">IF($A77="OUI",SUM(D80:D81),0)</f>
        <v>-341250</v>
      </c>
      <c r="E77" s="206">
        <f t="shared" si="12"/>
        <v>-499187.5</v>
      </c>
      <c r="F77" s="206">
        <f t="shared" si="12"/>
        <v>-649228.125</v>
      </c>
      <c r="G77" s="206">
        <f t="shared" si="12"/>
        <v>-791766.71875</v>
      </c>
      <c r="H77" s="206">
        <f t="shared" si="12"/>
        <v>-927178.3828125</v>
      </c>
      <c r="I77" s="206">
        <f t="shared" si="12"/>
        <v>-1055819.4636718752</v>
      </c>
      <c r="J77" s="206">
        <f t="shared" si="12"/>
        <v>-1178028.4904882815</v>
      </c>
      <c r="K77" s="206">
        <f t="shared" si="12"/>
        <v>-1294127.0659638676</v>
      </c>
      <c r="L77" s="206">
        <f t="shared" si="12"/>
        <v>-1404420.7126656743</v>
      </c>
      <c r="M77" s="206">
        <f t="shared" si="12"/>
        <v>-1509199.6770323906</v>
      </c>
      <c r="N77" s="206">
        <f t="shared" si="12"/>
        <v>-1608739.6931807713</v>
      </c>
      <c r="O77" s="206">
        <f t="shared" si="12"/>
        <v>-1703302.7085217328</v>
      </c>
      <c r="P77" s="206">
        <f t="shared" si="12"/>
        <v>-1793137.5730956465</v>
      </c>
      <c r="Q77" s="206">
        <f t="shared" si="12"/>
        <v>-1878480.6944408643</v>
      </c>
      <c r="R77" s="206">
        <f t="shared" si="12"/>
        <v>-1959556.6597188213</v>
      </c>
      <c r="S77" s="206">
        <f t="shared" si="12"/>
        <v>-2036578.8267328802</v>
      </c>
      <c r="T77" s="206">
        <f t="shared" si="12"/>
        <v>-2109749.8853962366</v>
      </c>
      <c r="U77" s="206">
        <f t="shared" si="12"/>
        <v>-2179262.3911264245</v>
      </c>
      <c r="V77" s="206">
        <f t="shared" si="12"/>
        <v>-2245299.2715701032</v>
      </c>
      <c r="W77" s="206">
        <f>IF($A77="OUI",SUM(W80:W81),0)</f>
        <v>0</v>
      </c>
      <c r="X77" s="206">
        <f t="shared" si="12"/>
        <v>0</v>
      </c>
      <c r="Y77" s="206">
        <f t="shared" si="12"/>
        <v>0</v>
      </c>
      <c r="Z77" s="206">
        <f t="shared" si="12"/>
        <v>0</v>
      </c>
      <c r="AA77" s="206">
        <f t="shared" si="12"/>
        <v>0</v>
      </c>
    </row>
    <row r="78" spans="1:27" x14ac:dyDescent="0.25">
      <c r="C78" s="284"/>
      <c r="D78" s="284"/>
      <c r="E78" s="284"/>
      <c r="F78" s="284"/>
      <c r="G78" s="284"/>
      <c r="H78" s="284"/>
      <c r="I78" s="284"/>
      <c r="J78" s="284"/>
      <c r="K78" s="284"/>
      <c r="L78" s="284"/>
    </row>
    <row r="79" spans="1:27" x14ac:dyDescent="0.25">
      <c r="A79" s="146" t="s">
        <v>1304</v>
      </c>
      <c r="C79" s="284"/>
      <c r="D79" s="284"/>
      <c r="E79" s="284"/>
      <c r="F79" s="284"/>
      <c r="G79" s="284"/>
      <c r="H79" s="284"/>
      <c r="I79" s="284"/>
      <c r="J79" s="284"/>
      <c r="K79" s="284"/>
      <c r="L79" s="284"/>
    </row>
    <row r="80" spans="1:27" x14ac:dyDescent="0.25">
      <c r="A80" s="268" t="s">
        <v>201</v>
      </c>
      <c r="B80" s="208" t="str">
        <f>'Pratiques agricoles'!B29</f>
        <v>Evolution des pratiques agricoles grâce à des réseaux sociaux (agroécologie connectée)</v>
      </c>
      <c r="C80" s="206">
        <f>IF($A80="OUI",'Pratiques agricoles'!D17,0)</f>
        <v>0</v>
      </c>
      <c r="D80" s="206">
        <f>IF($A80="OUI",'Pratiques agricoles'!E17,0)</f>
        <v>0</v>
      </c>
      <c r="E80" s="206">
        <f>IF($A80="OUI",'Pratiques agricoles'!F17,0)</f>
        <v>0</v>
      </c>
      <c r="F80" s="206">
        <f>IF($A80="OUI",'Pratiques agricoles'!G17,0)</f>
        <v>0</v>
      </c>
      <c r="G80" s="206">
        <f>IF($A80="OUI",'Pratiques agricoles'!H17,0)</f>
        <v>0</v>
      </c>
      <c r="H80" s="206">
        <f>IF($A80="OUI",'Pratiques agricoles'!I17,0)</f>
        <v>0</v>
      </c>
      <c r="I80" s="206">
        <f>IF($A80="OUI",'Pratiques agricoles'!J17,0)</f>
        <v>0</v>
      </c>
      <c r="J80" s="206">
        <f>IF($A80="OUI",'Pratiques agricoles'!K17,0)</f>
        <v>0</v>
      </c>
      <c r="K80" s="206">
        <f>IF($A80="OUI",'Pratiques agricoles'!L17,0)</f>
        <v>0</v>
      </c>
      <c r="L80" s="206">
        <f>IF($A80="OUI",'Pratiques agricoles'!M17,0)</f>
        <v>0</v>
      </c>
      <c r="M80" s="206">
        <f>IF($A80="OUI",'Pratiques agricoles'!N17,0)</f>
        <v>0</v>
      </c>
      <c r="N80" s="206">
        <f>IF($A80="OUI",'Pratiques agricoles'!O17,0)</f>
        <v>0</v>
      </c>
      <c r="O80" s="206">
        <f>IF($A80="OUI",'Pratiques agricoles'!P17,0)</f>
        <v>0</v>
      </c>
      <c r="P80" s="206">
        <f>IF($A80="OUI",'Pratiques agricoles'!Q17,0)</f>
        <v>0</v>
      </c>
      <c r="Q80" s="206">
        <f>IF($A80="OUI",'Pratiques agricoles'!R17,0)</f>
        <v>0</v>
      </c>
      <c r="R80" s="206">
        <f>IF($A80="OUI",'Pratiques agricoles'!S17,0)</f>
        <v>0</v>
      </c>
      <c r="S80" s="206">
        <f>IF($A80="OUI",'Pratiques agricoles'!T17,0)</f>
        <v>0</v>
      </c>
      <c r="T80" s="206">
        <f>IF($A80="OUI",'Pratiques agricoles'!U17,0)</f>
        <v>0</v>
      </c>
      <c r="U80" s="206">
        <f>IF($A80="OUI",'Pratiques agricoles'!V17,0)</f>
        <v>0</v>
      </c>
      <c r="V80" s="206">
        <f>IF($A80="OUI",'Pratiques agricoles'!W17,0)</f>
        <v>0</v>
      </c>
      <c r="W80" s="206" t="str">
        <f>IF($A80="OUI",'Pratiques agricoles'!X17,0)</f>
        <v/>
      </c>
      <c r="X80" s="206" t="str">
        <f>IF($A80="OUI",'Pratiques agricoles'!Y17,0)</f>
        <v/>
      </c>
      <c r="Y80" s="206" t="str">
        <f>IF($A80="OUI",'Pratiques agricoles'!Z17,0)</f>
        <v/>
      </c>
      <c r="Z80" s="206" t="str">
        <f>IF($A80="OUI",'Pratiques agricoles'!AA17,0)</f>
        <v/>
      </c>
      <c r="AA80" s="206" t="str">
        <f>IF($A80="OUI",'Pratiques agricoles'!AB17,0)</f>
        <v/>
      </c>
    </row>
    <row r="81" spans="1:27" x14ac:dyDescent="0.25">
      <c r="A81" s="268" t="s">
        <v>201</v>
      </c>
      <c r="B81" s="208" t="str">
        <f>'Pratiques agricoles'!B92</f>
        <v>Evolution des pratiques agricoles grâce à des applications 5G (agriculture de précision)</v>
      </c>
      <c r="C81" s="206">
        <f>IF($A81="OUI",'Pratiques agricoles'!D18,0)</f>
        <v>-175000</v>
      </c>
      <c r="D81" s="206">
        <f>IF($A81="OUI",'Pratiques agricoles'!E18,0)</f>
        <v>-341250</v>
      </c>
      <c r="E81" s="206">
        <f>IF($A81="OUI",'Pratiques agricoles'!F18,0)</f>
        <v>-499187.5</v>
      </c>
      <c r="F81" s="206">
        <f>IF($A81="OUI",'Pratiques agricoles'!G18,0)</f>
        <v>-649228.125</v>
      </c>
      <c r="G81" s="206">
        <f>IF($A81="OUI",'Pratiques agricoles'!H18,0)</f>
        <v>-791766.71875</v>
      </c>
      <c r="H81" s="206">
        <f>IF($A81="OUI",'Pratiques agricoles'!I18,0)</f>
        <v>-927178.3828125</v>
      </c>
      <c r="I81" s="206">
        <f>IF($A81="OUI",'Pratiques agricoles'!J18,0)</f>
        <v>-1055819.4636718752</v>
      </c>
      <c r="J81" s="206">
        <f>IF($A81="OUI",'Pratiques agricoles'!K18,0)</f>
        <v>-1178028.4904882815</v>
      </c>
      <c r="K81" s="206">
        <f>IF($A81="OUI",'Pratiques agricoles'!L18,0)</f>
        <v>-1294127.0659638676</v>
      </c>
      <c r="L81" s="206">
        <f>IF($A81="OUI",'Pratiques agricoles'!M18,0)</f>
        <v>-1404420.7126656743</v>
      </c>
      <c r="M81" s="206">
        <f>IF($A81="OUI",'Pratiques agricoles'!N18,0)</f>
        <v>-1509199.6770323906</v>
      </c>
      <c r="N81" s="206">
        <f>IF($A81="OUI",'Pratiques agricoles'!O18,0)</f>
        <v>-1608739.6931807713</v>
      </c>
      <c r="O81" s="206">
        <f>IF($A81="OUI",'Pratiques agricoles'!P18,0)</f>
        <v>-1703302.7085217328</v>
      </c>
      <c r="P81" s="206">
        <f>IF($A81="OUI",'Pratiques agricoles'!Q18,0)</f>
        <v>-1793137.5730956465</v>
      </c>
      <c r="Q81" s="206">
        <f>IF($A81="OUI",'Pratiques agricoles'!R18,0)</f>
        <v>-1878480.6944408643</v>
      </c>
      <c r="R81" s="206">
        <f>IF($A81="OUI",'Pratiques agricoles'!S18,0)</f>
        <v>-1959556.6597188213</v>
      </c>
      <c r="S81" s="206">
        <f>IF($A81="OUI",'Pratiques agricoles'!T18,0)</f>
        <v>-2036578.8267328802</v>
      </c>
      <c r="T81" s="206">
        <f>IF($A81="OUI",'Pratiques agricoles'!U18,0)</f>
        <v>-2109749.8853962366</v>
      </c>
      <c r="U81" s="206">
        <f>IF($A81="OUI",'Pratiques agricoles'!V18,0)</f>
        <v>-2179262.3911264245</v>
      </c>
      <c r="V81" s="206">
        <f>IF($A81="OUI",'Pratiques agricoles'!W18,0)</f>
        <v>-2245299.2715701032</v>
      </c>
      <c r="W81" s="206" t="str">
        <f>IF($A81="OUI",'Pratiques agricoles'!X18,0)</f>
        <v/>
      </c>
      <c r="X81" s="206" t="str">
        <f>IF($A81="OUI",'Pratiques agricoles'!Y18,0)</f>
        <v/>
      </c>
      <c r="Y81" s="206" t="str">
        <f>IF($A81="OUI",'Pratiques agricoles'!Z18,0)</f>
        <v/>
      </c>
      <c r="Z81" s="206" t="str">
        <f>IF($A81="OUI",'Pratiques agricoles'!AA18,0)</f>
        <v/>
      </c>
      <c r="AA81" s="206" t="str">
        <f>IF($A81="OUI",'Pratiques agricoles'!AB18,0)</f>
        <v/>
      </c>
    </row>
    <row r="83" spans="1:27" x14ac:dyDescent="0.25">
      <c r="A83" s="146" t="s">
        <v>1308</v>
      </c>
    </row>
    <row r="84" spans="1:27" x14ac:dyDescent="0.25">
      <c r="A84" s="268" t="s">
        <v>201</v>
      </c>
      <c r="B84" s="205" t="s">
        <v>865</v>
      </c>
      <c r="C84" s="206">
        <f>IF($A84="OUI",SUM(C87:C90),0)</f>
        <v>-884.88838397000052</v>
      </c>
      <c r="D84" s="206">
        <f t="shared" ref="D84:AA84" si="13">IF($A84="OUI",SUM(D87:D90),0)</f>
        <v>-884.88838397000052</v>
      </c>
      <c r="E84" s="206">
        <f t="shared" si="13"/>
        <v>-884.88838397000052</v>
      </c>
      <c r="F84" s="206">
        <f t="shared" si="13"/>
        <v>-884.88838397000052</v>
      </c>
      <c r="G84" s="206">
        <f t="shared" si="13"/>
        <v>-884.88838397000052</v>
      </c>
      <c r="H84" s="206">
        <f t="shared" si="13"/>
        <v>-884.88838397000052</v>
      </c>
      <c r="I84" s="206">
        <f t="shared" si="13"/>
        <v>-884.88838397000052</v>
      </c>
      <c r="J84" s="206">
        <f t="shared" si="13"/>
        <v>-884.88838397000052</v>
      </c>
      <c r="K84" s="206">
        <f t="shared" si="13"/>
        <v>-884.88838397000052</v>
      </c>
      <c r="L84" s="206">
        <f t="shared" si="13"/>
        <v>-884.88838397000052</v>
      </c>
      <c r="M84" s="206">
        <f t="shared" si="13"/>
        <v>-884.88838397000052</v>
      </c>
      <c r="N84" s="206">
        <f t="shared" si="13"/>
        <v>-884.88838397000052</v>
      </c>
      <c r="O84" s="206">
        <f t="shared" si="13"/>
        <v>-884.88838397000052</v>
      </c>
      <c r="P84" s="206">
        <f t="shared" si="13"/>
        <v>-884.88838397000052</v>
      </c>
      <c r="Q84" s="206">
        <f t="shared" si="13"/>
        <v>-884.88838397000052</v>
      </c>
      <c r="R84" s="206">
        <f t="shared" si="13"/>
        <v>-884.88838397000052</v>
      </c>
      <c r="S84" s="206">
        <f t="shared" si="13"/>
        <v>-884.88838397000052</v>
      </c>
      <c r="T84" s="206">
        <f t="shared" si="13"/>
        <v>-884.88838397000052</v>
      </c>
      <c r="U84" s="206">
        <f t="shared" si="13"/>
        <v>-884.88838397000052</v>
      </c>
      <c r="V84" s="206">
        <f t="shared" si="13"/>
        <v>-884.88838397000052</v>
      </c>
      <c r="W84" s="206">
        <f t="shared" si="13"/>
        <v>0</v>
      </c>
      <c r="X84" s="206">
        <f t="shared" si="13"/>
        <v>0</v>
      </c>
      <c r="Y84" s="206">
        <f t="shared" si="13"/>
        <v>0</v>
      </c>
      <c r="Z84" s="206">
        <f t="shared" si="13"/>
        <v>0</v>
      </c>
      <c r="AA84" s="206">
        <f t="shared" si="13"/>
        <v>0</v>
      </c>
    </row>
    <row r="86" spans="1:27" x14ac:dyDescent="0.25">
      <c r="A86" s="146" t="s">
        <v>1306</v>
      </c>
    </row>
    <row r="87" spans="1:27" x14ac:dyDescent="0.25">
      <c r="A87" s="268" t="s">
        <v>201</v>
      </c>
      <c r="B87" s="208" t="str">
        <f>'Deforestation Imagerie Satellit'!B20</f>
        <v>Production des équipements : imagerie satellite</v>
      </c>
      <c r="C87" s="206">
        <f>IF($A87="OUI",'Deforestation Imagerie Satellit'!D12,0)</f>
        <v>703.54213653090005</v>
      </c>
      <c r="D87" s="206">
        <f>IF($A87="OUI",'Deforestation Imagerie Satellit'!E12,0)</f>
        <v>703.54213653090005</v>
      </c>
      <c r="E87" s="206">
        <f>IF($A87="OUI",'Deforestation Imagerie Satellit'!F12,0)</f>
        <v>703.54213653090005</v>
      </c>
      <c r="F87" s="206">
        <f>IF($A87="OUI",'Deforestation Imagerie Satellit'!G12,0)</f>
        <v>703.54213653090005</v>
      </c>
      <c r="G87" s="206">
        <f>IF($A87="OUI",'Deforestation Imagerie Satellit'!H12,0)</f>
        <v>703.54213653090005</v>
      </c>
      <c r="H87" s="206">
        <f>IF($A87="OUI",'Deforestation Imagerie Satellit'!I12,0)</f>
        <v>703.54213653090005</v>
      </c>
      <c r="I87" s="206">
        <f>IF($A87="OUI",'Deforestation Imagerie Satellit'!J12,0)</f>
        <v>703.54213653090005</v>
      </c>
      <c r="J87" s="206">
        <f>IF($A87="OUI",'Deforestation Imagerie Satellit'!K12,0)</f>
        <v>703.54213653090005</v>
      </c>
      <c r="K87" s="206">
        <f>IF($A87="OUI",'Deforestation Imagerie Satellit'!L12,0)</f>
        <v>703.54213653090005</v>
      </c>
      <c r="L87" s="206">
        <f>IF($A87="OUI",'Deforestation Imagerie Satellit'!M12,0)</f>
        <v>703.54213653090005</v>
      </c>
      <c r="M87" s="206">
        <f>IF($A87="OUI",'Deforestation Imagerie Satellit'!N12,0)</f>
        <v>703.54213653090005</v>
      </c>
      <c r="N87" s="206">
        <f>IF($A87="OUI",'Deforestation Imagerie Satellit'!O12,0)</f>
        <v>703.54213653090005</v>
      </c>
      <c r="O87" s="206">
        <f>IF($A87="OUI",'Deforestation Imagerie Satellit'!P12,0)</f>
        <v>703.54213653090005</v>
      </c>
      <c r="P87" s="206">
        <f>IF($A87="OUI",'Deforestation Imagerie Satellit'!Q12,0)</f>
        <v>703.54213653090005</v>
      </c>
      <c r="Q87" s="206">
        <f>IF($A87="OUI",'Deforestation Imagerie Satellit'!R12,0)</f>
        <v>703.54213653090005</v>
      </c>
      <c r="R87" s="206">
        <f>IF($A87="OUI",'Deforestation Imagerie Satellit'!S12,0)</f>
        <v>703.54213653090005</v>
      </c>
      <c r="S87" s="206">
        <f>IF($A87="OUI",'Deforestation Imagerie Satellit'!T12,0)</f>
        <v>703.54213653090005</v>
      </c>
      <c r="T87" s="206">
        <f>IF($A87="OUI",'Deforestation Imagerie Satellit'!U12,0)</f>
        <v>703.54213653090005</v>
      </c>
      <c r="U87" s="206">
        <f>IF($A87="OUI",'Deforestation Imagerie Satellit'!V12,0)</f>
        <v>703.54213653090005</v>
      </c>
      <c r="V87" s="206">
        <f>IF($A87="OUI",'Deforestation Imagerie Satellit'!W12,0)</f>
        <v>703.54213653090005</v>
      </c>
      <c r="W87" s="206" t="str">
        <f>IF($A87="OUI",'Deforestation Imagerie Satellit'!X12,0)</f>
        <v/>
      </c>
      <c r="X87" s="206" t="str">
        <f>IF($A87="OUI",'Deforestation Imagerie Satellit'!Y12,0)</f>
        <v/>
      </c>
      <c r="Y87" s="206" t="str">
        <f>IF($A87="OUI",'Deforestation Imagerie Satellit'!Z12,0)</f>
        <v/>
      </c>
      <c r="Z87" s="206" t="str">
        <f>IF($A87="OUI",'Deforestation Imagerie Satellit'!AA12,0)</f>
        <v/>
      </c>
      <c r="AA87" s="206" t="str">
        <f>IF($A87="OUI",'Deforestation Imagerie Satellit'!AB12,0)</f>
        <v/>
      </c>
    </row>
    <row r="88" spans="1:27" x14ac:dyDescent="0.25">
      <c r="A88" s="268" t="s">
        <v>201</v>
      </c>
      <c r="B88" s="489" t="str">
        <f>'Deforestation Imagerie Satellit'!B52</f>
        <v>Phase utilisation : imagerie satellite</v>
      </c>
      <c r="C88" s="206">
        <f>IF($A88="OUI",'Deforestation Imagerie Satellit'!D13,0)</f>
        <v>1.0398528324148453</v>
      </c>
      <c r="D88" s="206">
        <f>IF($A88="OUI",'Deforestation Imagerie Satellit'!E13,0)</f>
        <v>1.0398528324148453</v>
      </c>
      <c r="E88" s="206">
        <f>IF($A88="OUI",'Deforestation Imagerie Satellit'!F13,0)</f>
        <v>1.0398528324148453</v>
      </c>
      <c r="F88" s="206">
        <f>IF($A88="OUI",'Deforestation Imagerie Satellit'!G13,0)</f>
        <v>1.0398528324148453</v>
      </c>
      <c r="G88" s="206">
        <f>IF($A88="OUI",'Deforestation Imagerie Satellit'!H13,0)</f>
        <v>1.0398528324148453</v>
      </c>
      <c r="H88" s="206">
        <f>IF($A88="OUI",'Deforestation Imagerie Satellit'!I13,0)</f>
        <v>1.0398528324148453</v>
      </c>
      <c r="I88" s="206">
        <f>IF($A88="OUI",'Deforestation Imagerie Satellit'!J13,0)</f>
        <v>1.0398528324148453</v>
      </c>
      <c r="J88" s="206">
        <f>IF($A88="OUI",'Deforestation Imagerie Satellit'!K13,0)</f>
        <v>1.0398528324148453</v>
      </c>
      <c r="K88" s="206">
        <f>IF($A88="OUI",'Deforestation Imagerie Satellit'!L13,0)</f>
        <v>1.0398528324148453</v>
      </c>
      <c r="L88" s="206">
        <f>IF($A88="OUI",'Deforestation Imagerie Satellit'!M13,0)</f>
        <v>1.0398528324148453</v>
      </c>
      <c r="M88" s="206">
        <f>IF($A88="OUI",'Deforestation Imagerie Satellit'!N13,0)</f>
        <v>1.0398528324148453</v>
      </c>
      <c r="N88" s="206">
        <f>IF($A88="OUI",'Deforestation Imagerie Satellit'!O13,0)</f>
        <v>1.0398528324148453</v>
      </c>
      <c r="O88" s="206">
        <f>IF($A88="OUI",'Deforestation Imagerie Satellit'!P13,0)</f>
        <v>1.0398528324148453</v>
      </c>
      <c r="P88" s="206">
        <f>IF($A88="OUI",'Deforestation Imagerie Satellit'!Q13,0)</f>
        <v>1.0398528324148453</v>
      </c>
      <c r="Q88" s="206">
        <f>IF($A88="OUI",'Deforestation Imagerie Satellit'!R13,0)</f>
        <v>1.0398528324148453</v>
      </c>
      <c r="R88" s="206">
        <f>IF($A88="OUI",'Deforestation Imagerie Satellit'!S13,0)</f>
        <v>1.0398528324148453</v>
      </c>
      <c r="S88" s="206">
        <f>IF($A88="OUI",'Deforestation Imagerie Satellit'!T13,0)</f>
        <v>1.0398528324148453</v>
      </c>
      <c r="T88" s="206">
        <f>IF($A88="OUI",'Deforestation Imagerie Satellit'!U13,0)</f>
        <v>1.0398528324148453</v>
      </c>
      <c r="U88" s="206">
        <f>IF($A88="OUI",'Deforestation Imagerie Satellit'!V13,0)</f>
        <v>1.0398528324148453</v>
      </c>
      <c r="V88" s="206">
        <f>IF($A88="OUI",'Deforestation Imagerie Satellit'!W13,0)</f>
        <v>1.0398528324148453</v>
      </c>
      <c r="W88" s="206" t="str">
        <f>IF($A88="OUI",'Deforestation Imagerie Satellit'!X13,0)</f>
        <v/>
      </c>
      <c r="X88" s="206" t="str">
        <f>IF($A88="OUI",'Deforestation Imagerie Satellit'!Y13,0)</f>
        <v/>
      </c>
      <c r="Y88" s="206" t="str">
        <f>IF($A88="OUI",'Deforestation Imagerie Satellit'!Z13,0)</f>
        <v/>
      </c>
      <c r="Z88" s="206" t="str">
        <f>IF($A88="OUI",'Deforestation Imagerie Satellit'!AA13,0)</f>
        <v/>
      </c>
      <c r="AA88" s="206" t="str">
        <f>IF($A88="OUI",'Deforestation Imagerie Satellit'!AB13,0)</f>
        <v/>
      </c>
    </row>
    <row r="89" spans="1:27" x14ac:dyDescent="0.25">
      <c r="A89" s="268" t="s">
        <v>201</v>
      </c>
      <c r="B89" s="208" t="str">
        <f>'Deforestation Imagerie Satellit'!B80</f>
        <v>Emissions liées à la reforestation</v>
      </c>
      <c r="C89" s="206">
        <f>IF($A89="OUI",'Deforestation Imagerie Satellit'!D14,0)</f>
        <v>-1320</v>
      </c>
      <c r="D89" s="206">
        <f>IF($A89="OUI",'Deforestation Imagerie Satellit'!E14,0)</f>
        <v>-1320</v>
      </c>
      <c r="E89" s="206">
        <f>IF($A89="OUI",'Deforestation Imagerie Satellit'!F14,0)</f>
        <v>-1320</v>
      </c>
      <c r="F89" s="206">
        <f>IF($A89="OUI",'Deforestation Imagerie Satellit'!G14,0)</f>
        <v>-1320</v>
      </c>
      <c r="G89" s="206">
        <f>IF($A89="OUI",'Deforestation Imagerie Satellit'!H14,0)</f>
        <v>-1320</v>
      </c>
      <c r="H89" s="206">
        <f>IF($A89="OUI",'Deforestation Imagerie Satellit'!I14,0)</f>
        <v>-1320</v>
      </c>
      <c r="I89" s="206">
        <f>IF($A89="OUI",'Deforestation Imagerie Satellit'!J14,0)</f>
        <v>-1320</v>
      </c>
      <c r="J89" s="206">
        <f>IF($A89="OUI",'Deforestation Imagerie Satellit'!K14,0)</f>
        <v>-1320</v>
      </c>
      <c r="K89" s="206">
        <f>IF($A89="OUI",'Deforestation Imagerie Satellit'!L14,0)</f>
        <v>-1320</v>
      </c>
      <c r="L89" s="206">
        <f>IF($A89="OUI",'Deforestation Imagerie Satellit'!M14,0)</f>
        <v>-1320</v>
      </c>
      <c r="M89" s="206">
        <f>IF($A89="OUI",'Deforestation Imagerie Satellit'!N14,0)</f>
        <v>-1320</v>
      </c>
      <c r="N89" s="206">
        <f>IF($A89="OUI",'Deforestation Imagerie Satellit'!O14,0)</f>
        <v>-1320</v>
      </c>
      <c r="O89" s="206">
        <f>IF($A89="OUI",'Deforestation Imagerie Satellit'!P14,0)</f>
        <v>-1320</v>
      </c>
      <c r="P89" s="206">
        <f>IF($A89="OUI",'Deforestation Imagerie Satellit'!Q14,0)</f>
        <v>-1320</v>
      </c>
      <c r="Q89" s="206">
        <f>IF($A89="OUI",'Deforestation Imagerie Satellit'!R14,0)</f>
        <v>-1320</v>
      </c>
      <c r="R89" s="206">
        <f>IF($A89="OUI",'Deforestation Imagerie Satellit'!S14,0)</f>
        <v>-1320</v>
      </c>
      <c r="S89" s="206">
        <f>IF($A89="OUI",'Deforestation Imagerie Satellit'!T14,0)</f>
        <v>-1320</v>
      </c>
      <c r="T89" s="206">
        <f>IF($A89="OUI",'Deforestation Imagerie Satellit'!U14,0)</f>
        <v>-1320</v>
      </c>
      <c r="U89" s="206">
        <f>IF($A89="OUI",'Deforestation Imagerie Satellit'!V14,0)</f>
        <v>-1320</v>
      </c>
      <c r="V89" s="206">
        <f>IF($A89="OUI",'Deforestation Imagerie Satellit'!W14,0)</f>
        <v>-1320</v>
      </c>
      <c r="W89" s="206" t="str">
        <f>IF($A89="OUI",'Deforestation Imagerie Satellit'!X14,0)</f>
        <v/>
      </c>
      <c r="X89" s="206" t="str">
        <f>IF($A89="OUI",'Deforestation Imagerie Satellit'!Y14,0)</f>
        <v/>
      </c>
      <c r="Y89" s="206" t="str">
        <f>IF($A89="OUI",'Deforestation Imagerie Satellit'!Z14,0)</f>
        <v/>
      </c>
      <c r="Z89" s="206" t="str">
        <f>IF($A89="OUI",'Deforestation Imagerie Satellit'!AA14,0)</f>
        <v/>
      </c>
      <c r="AA89" s="206" t="str">
        <f>IF($A89="OUI",'Deforestation Imagerie Satellit'!AB14,0)</f>
        <v/>
      </c>
    </row>
    <row r="90" spans="1:27" x14ac:dyDescent="0.25">
      <c r="A90" s="268" t="s">
        <v>201</v>
      </c>
      <c r="B90" s="208" t="str">
        <f>'Deforestation Imagerie Satellit'!B98</f>
        <v>Emissions liées à la déforestation</v>
      </c>
      <c r="C90" s="206">
        <f>IF($A90="OUI",'Deforestation Imagerie Satellit'!D15,0)</f>
        <v>-269.47037333331537</v>
      </c>
      <c r="D90" s="206">
        <f>IF($A90="OUI",'Deforestation Imagerie Satellit'!E15,0)</f>
        <v>-269.47037333331537</v>
      </c>
      <c r="E90" s="206">
        <f>IF($A90="OUI",'Deforestation Imagerie Satellit'!F15,0)</f>
        <v>-269.47037333331537</v>
      </c>
      <c r="F90" s="206">
        <f>IF($A90="OUI",'Deforestation Imagerie Satellit'!G15,0)</f>
        <v>-269.47037333331537</v>
      </c>
      <c r="G90" s="206">
        <f>IF($A90="OUI",'Deforestation Imagerie Satellit'!H15,0)</f>
        <v>-269.47037333331537</v>
      </c>
      <c r="H90" s="206">
        <f>IF($A90="OUI",'Deforestation Imagerie Satellit'!I15,0)</f>
        <v>-269.47037333331537</v>
      </c>
      <c r="I90" s="206">
        <f>IF($A90="OUI",'Deforestation Imagerie Satellit'!J15,0)</f>
        <v>-269.47037333331537</v>
      </c>
      <c r="J90" s="206">
        <f>IF($A90="OUI",'Deforestation Imagerie Satellit'!K15,0)</f>
        <v>-269.47037333331537</v>
      </c>
      <c r="K90" s="206">
        <f>IF($A90="OUI",'Deforestation Imagerie Satellit'!L15,0)</f>
        <v>-269.47037333331537</v>
      </c>
      <c r="L90" s="206">
        <f>IF($A90="OUI",'Deforestation Imagerie Satellit'!M15,0)</f>
        <v>-269.47037333331537</v>
      </c>
      <c r="M90" s="206">
        <f>IF($A90="OUI",'Deforestation Imagerie Satellit'!N15,0)</f>
        <v>-269.47037333331537</v>
      </c>
      <c r="N90" s="206">
        <f>IF($A90="OUI",'Deforestation Imagerie Satellit'!O15,0)</f>
        <v>-269.47037333331537</v>
      </c>
      <c r="O90" s="206">
        <f>IF($A90="OUI",'Deforestation Imagerie Satellit'!P15,0)</f>
        <v>-269.47037333331537</v>
      </c>
      <c r="P90" s="206">
        <f>IF($A90="OUI",'Deforestation Imagerie Satellit'!Q15,0)</f>
        <v>-269.47037333331537</v>
      </c>
      <c r="Q90" s="206">
        <f>IF($A90="OUI",'Deforestation Imagerie Satellit'!R15,0)</f>
        <v>-269.47037333331537</v>
      </c>
      <c r="R90" s="206">
        <f>IF($A90="OUI",'Deforestation Imagerie Satellit'!S15,0)</f>
        <v>-269.47037333331537</v>
      </c>
      <c r="S90" s="206">
        <f>IF($A90="OUI",'Deforestation Imagerie Satellit'!T15,0)</f>
        <v>-269.47037333331537</v>
      </c>
      <c r="T90" s="206">
        <f>IF($A90="OUI",'Deforestation Imagerie Satellit'!U15,0)</f>
        <v>-269.47037333331537</v>
      </c>
      <c r="U90" s="206">
        <f>IF($A90="OUI",'Deforestation Imagerie Satellit'!V15,0)</f>
        <v>-269.47037333331537</v>
      </c>
      <c r="V90" s="206">
        <f>IF($A90="OUI",'Deforestation Imagerie Satellit'!W15,0)</f>
        <v>-269.47037333331537</v>
      </c>
      <c r="W90" s="206" t="str">
        <f>IF($A90="OUI",'Deforestation Imagerie Satellit'!X15,0)</f>
        <v/>
      </c>
      <c r="X90" s="206" t="str">
        <f>IF($A90="OUI",'Deforestation Imagerie Satellit'!Y15,0)</f>
        <v/>
      </c>
      <c r="Y90" s="206" t="str">
        <f>IF($A90="OUI",'Deforestation Imagerie Satellit'!Z15,0)</f>
        <v/>
      </c>
      <c r="Z90" s="206" t="str">
        <f>IF($A90="OUI",'Deforestation Imagerie Satellit'!AA15,0)</f>
        <v/>
      </c>
      <c r="AA90" s="206" t="str">
        <f>IF($A90="OUI",'Deforestation Imagerie Satellit'!AB15,0)</f>
        <v/>
      </c>
    </row>
    <row r="92" spans="1:27" x14ac:dyDescent="0.25">
      <c r="A92" s="146" t="s">
        <v>1307</v>
      </c>
    </row>
    <row r="93" spans="1:27" x14ac:dyDescent="0.25">
      <c r="A93" s="268" t="s">
        <v>201</v>
      </c>
      <c r="B93" s="205" t="s">
        <v>1047</v>
      </c>
      <c r="C93" s="206">
        <f t="shared" ref="C93" si="14">IF($A93="OUI",SUM(C96:C98),0)</f>
        <v>-1965.3719987825868</v>
      </c>
      <c r="D93" s="206">
        <f t="shared" ref="D93:AA93" si="15">IF($A93="OUI",SUM(D96:D98),0)</f>
        <v>-1965.3719987825868</v>
      </c>
      <c r="E93" s="206">
        <f t="shared" si="15"/>
        <v>-1965.3719987825868</v>
      </c>
      <c r="F93" s="206">
        <f t="shared" si="15"/>
        <v>-1965.3719987825868</v>
      </c>
      <c r="G93" s="206">
        <f t="shared" si="15"/>
        <v>-1965.3719987825868</v>
      </c>
      <c r="H93" s="206">
        <f t="shared" si="15"/>
        <v>-1965.3719987825868</v>
      </c>
      <c r="I93" s="206">
        <f t="shared" si="15"/>
        <v>-1965.3719987825868</v>
      </c>
      <c r="J93" s="206">
        <f t="shared" si="15"/>
        <v>-1965.3719987825868</v>
      </c>
      <c r="K93" s="206">
        <f t="shared" si="15"/>
        <v>-1965.3719987825868</v>
      </c>
      <c r="L93" s="206">
        <f t="shared" si="15"/>
        <v>-1965.3719987825868</v>
      </c>
      <c r="M93" s="206">
        <f t="shared" si="15"/>
        <v>-1965.3719987825868</v>
      </c>
      <c r="N93" s="206">
        <f t="shared" si="15"/>
        <v>-1965.3719987825868</v>
      </c>
      <c r="O93" s="206">
        <f t="shared" si="15"/>
        <v>-1965.3719987825868</v>
      </c>
      <c r="P93" s="206">
        <f t="shared" si="15"/>
        <v>-1965.3719987825868</v>
      </c>
      <c r="Q93" s="206">
        <f t="shared" si="15"/>
        <v>-1965.3719987825868</v>
      </c>
      <c r="R93" s="206">
        <f t="shared" si="15"/>
        <v>-1965.3719987825868</v>
      </c>
      <c r="S93" s="206">
        <f t="shared" si="15"/>
        <v>-1965.3719987825868</v>
      </c>
      <c r="T93" s="206">
        <f t="shared" si="15"/>
        <v>-1965.3719987825868</v>
      </c>
      <c r="U93" s="206">
        <f t="shared" si="15"/>
        <v>-1965.3719987825868</v>
      </c>
      <c r="V93" s="206">
        <f t="shared" si="15"/>
        <v>-1965.3719987825868</v>
      </c>
      <c r="W93" s="206">
        <f t="shared" si="15"/>
        <v>0</v>
      </c>
      <c r="X93" s="206">
        <f t="shared" si="15"/>
        <v>0</v>
      </c>
      <c r="Y93" s="206">
        <f t="shared" si="15"/>
        <v>0</v>
      </c>
      <c r="Z93" s="206">
        <f t="shared" si="15"/>
        <v>0</v>
      </c>
      <c r="AA93" s="206">
        <f t="shared" si="15"/>
        <v>0</v>
      </c>
    </row>
    <row r="95" spans="1:27" x14ac:dyDescent="0.25">
      <c r="A95" s="146" t="s">
        <v>1309</v>
      </c>
    </row>
    <row r="96" spans="1:27" x14ac:dyDescent="0.25">
      <c r="A96" s="268" t="s">
        <v>201</v>
      </c>
      <c r="B96" s="208" t="str">
        <f>'Deforestation Drones'!B26</f>
        <v>Production des équipements : projet drone</v>
      </c>
      <c r="C96" s="206">
        <f>IF($A96="OUI",'Deforestation Drones'!D18,0)</f>
        <v>27.313883549472223</v>
      </c>
      <c r="D96" s="206">
        <f>IF($A96="OUI",'Deforestation Drones'!E18,0)</f>
        <v>27.313883549472223</v>
      </c>
      <c r="E96" s="206">
        <f>IF($A96="OUI",'Deforestation Drones'!F18,0)</f>
        <v>27.313883549472223</v>
      </c>
      <c r="F96" s="206">
        <f>IF($A96="OUI",'Deforestation Drones'!G18,0)</f>
        <v>27.313883549472223</v>
      </c>
      <c r="G96" s="206">
        <f>IF($A96="OUI",'Deforestation Drones'!H18,0)</f>
        <v>27.313883549472223</v>
      </c>
      <c r="H96" s="206">
        <f>IF($A96="OUI",'Deforestation Drones'!I18,0)</f>
        <v>27.313883549472223</v>
      </c>
      <c r="I96" s="206">
        <f>IF($A96="OUI",'Deforestation Drones'!J18,0)</f>
        <v>27.313883549472223</v>
      </c>
      <c r="J96" s="206">
        <f>IF($A96="OUI",'Deforestation Drones'!K18,0)</f>
        <v>27.313883549472223</v>
      </c>
      <c r="K96" s="206">
        <f>IF($A96="OUI",'Deforestation Drones'!L18,0)</f>
        <v>27.313883549472223</v>
      </c>
      <c r="L96" s="206">
        <f>IF($A96="OUI",'Deforestation Drones'!M18,0)</f>
        <v>27.313883549472223</v>
      </c>
      <c r="M96" s="206">
        <f>IF($A96="OUI",'Deforestation Drones'!N18,0)</f>
        <v>27.313883549472223</v>
      </c>
      <c r="N96" s="206">
        <f>IF($A96="OUI",'Deforestation Drones'!O18,0)</f>
        <v>27.313883549472223</v>
      </c>
      <c r="O96" s="206">
        <f>IF($A96="OUI",'Deforestation Drones'!P18,0)</f>
        <v>27.313883549472223</v>
      </c>
      <c r="P96" s="206">
        <f>IF($A96="OUI",'Deforestation Drones'!Q18,0)</f>
        <v>27.313883549472223</v>
      </c>
      <c r="Q96" s="206">
        <f>IF($A96="OUI",'Deforestation Drones'!R18,0)</f>
        <v>27.313883549472223</v>
      </c>
      <c r="R96" s="206">
        <f>IF($A96="OUI",'Deforestation Drones'!S18,0)</f>
        <v>27.313883549472223</v>
      </c>
      <c r="S96" s="206">
        <f>IF($A96="OUI",'Deforestation Drones'!T18,0)</f>
        <v>27.313883549472223</v>
      </c>
      <c r="T96" s="206">
        <f>IF($A96="OUI",'Deforestation Drones'!U18,0)</f>
        <v>27.313883549472223</v>
      </c>
      <c r="U96" s="206">
        <f>IF($A96="OUI",'Deforestation Drones'!V18,0)</f>
        <v>27.313883549472223</v>
      </c>
      <c r="V96" s="206">
        <f>IF($A96="OUI",'Deforestation Drones'!W18,0)</f>
        <v>27.313883549472223</v>
      </c>
      <c r="W96" s="206" t="str">
        <f>IF($A96="OUI",'Deforestation Drones'!X18,0)</f>
        <v/>
      </c>
      <c r="X96" s="206" t="str">
        <f>IF($A96="OUI",'Deforestation Drones'!Y18,0)</f>
        <v/>
      </c>
      <c r="Y96" s="206" t="str">
        <f>IF($A96="OUI",'Deforestation Drones'!Z18,0)</f>
        <v/>
      </c>
      <c r="Z96" s="206" t="str">
        <f>IF($A96="OUI",'Deforestation Drones'!AA18,0)</f>
        <v/>
      </c>
      <c r="AA96" s="206" t="str">
        <f>IF($A96="OUI",'Deforestation Drones'!AB18,0)</f>
        <v/>
      </c>
    </row>
    <row r="97" spans="1:27" x14ac:dyDescent="0.25">
      <c r="A97" s="268" t="s">
        <v>201</v>
      </c>
      <c r="B97" s="489" t="str">
        <f>'Deforestation Drones'!B73</f>
        <v>Phase utilisation : drones et équipement IT</v>
      </c>
      <c r="C97" s="206">
        <f>IF($A97="OUI",'Deforestation Drones'!D19,0)</f>
        <v>26.314117667926382</v>
      </c>
      <c r="D97" s="206">
        <f>IF($A97="OUI",'Deforestation Drones'!E19,0)</f>
        <v>26.314117667926382</v>
      </c>
      <c r="E97" s="206">
        <f>IF($A97="OUI",'Deforestation Drones'!F19,0)</f>
        <v>26.314117667926382</v>
      </c>
      <c r="F97" s="206">
        <f>IF($A97="OUI",'Deforestation Drones'!G19,0)</f>
        <v>26.314117667926382</v>
      </c>
      <c r="G97" s="206">
        <f>IF($A97="OUI",'Deforestation Drones'!H19,0)</f>
        <v>26.314117667926382</v>
      </c>
      <c r="H97" s="206">
        <f>IF($A97="OUI",'Deforestation Drones'!I19,0)</f>
        <v>26.314117667926382</v>
      </c>
      <c r="I97" s="206">
        <f>IF($A97="OUI",'Deforestation Drones'!J19,0)</f>
        <v>26.314117667926382</v>
      </c>
      <c r="J97" s="206">
        <f>IF($A97="OUI",'Deforestation Drones'!K19,0)</f>
        <v>26.314117667926382</v>
      </c>
      <c r="K97" s="206">
        <f>IF($A97="OUI",'Deforestation Drones'!L19,0)</f>
        <v>26.314117667926382</v>
      </c>
      <c r="L97" s="206">
        <f>IF($A97="OUI",'Deforestation Drones'!M19,0)</f>
        <v>26.314117667926382</v>
      </c>
      <c r="M97" s="206">
        <f>IF($A97="OUI",'Deforestation Drones'!N19,0)</f>
        <v>26.314117667926382</v>
      </c>
      <c r="N97" s="206">
        <f>IF($A97="OUI",'Deforestation Drones'!O19,0)</f>
        <v>26.314117667926382</v>
      </c>
      <c r="O97" s="206">
        <f>IF($A97="OUI",'Deforestation Drones'!P19,0)</f>
        <v>26.314117667926382</v>
      </c>
      <c r="P97" s="206">
        <f>IF($A97="OUI",'Deforestation Drones'!Q19,0)</f>
        <v>26.314117667926382</v>
      </c>
      <c r="Q97" s="206">
        <f>IF($A97="OUI",'Deforestation Drones'!R19,0)</f>
        <v>26.314117667926382</v>
      </c>
      <c r="R97" s="206">
        <f>IF($A97="OUI",'Deforestation Drones'!S19,0)</f>
        <v>26.314117667926382</v>
      </c>
      <c r="S97" s="206">
        <f>IF($A97="OUI",'Deforestation Drones'!T19,0)</f>
        <v>26.314117667926382</v>
      </c>
      <c r="T97" s="206">
        <f>IF($A97="OUI",'Deforestation Drones'!U19,0)</f>
        <v>26.314117667926382</v>
      </c>
      <c r="U97" s="206">
        <f>IF($A97="OUI",'Deforestation Drones'!V19,0)</f>
        <v>26.314117667926382</v>
      </c>
      <c r="V97" s="206">
        <f>IF($A97="OUI",'Deforestation Drones'!W19,0)</f>
        <v>26.314117667926382</v>
      </c>
      <c r="W97" s="206" t="str">
        <f>IF($A97="OUI",'Deforestation Drones'!X19,0)</f>
        <v/>
      </c>
      <c r="X97" s="206" t="str">
        <f>IF($A97="OUI",'Deforestation Drones'!Y19,0)</f>
        <v/>
      </c>
      <c r="Y97" s="206" t="str">
        <f>IF($A97="OUI",'Deforestation Drones'!Z19,0)</f>
        <v/>
      </c>
      <c r="Z97" s="206" t="str">
        <f>IF($A97="OUI",'Deforestation Drones'!AA19,0)</f>
        <v/>
      </c>
      <c r="AA97" s="206" t="str">
        <f>IF($A97="OUI",'Deforestation Drones'!AB19,0)</f>
        <v/>
      </c>
    </row>
    <row r="98" spans="1:27" x14ac:dyDescent="0.25">
      <c r="A98" s="268" t="s">
        <v>201</v>
      </c>
      <c r="B98" s="489" t="str">
        <f>'Deforestation Drones'!B122</f>
        <v>Emissions liées au changement d'usage des sols</v>
      </c>
      <c r="C98" s="206">
        <f>IF($A98="OUI",'Deforestation Drones'!D20,0)</f>
        <v>-2018.9999999999854</v>
      </c>
      <c r="D98" s="206">
        <f>IF($A98="OUI",'Deforestation Drones'!E20,0)</f>
        <v>-2018.9999999999854</v>
      </c>
      <c r="E98" s="206">
        <f>IF($A98="OUI",'Deforestation Drones'!F20,0)</f>
        <v>-2018.9999999999854</v>
      </c>
      <c r="F98" s="206">
        <f>IF($A98="OUI",'Deforestation Drones'!G20,0)</f>
        <v>-2018.9999999999854</v>
      </c>
      <c r="G98" s="206">
        <f>IF($A98="OUI",'Deforestation Drones'!H20,0)</f>
        <v>-2018.9999999999854</v>
      </c>
      <c r="H98" s="206">
        <f>IF($A98="OUI",'Deforestation Drones'!I20,0)</f>
        <v>-2018.9999999999854</v>
      </c>
      <c r="I98" s="206">
        <f>IF($A98="OUI",'Deforestation Drones'!J20,0)</f>
        <v>-2018.9999999999854</v>
      </c>
      <c r="J98" s="206">
        <f>IF($A98="OUI",'Deforestation Drones'!K20,0)</f>
        <v>-2018.9999999999854</v>
      </c>
      <c r="K98" s="206">
        <f>IF($A98="OUI",'Deforestation Drones'!L20,0)</f>
        <v>-2018.9999999999854</v>
      </c>
      <c r="L98" s="206">
        <f>IF($A98="OUI",'Deforestation Drones'!M20,0)</f>
        <v>-2018.9999999999854</v>
      </c>
      <c r="M98" s="206">
        <f>IF($A98="OUI",'Deforestation Drones'!N20,0)</f>
        <v>-2018.9999999999854</v>
      </c>
      <c r="N98" s="206">
        <f>IF($A98="OUI",'Deforestation Drones'!O20,0)</f>
        <v>-2018.9999999999854</v>
      </c>
      <c r="O98" s="206">
        <f>IF($A98="OUI",'Deforestation Drones'!P20,0)</f>
        <v>-2018.9999999999854</v>
      </c>
      <c r="P98" s="206">
        <f>IF($A98="OUI",'Deforestation Drones'!Q20,0)</f>
        <v>-2018.9999999999854</v>
      </c>
      <c r="Q98" s="206">
        <f>IF($A98="OUI",'Deforestation Drones'!R20,0)</f>
        <v>-2018.9999999999854</v>
      </c>
      <c r="R98" s="206">
        <f>IF($A98="OUI",'Deforestation Drones'!S20,0)</f>
        <v>-2018.9999999999854</v>
      </c>
      <c r="S98" s="206">
        <f>IF($A98="OUI",'Deforestation Drones'!T20,0)</f>
        <v>-2018.9999999999854</v>
      </c>
      <c r="T98" s="206">
        <f>IF($A98="OUI",'Deforestation Drones'!U20,0)</f>
        <v>-2018.9999999999854</v>
      </c>
      <c r="U98" s="206">
        <f>IF($A98="OUI",'Deforestation Drones'!V20,0)</f>
        <v>-2018.9999999999854</v>
      </c>
      <c r="V98" s="206">
        <f>IF($A98="OUI",'Deforestation Drones'!W20,0)</f>
        <v>-2018.9999999999854</v>
      </c>
      <c r="W98" s="206" t="str">
        <f>IF($A98="OUI",'Deforestation Drones'!X20,0)</f>
        <v/>
      </c>
      <c r="X98" s="206" t="str">
        <f>IF($A98="OUI",'Deforestation Drones'!Y20,0)</f>
        <v/>
      </c>
      <c r="Y98" s="206" t="str">
        <f>IF($A98="OUI",'Deforestation Drones'!Z20,0)</f>
        <v/>
      </c>
      <c r="Z98" s="206" t="str">
        <f>IF($A98="OUI",'Deforestation Drones'!AA20,0)</f>
        <v/>
      </c>
      <c r="AA98" s="206" t="str">
        <f>IF($A98="OUI",'Deforestation Drones'!AB20,0)</f>
        <v/>
      </c>
    </row>
  </sheetData>
  <mergeCells count="3">
    <mergeCell ref="B2:L2"/>
    <mergeCell ref="C7:L7"/>
    <mergeCell ref="A18:B18"/>
  </mergeCells>
  <dataValidations count="5">
    <dataValidation type="list" allowBlank="1" showDropDown="1" showInputMessage="1" showErrorMessage="1" sqref="A48">
      <formula1>$B$50:$B$51</formula1>
    </dataValidation>
    <dataValidation type="list" allowBlank="1" showInputMessage="1" showErrorMessage="1" sqref="U20">
      <formula1>$V$20:$V$21</formula1>
    </dataValidation>
    <dataValidation type="list" allowBlank="1" showInputMessage="1" showErrorMessage="1" sqref="B16">
      <formula1>$N$2:$N$5</formula1>
    </dataValidation>
    <dataValidation type="list" allowBlank="1" showInputMessage="1" showErrorMessage="1" sqref="A96:A98 A22:A26 A29 A32:A36 A39 A42:A46 A50 A53:A58 A67 A70:A74 A77 A80:A81 A84 A87:A90 A93">
      <formula1>$C$14:$C$15</formula1>
    </dataValidation>
    <dataValidation type="list" allowBlank="1" showInputMessage="1" showErrorMessage="1" sqref="A19">
      <formula1>$B$17:$B$18</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'Extension 5G'!$A$45:$A$56</xm:f>
          </x14:formula1>
          <xm:sqref>B64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2:AE197"/>
  <sheetViews>
    <sheetView showGridLines="0" zoomScaleNormal="100" workbookViewId="0"/>
  </sheetViews>
  <sheetFormatPr baseColWidth="10" defaultColWidth="8.85546875" defaultRowHeight="15" x14ac:dyDescent="0.25"/>
  <cols>
    <col min="1" max="1" width="8.85546875" style="146"/>
    <col min="2" max="2" width="69.5703125" style="146" customWidth="1"/>
    <col min="3" max="3" width="30.28515625" style="146" customWidth="1"/>
    <col min="4" max="4" width="10.140625" style="146" customWidth="1"/>
    <col min="5" max="5" width="12.5703125" style="146" bestFit="1" customWidth="1"/>
    <col min="6" max="6" width="11.140625" style="146" bestFit="1" customWidth="1"/>
    <col min="7" max="7" width="11.85546875" style="146" customWidth="1"/>
    <col min="8" max="8" width="11.140625" style="146" bestFit="1" customWidth="1"/>
    <col min="9" max="9" width="30.5703125" style="146" customWidth="1"/>
    <col min="10" max="12" width="11.140625" style="146" bestFit="1" customWidth="1"/>
    <col min="13" max="13" width="11.85546875" style="146" bestFit="1" customWidth="1"/>
    <col min="14" max="23" width="8.85546875" style="146"/>
    <col min="24" max="24" width="16.85546875" style="146" customWidth="1"/>
    <col min="25" max="16384" width="8.85546875" style="146"/>
  </cols>
  <sheetData>
    <row r="2" spans="2:31" x14ac:dyDescent="0.25">
      <c r="D2" s="146">
        <f>Hypothèses_projet!$C$3</f>
        <v>2021</v>
      </c>
      <c r="E2" s="146">
        <f>IF(Hypothèses_projet!$C$6&lt;=D2,"",D2+1)</f>
        <v>2022</v>
      </c>
      <c r="F2" s="146">
        <f>IF(Hypothèses_projet!$C$6&lt;=E2,"",E2+1)</f>
        <v>2023</v>
      </c>
      <c r="G2" s="146">
        <f>IF(Hypothèses_projet!$C$6&lt;=F2,"",F2+1)</f>
        <v>2024</v>
      </c>
      <c r="H2" s="146">
        <f>IF(Hypothèses_projet!$C$6&lt;=G2,"",G2+1)</f>
        <v>2025</v>
      </c>
      <c r="I2" s="146">
        <f>IF(Hypothèses_projet!$C$6&lt;=H2,"",H2+1)</f>
        <v>2026</v>
      </c>
      <c r="J2" s="146">
        <f>IF(Hypothèses_projet!$C$6&lt;=I2,"",I2+1)</f>
        <v>2027</v>
      </c>
      <c r="K2" s="146">
        <f>IF(Hypothèses_projet!$C$6&lt;=J2,"",J2+1)</f>
        <v>2028</v>
      </c>
      <c r="L2" s="146">
        <f>IF(Hypothèses_projet!$C$6&lt;=K2,"",K2+1)</f>
        <v>2029</v>
      </c>
      <c r="M2" s="146">
        <f>IF(Hypothèses_projet!$C$6&lt;=L2,"",L2+1)</f>
        <v>2030</v>
      </c>
      <c r="N2" s="146">
        <f>IF(Hypothèses_projet!$C$6&lt;=M2,"",M2+1)</f>
        <v>2031</v>
      </c>
      <c r="O2" s="146">
        <f>IF(Hypothèses_projet!$C$6&lt;=N2,"",N2+1)</f>
        <v>2032</v>
      </c>
      <c r="P2" s="146">
        <f>IF(Hypothèses_projet!$C$6&lt;=O2,"",O2+1)</f>
        <v>2033</v>
      </c>
      <c r="Q2" s="146">
        <f>IF(Hypothèses_projet!$C$6&lt;=P2,"",P2+1)</f>
        <v>2034</v>
      </c>
      <c r="R2" s="146">
        <f>IF(Hypothèses_projet!$C$6&lt;=Q2,"",Q2+1)</f>
        <v>2035</v>
      </c>
      <c r="S2" s="146">
        <f>IF(Hypothèses_projet!$C$6&lt;=R2,"",R2+1)</f>
        <v>2036</v>
      </c>
      <c r="T2" s="146">
        <f>IF(Hypothèses_projet!$C$6&lt;=S2,"",S2+1)</f>
        <v>2037</v>
      </c>
      <c r="U2" s="146">
        <f>IF(Hypothèses_projet!$C$6&lt;=T2,"",T2+1)</f>
        <v>2038</v>
      </c>
      <c r="V2" s="146">
        <f>IF(Hypothèses_projet!$C$6&lt;=U2,"",U2+1)</f>
        <v>2039</v>
      </c>
      <c r="W2" s="146">
        <f>IF(Hypothèses_projet!$C$6&lt;=V2,"",V2+1)</f>
        <v>2040</v>
      </c>
      <c r="X2" s="146" t="str">
        <f>IF(Hypothèses_projet!$C$6&lt;=W2,"",W2+1)</f>
        <v/>
      </c>
      <c r="Y2" s="146" t="str">
        <f>IF(Hypothèses_projet!$C$6&lt;=X2,"",X2+1)</f>
        <v/>
      </c>
      <c r="Z2" s="146" t="str">
        <f>IF(Hypothèses_projet!$C$6&lt;=Y2,"",Y2+1)</f>
        <v/>
      </c>
      <c r="AA2" s="146" t="str">
        <f>IF(Hypothèses_projet!$C$6&lt;=Z2,"",Z2+1)</f>
        <v/>
      </c>
      <c r="AB2" s="146" t="str">
        <f>IF(Hypothèses_projet!$C$6&lt;=AA2,"",AA2+1)</f>
        <v/>
      </c>
      <c r="AC2" s="146" t="str">
        <f>IF(Hypothèses_projet!$C$6&lt;=AB2,"",AB2+1)</f>
        <v/>
      </c>
      <c r="AD2" s="146" t="str">
        <f>IF(Hypothèses_projet!$C$6&lt;=AC2,"",AC2+1)</f>
        <v/>
      </c>
      <c r="AE2" s="146" t="str">
        <f>IF(Hypothèses_projet!$C$6&lt;=AD2,"",AD2+1)</f>
        <v/>
      </c>
    </row>
    <row r="3" spans="2:31" x14ac:dyDescent="0.25">
      <c r="B3" s="244" t="str">
        <f>'Resultats généraux'!A19</f>
        <v>OUI</v>
      </c>
      <c r="C3" s="359" t="s">
        <v>301</v>
      </c>
      <c r="D3" s="360">
        <f>IF(D2="","",IF($B3="OUI",SUM(D6:D10),0))</f>
        <v>1816.7323154873966</v>
      </c>
      <c r="E3" s="360">
        <f t="shared" ref="E3:AB3" si="0">IF(E2="","",IF($B3="OUI",SUM(E6:E10),0))</f>
        <v>1239.7966975622835</v>
      </c>
      <c r="F3" s="360">
        <f t="shared" si="0"/>
        <v>1973.883013599434</v>
      </c>
      <c r="G3" s="360">
        <f t="shared" si="0"/>
        <v>2028.1885691549896</v>
      </c>
      <c r="H3" s="360">
        <f t="shared" si="0"/>
        <v>2028.1885691549896</v>
      </c>
      <c r="I3" s="360">
        <f t="shared" si="0"/>
        <v>2028.1885691549896</v>
      </c>
      <c r="J3" s="360">
        <f t="shared" si="0"/>
        <v>2028.1885691549896</v>
      </c>
      <c r="K3" s="360">
        <f t="shared" si="0"/>
        <v>2028.1885691549896</v>
      </c>
      <c r="L3" s="360">
        <f t="shared" si="0"/>
        <v>2028.1885691549896</v>
      </c>
      <c r="M3" s="360">
        <f t="shared" si="0"/>
        <v>2028.1885691549896</v>
      </c>
      <c r="N3" s="360">
        <f t="shared" si="0"/>
        <v>2028.1885691549896</v>
      </c>
      <c r="O3" s="360">
        <f t="shared" si="0"/>
        <v>2028.1885691549896</v>
      </c>
      <c r="P3" s="360">
        <f t="shared" si="0"/>
        <v>2028.1885691549896</v>
      </c>
      <c r="Q3" s="360">
        <f t="shared" si="0"/>
        <v>2028.1885691549896</v>
      </c>
      <c r="R3" s="360">
        <f t="shared" si="0"/>
        <v>2028.1885691549896</v>
      </c>
      <c r="S3" s="360">
        <f t="shared" si="0"/>
        <v>2028.1885691549896</v>
      </c>
      <c r="T3" s="360">
        <f t="shared" si="0"/>
        <v>2028.1885691549896</v>
      </c>
      <c r="U3" s="360">
        <f t="shared" si="0"/>
        <v>2028.1885691549896</v>
      </c>
      <c r="V3" s="360">
        <f t="shared" si="0"/>
        <v>2028.1885691549896</v>
      </c>
      <c r="W3" s="360">
        <f t="shared" si="0"/>
        <v>2028.1885691549896</v>
      </c>
      <c r="X3" s="360" t="str">
        <f t="shared" si="0"/>
        <v/>
      </c>
      <c r="Y3" s="360" t="str">
        <f t="shared" si="0"/>
        <v/>
      </c>
      <c r="Z3" s="360" t="str">
        <f t="shared" si="0"/>
        <v/>
      </c>
      <c r="AA3" s="360" t="str">
        <f t="shared" si="0"/>
        <v/>
      </c>
      <c r="AB3" s="360" t="str">
        <f t="shared" si="0"/>
        <v/>
      </c>
    </row>
    <row r="4" spans="2:31" x14ac:dyDescent="0.25">
      <c r="C4" s="261"/>
      <c r="D4" s="284"/>
      <c r="E4" s="284"/>
      <c r="F4" s="284"/>
      <c r="G4" s="284"/>
      <c r="H4" s="284"/>
      <c r="I4" s="284"/>
      <c r="J4" s="284"/>
      <c r="K4" s="284"/>
      <c r="L4" s="284"/>
      <c r="M4" s="284"/>
    </row>
    <row r="5" spans="2:31" x14ac:dyDescent="0.25">
      <c r="B5" s="207" t="s">
        <v>1310</v>
      </c>
      <c r="C5" s="150"/>
      <c r="D5" s="361"/>
      <c r="E5" s="361"/>
      <c r="F5" s="361"/>
      <c r="G5" s="361"/>
      <c r="H5" s="361"/>
      <c r="I5" s="361"/>
      <c r="J5" s="361"/>
      <c r="K5" s="361"/>
      <c r="L5" s="361"/>
      <c r="M5" s="361"/>
    </row>
    <row r="6" spans="2:31" ht="37.5" customHeight="1" x14ac:dyDescent="0.25">
      <c r="B6" s="244" t="str">
        <f>'Resultats généraux'!A22</f>
        <v>OUI</v>
      </c>
      <c r="C6" s="359" t="str">
        <f>Data_center!$B$32</f>
        <v>Nouveau data center : Production</v>
      </c>
      <c r="D6" s="360">
        <f>IF(AND($B6="OUI",D2=Data_center!$C$14),Data_center!E43,0)</f>
        <v>1311.0219339622643</v>
      </c>
      <c r="E6" s="360">
        <f>IF(AND($B6="OUI",E2=Data_center!$C$14),Data_center!F43,0)</f>
        <v>0</v>
      </c>
      <c r="F6" s="360">
        <f>IF(AND($B6="OUI",F2=Data_center!$C$14),Data_center!G43,0)</f>
        <v>0</v>
      </c>
      <c r="G6" s="360">
        <f>IF(AND($B6="OUI",G2=Data_center!$C$14),Data_center!H43,0)</f>
        <v>0</v>
      </c>
      <c r="H6" s="360">
        <f>IF(AND($B6="OUI",H2=Data_center!$C$14),Data_center!I43,0)</f>
        <v>0</v>
      </c>
      <c r="I6" s="360">
        <f>IF(AND($B6="OUI",I2=Data_center!$C$14),Data_center!J43,0)</f>
        <v>0</v>
      </c>
      <c r="J6" s="360">
        <f>IF(AND($B6="OUI",J2=Data_center!$C$14),Data_center!K43,0)</f>
        <v>0</v>
      </c>
      <c r="K6" s="360">
        <f>IF(AND($B6="OUI",K2=Data_center!$C$14),Data_center!L43,0)</f>
        <v>0</v>
      </c>
      <c r="L6" s="360">
        <f>IF(AND($B6="OUI",L2=Data_center!$C$14),Data_center!M43,0)</f>
        <v>0</v>
      </c>
      <c r="M6" s="360">
        <f>IF(AND($B6="OUI",M2=Data_center!$C$14),Data_center!N43,0)</f>
        <v>0</v>
      </c>
      <c r="N6" s="360">
        <f>IF(AND($B6="OUI",N2=Data_center!$C$14),Data_center!O43,0)</f>
        <v>0</v>
      </c>
      <c r="O6" s="360">
        <f>IF(AND($B6="OUI",O2=Data_center!$C$14),Data_center!P43,0)</f>
        <v>0</v>
      </c>
      <c r="P6" s="360">
        <f>IF(AND($B6="OUI",P2=Data_center!$C$14),Data_center!Q43,0)</f>
        <v>0</v>
      </c>
      <c r="Q6" s="360">
        <f>IF(AND($B6="OUI",Q2=Data_center!$C$14),Data_center!R43,0)</f>
        <v>0</v>
      </c>
      <c r="R6" s="360">
        <f>IF(AND($B6="OUI",R2=Data_center!$C$14),Data_center!S43,0)</f>
        <v>0</v>
      </c>
      <c r="S6" s="360">
        <f>IF(AND($B6="OUI",S2=Data_center!$C$14),Data_center!T43,0)</f>
        <v>0</v>
      </c>
      <c r="T6" s="360">
        <f>IF(AND($B6="OUI",T2=Data_center!$C$14),Data_center!U43,0)</f>
        <v>0</v>
      </c>
      <c r="U6" s="360">
        <f>IF(AND($B6="OUI",U2=Data_center!$C$14),Data_center!V43,0)</f>
        <v>0</v>
      </c>
      <c r="V6" s="360">
        <f>IF(AND($B6="OUI",V2=Data_center!$C$14),Data_center!W43,0)</f>
        <v>0</v>
      </c>
      <c r="W6" s="360">
        <f>IF(AND($B6="OUI",W2=Data_center!$C$14),Data_center!X43,0)</f>
        <v>0</v>
      </c>
      <c r="X6" s="360">
        <f>IF(AND($B6="OUI",X2=Data_center!$C$14),Data_center!Y43,0)</f>
        <v>0</v>
      </c>
      <c r="Y6" s="360">
        <f>IF(AND($B6="OUI",Y2=Data_center!$C$14),Data_center!Z43,0)</f>
        <v>0</v>
      </c>
      <c r="Z6" s="360">
        <f>IF(AND($B6="OUI",Z2=Data_center!$C$14),Data_center!AA43,0)</f>
        <v>0</v>
      </c>
      <c r="AA6" s="360">
        <f>IF(AND($B6="OUI",AA2=Data_center!$C$14),Data_center!AB43,0)</f>
        <v>0</v>
      </c>
      <c r="AB6" s="360">
        <f>IF(AND($B6="OUI",AB2=Data_center!$C$14),Data_center!AC43,0)</f>
        <v>0</v>
      </c>
    </row>
    <row r="7" spans="2:31" ht="75.599999999999994" customHeight="1" x14ac:dyDescent="0.25">
      <c r="B7" s="244" t="str">
        <f>'Resultats généraux'!A23</f>
        <v>OUI</v>
      </c>
      <c r="C7" s="359" t="str">
        <f>Data_center!$B$73</f>
        <v xml:space="preserve">Nouveau data center : Renouvellement des équipements
</v>
      </c>
      <c r="D7" s="360">
        <f>IF($B7="OUI",Data_center!C83,0)</f>
        <v>0</v>
      </c>
      <c r="E7" s="360">
        <f>IF($B7="OUI",Data_center!D83,0)</f>
        <v>54.30555555555555</v>
      </c>
      <c r="F7" s="360">
        <f>IF($B7="OUI",Data_center!E83,0)</f>
        <v>108.6111111111111</v>
      </c>
      <c r="G7" s="360">
        <f>IF($B7="OUI",Data_center!F83,0)</f>
        <v>162.91666666666666</v>
      </c>
      <c r="H7" s="360">
        <f>IF($B7="OUI",Data_center!G83,0)</f>
        <v>162.91666666666666</v>
      </c>
      <c r="I7" s="360">
        <f>IF($B7="OUI",Data_center!H83,0)</f>
        <v>162.91666666666666</v>
      </c>
      <c r="J7" s="360">
        <f>IF($B7="OUI",Data_center!I83,0)</f>
        <v>162.91666666666666</v>
      </c>
      <c r="K7" s="360">
        <f>IF($B7="OUI",Data_center!J83,0)</f>
        <v>162.91666666666666</v>
      </c>
      <c r="L7" s="360">
        <f>IF($B7="OUI",Data_center!K83,0)</f>
        <v>162.91666666666666</v>
      </c>
      <c r="M7" s="360">
        <f>IF($B7="OUI",Data_center!L83,0)</f>
        <v>162.91666666666666</v>
      </c>
      <c r="N7" s="360">
        <f>IF($B7="OUI",Data_center!M83,0)</f>
        <v>162.91666666666666</v>
      </c>
      <c r="O7" s="360">
        <f>IF($B7="OUI",Data_center!N83,0)</f>
        <v>162.91666666666666</v>
      </c>
      <c r="P7" s="360">
        <f>IF($B7="OUI",Data_center!O83,0)</f>
        <v>162.91666666666666</v>
      </c>
      <c r="Q7" s="360">
        <f>IF($B7="OUI",Data_center!P83,0)</f>
        <v>162.91666666666666</v>
      </c>
      <c r="R7" s="360">
        <f>IF($B7="OUI",Data_center!Q83,0)</f>
        <v>162.91666666666666</v>
      </c>
      <c r="S7" s="360">
        <f>IF($B7="OUI",Data_center!R83,0)</f>
        <v>162.91666666666666</v>
      </c>
      <c r="T7" s="360">
        <f>IF($B7="OUI",Data_center!S83,0)</f>
        <v>162.91666666666666</v>
      </c>
      <c r="U7" s="360">
        <f>IF($B7="OUI",Data_center!T83,0)</f>
        <v>162.91666666666666</v>
      </c>
      <c r="V7" s="360">
        <f>IF($B7="OUI",Data_center!U83,0)</f>
        <v>162.91666666666666</v>
      </c>
      <c r="W7" s="360">
        <f>IF($B7="OUI",Data_center!V83,0)</f>
        <v>162.91666666666666</v>
      </c>
      <c r="X7" s="360" t="str">
        <f>IF($B7="OUI",Data_center!W83,0)</f>
        <v/>
      </c>
      <c r="Y7" s="360" t="str">
        <f>IF($B7="OUI",Data_center!X83,0)</f>
        <v/>
      </c>
      <c r="Z7" s="360" t="str">
        <f>IF($B7="OUI",Data_center!Y83,0)</f>
        <v/>
      </c>
      <c r="AA7" s="360" t="str">
        <f>IF($B7="OUI",Data_center!Z83,0)</f>
        <v/>
      </c>
      <c r="AB7" s="360" t="str">
        <f>IF($B7="OUI",Data_center!AA83,0)</f>
        <v/>
      </c>
    </row>
    <row r="8" spans="2:31" ht="66.599999999999994" customHeight="1" x14ac:dyDescent="0.25">
      <c r="B8" s="244" t="str">
        <f>'Resultats généraux'!A24</f>
        <v>OUI</v>
      </c>
      <c r="C8" s="359" t="str">
        <f>Data_center!$B$91</f>
        <v>Nouveau data center : Consommations énergétiques en phase utilisation</v>
      </c>
      <c r="D8" s="360">
        <f>IF($B8="OUI",Data_center!C104,0)</f>
        <v>679.78076048159517</v>
      </c>
      <c r="E8" s="360">
        <f>IF($B8="OUI",Data_center!D104,0)</f>
        <v>1359.5615209631903</v>
      </c>
      <c r="F8" s="360">
        <f>IF($B8="OUI",Data_center!E104,0)</f>
        <v>2039.3422814447854</v>
      </c>
      <c r="G8" s="360">
        <f>IF($B8="OUI",Data_center!F104,0)</f>
        <v>2039.3422814447856</v>
      </c>
      <c r="H8" s="360">
        <f>IF($B8="OUI",Data_center!G104,0)</f>
        <v>2039.3422814447856</v>
      </c>
      <c r="I8" s="360">
        <f>IF($B8="OUI",Data_center!H104,0)</f>
        <v>2039.3422814447856</v>
      </c>
      <c r="J8" s="360">
        <f>IF($B8="OUI",Data_center!I104,0)</f>
        <v>2039.3422814447856</v>
      </c>
      <c r="K8" s="360">
        <f>IF($B8="OUI",Data_center!J104,0)</f>
        <v>2039.3422814447856</v>
      </c>
      <c r="L8" s="360">
        <f>IF($B8="OUI",Data_center!K104,0)</f>
        <v>2039.3422814447856</v>
      </c>
      <c r="M8" s="360">
        <f>IF($B8="OUI",Data_center!L104,0)</f>
        <v>2039.3422814447856</v>
      </c>
      <c r="N8" s="360">
        <f>IF($B8="OUI",Data_center!M104,0)</f>
        <v>2039.3422814447856</v>
      </c>
      <c r="O8" s="360">
        <f>IF($B8="OUI",Data_center!N104,0)</f>
        <v>2039.3422814447856</v>
      </c>
      <c r="P8" s="360">
        <f>IF($B8="OUI",Data_center!O104,0)</f>
        <v>2039.3422814447856</v>
      </c>
      <c r="Q8" s="360">
        <f>IF($B8="OUI",Data_center!P104,0)</f>
        <v>2039.3422814447856</v>
      </c>
      <c r="R8" s="360">
        <f>IF($B8="OUI",Data_center!Q104,0)</f>
        <v>2039.3422814447856</v>
      </c>
      <c r="S8" s="360">
        <f>IF($B8="OUI",Data_center!R104,0)</f>
        <v>2039.3422814447856</v>
      </c>
      <c r="T8" s="360">
        <f>IF($B8="OUI",Data_center!S104,0)</f>
        <v>2039.3422814447856</v>
      </c>
      <c r="U8" s="360">
        <f>IF($B8="OUI",Data_center!T104,0)</f>
        <v>2039.3422814447856</v>
      </c>
      <c r="V8" s="360">
        <f>IF($B8="OUI",Data_center!U104,0)</f>
        <v>2039.3422814447856</v>
      </c>
      <c r="W8" s="360">
        <f>IF($B8="OUI",Data_center!V104,0)</f>
        <v>2039.3422814447856</v>
      </c>
      <c r="X8" s="360" t="str">
        <f>IF($B8="OUI",Data_center!W104,0)</f>
        <v/>
      </c>
      <c r="Y8" s="360" t="str">
        <f>IF($B8="OUI",Data_center!X104,0)</f>
        <v/>
      </c>
      <c r="Z8" s="360" t="str">
        <f>IF($B8="OUI",Data_center!Y104,0)</f>
        <v/>
      </c>
      <c r="AA8" s="360" t="str">
        <f>IF($B8="OUI",Data_center!Z104,0)</f>
        <v/>
      </c>
      <c r="AB8" s="360" t="str">
        <f>IF($B8="OUI",Data_center!AA104,0)</f>
        <v/>
      </c>
    </row>
    <row r="9" spans="2:31" ht="75.599999999999994" customHeight="1" x14ac:dyDescent="0.25">
      <c r="B9" s="244" t="str">
        <f>'Resultats généraux'!A25</f>
        <v>OUI</v>
      </c>
      <c r="C9" s="359" t="str">
        <f>Data_center!$B$132</f>
        <v>Changement de data center : Renouvellement des équipements</v>
      </c>
      <c r="D9" s="360">
        <f>IF($B9="OUI",Data_center!C141,0)</f>
        <v>162.91666666666666</v>
      </c>
      <c r="E9" s="360">
        <f>IF($B9="OUI",Data_center!D141,0)</f>
        <v>162.91666666666666</v>
      </c>
      <c r="F9" s="360">
        <f>IF($B9="OUI",Data_center!E141,0)</f>
        <v>162.91666666666666</v>
      </c>
      <c r="G9" s="360">
        <f>IF($B9="OUI",Data_center!F141,0)</f>
        <v>162.91666666666666</v>
      </c>
      <c r="H9" s="360">
        <f>IF($B9="OUI",Data_center!G141,0)</f>
        <v>162.91666666666666</v>
      </c>
      <c r="I9" s="360">
        <f>IF($B9="OUI",Data_center!H141,0)</f>
        <v>162.91666666666666</v>
      </c>
      <c r="J9" s="360">
        <f>IF($B9="OUI",Data_center!I141,0)</f>
        <v>162.91666666666666</v>
      </c>
      <c r="K9" s="360">
        <f>IF($B9="OUI",Data_center!J141,0)</f>
        <v>162.91666666666666</v>
      </c>
      <c r="L9" s="360">
        <f>IF($B9="OUI",Data_center!K141,0)</f>
        <v>162.91666666666666</v>
      </c>
      <c r="M9" s="360">
        <f>IF($B9="OUI",Data_center!L141,0)</f>
        <v>162.91666666666666</v>
      </c>
      <c r="N9" s="360">
        <f>IF($B9="OUI",Data_center!M141,0)</f>
        <v>162.91666666666666</v>
      </c>
      <c r="O9" s="360">
        <f>IF($B9="OUI",Data_center!N141,0)</f>
        <v>162.91666666666666</v>
      </c>
      <c r="P9" s="360">
        <f>IF($B9="OUI",Data_center!O141,0)</f>
        <v>162.91666666666666</v>
      </c>
      <c r="Q9" s="360">
        <f>IF($B9="OUI",Data_center!P141,0)</f>
        <v>162.91666666666666</v>
      </c>
      <c r="R9" s="360">
        <f>IF($B9="OUI",Data_center!Q141,0)</f>
        <v>162.91666666666666</v>
      </c>
      <c r="S9" s="360">
        <f>IF($B9="OUI",Data_center!R141,0)</f>
        <v>162.91666666666666</v>
      </c>
      <c r="T9" s="360">
        <f>IF($B9="OUI",Data_center!S141,0)</f>
        <v>162.91666666666666</v>
      </c>
      <c r="U9" s="360">
        <f>IF($B9="OUI",Data_center!T141,0)</f>
        <v>162.91666666666666</v>
      </c>
      <c r="V9" s="360">
        <f>IF($B9="OUI",Data_center!U141,0)</f>
        <v>162.91666666666666</v>
      </c>
      <c r="W9" s="360">
        <f>IF($B9="OUI",Data_center!V141,0)</f>
        <v>162.91666666666666</v>
      </c>
      <c r="X9" s="360" t="str">
        <f>IF($B9="OUI",Data_center!W141,0)</f>
        <v/>
      </c>
      <c r="Y9" s="360" t="str">
        <f>IF($B9="OUI",Data_center!X141,0)</f>
        <v/>
      </c>
      <c r="Z9" s="360" t="str">
        <f>IF($B9="OUI",Data_center!Y141,0)</f>
        <v/>
      </c>
      <c r="AA9" s="360" t="str">
        <f>IF($B9="OUI",Data_center!Z141,0)</f>
        <v/>
      </c>
      <c r="AB9" s="360" t="str">
        <f>IF($B9="OUI",Data_center!AA141,0)</f>
        <v/>
      </c>
    </row>
    <row r="10" spans="2:31" ht="45" x14ac:dyDescent="0.25">
      <c r="B10" s="244" t="str">
        <f>'Resultats généraux'!A26</f>
        <v>OUI</v>
      </c>
      <c r="C10" s="359" t="str">
        <f>Data_center!$B$149</f>
        <v>Changement de data center : Consommations énergétiques en phase utilisation</v>
      </c>
      <c r="D10" s="360">
        <f>IF($B10="OUI",Data_center!C166,0)</f>
        <v>-336.98704562312923</v>
      </c>
      <c r="E10" s="360">
        <f>IF($B10="OUI",Data_center!D166,0)</f>
        <v>-336.98704562312923</v>
      </c>
      <c r="F10" s="360">
        <f>IF($B10="OUI",Data_center!E166,0)</f>
        <v>-336.98704562312923</v>
      </c>
      <c r="G10" s="360">
        <f>IF($B10="OUI",Data_center!F166,0)</f>
        <v>-336.98704562312923</v>
      </c>
      <c r="H10" s="360">
        <f>IF($B10="OUI",Data_center!G166,0)</f>
        <v>-336.98704562312923</v>
      </c>
      <c r="I10" s="360">
        <f>IF($B10="OUI",Data_center!H166,0)</f>
        <v>-336.98704562312923</v>
      </c>
      <c r="J10" s="360">
        <f>IF($B10="OUI",Data_center!I166,0)</f>
        <v>-336.98704562312923</v>
      </c>
      <c r="K10" s="360">
        <f>IF($B10="OUI",Data_center!J166,0)</f>
        <v>-336.98704562312923</v>
      </c>
      <c r="L10" s="360">
        <f>IF($B10="OUI",Data_center!K166,0)</f>
        <v>-336.98704562312923</v>
      </c>
      <c r="M10" s="360">
        <f>IF($B10="OUI",Data_center!L166,0)</f>
        <v>-336.98704562312923</v>
      </c>
      <c r="N10" s="360">
        <f>IF($B10="OUI",Data_center!M166,0)</f>
        <v>-336.98704562312923</v>
      </c>
      <c r="O10" s="360">
        <f>IF($B10="OUI",Data_center!N166,0)</f>
        <v>-336.98704562312923</v>
      </c>
      <c r="P10" s="360">
        <f>IF($B10="OUI",Data_center!O166,0)</f>
        <v>-336.98704562312923</v>
      </c>
      <c r="Q10" s="360">
        <f>IF($B10="OUI",Data_center!P166,0)</f>
        <v>-336.98704562312923</v>
      </c>
      <c r="R10" s="360">
        <f>IF($B10="OUI",Data_center!Q166,0)</f>
        <v>-336.98704562312923</v>
      </c>
      <c r="S10" s="360">
        <f>IF($B10="OUI",Data_center!R166,0)</f>
        <v>-336.98704562312923</v>
      </c>
      <c r="T10" s="360">
        <f>IF($B10="OUI",Data_center!S166,0)</f>
        <v>-336.98704562312923</v>
      </c>
      <c r="U10" s="360">
        <f>IF($B10="OUI",Data_center!T166,0)</f>
        <v>-336.98704562312923</v>
      </c>
      <c r="V10" s="360">
        <f>IF($B10="OUI",Data_center!U166,0)</f>
        <v>-336.98704562312923</v>
      </c>
      <c r="W10" s="360">
        <f>IF($B10="OUI",Data_center!V166,0)</f>
        <v>-336.98704562312923</v>
      </c>
      <c r="X10" s="360" t="str">
        <f>IF($B10="OUI",Data_center!W166,0)</f>
        <v/>
      </c>
      <c r="Y10" s="360" t="str">
        <f>IF($B10="OUI",Data_center!X166,0)</f>
        <v/>
      </c>
      <c r="Z10" s="360" t="str">
        <f>IF($B10="OUI",Data_center!Y166,0)</f>
        <v/>
      </c>
      <c r="AA10" s="360" t="str">
        <f>IF($B10="OUI",Data_center!Z166,0)</f>
        <v/>
      </c>
      <c r="AB10" s="360" t="str">
        <f>IF($B10="OUI",Data_center!AA166,0)</f>
        <v/>
      </c>
    </row>
    <row r="11" spans="2:31" x14ac:dyDescent="0.25">
      <c r="B11" s="73" t="s">
        <v>201</v>
      </c>
      <c r="C11" s="73" t="s">
        <v>322</v>
      </c>
    </row>
    <row r="12" spans="2:31" ht="30" x14ac:dyDescent="0.25">
      <c r="B12" s="393" t="s">
        <v>1200</v>
      </c>
      <c r="C12" s="193"/>
      <c r="D12" s="149"/>
      <c r="E12" s="149"/>
      <c r="F12" s="149"/>
      <c r="G12" s="149"/>
      <c r="H12" s="149"/>
      <c r="I12" s="149"/>
      <c r="J12" s="149"/>
      <c r="K12" s="149"/>
      <c r="L12" s="149"/>
      <c r="M12" s="149"/>
    </row>
    <row r="13" spans="2:31" x14ac:dyDescent="0.25">
      <c r="B13" s="173" t="s">
        <v>833</v>
      </c>
      <c r="C13" s="164" t="str">
        <f>Hypothèses_projet!C2</f>
        <v>Colombia</v>
      </c>
      <c r="D13" s="149"/>
      <c r="E13" s="149"/>
      <c r="F13" s="149"/>
      <c r="G13" s="149"/>
      <c r="H13" s="149"/>
      <c r="I13" s="149"/>
      <c r="J13" s="149"/>
      <c r="K13" s="149"/>
      <c r="L13" s="149"/>
      <c r="M13" s="149"/>
    </row>
    <row r="14" spans="2:31" x14ac:dyDescent="0.25">
      <c r="B14" s="173" t="s">
        <v>60</v>
      </c>
      <c r="C14" s="164">
        <f>Hypothèses_projet!C3</f>
        <v>2021</v>
      </c>
      <c r="D14" s="149"/>
      <c r="E14" s="149"/>
      <c r="F14" s="149"/>
      <c r="G14" s="149"/>
      <c r="H14" s="149"/>
      <c r="I14" s="149"/>
      <c r="J14" s="149"/>
      <c r="K14" s="149"/>
      <c r="L14" s="149"/>
      <c r="M14" s="149"/>
    </row>
    <row r="15" spans="2:31" x14ac:dyDescent="0.25">
      <c r="B15" s="173" t="s">
        <v>233</v>
      </c>
      <c r="C15" s="164">
        <f>Hypothèses_projet!C4</f>
        <v>2024</v>
      </c>
      <c r="D15" s="149"/>
      <c r="E15" s="149"/>
      <c r="F15" s="149"/>
      <c r="G15" s="149"/>
      <c r="H15" s="149"/>
      <c r="I15" s="149"/>
      <c r="J15" s="149"/>
      <c r="K15" s="149"/>
      <c r="L15" s="149"/>
      <c r="M15" s="149"/>
    </row>
    <row r="16" spans="2:31" x14ac:dyDescent="0.25">
      <c r="B16" s="266" t="s">
        <v>73</v>
      </c>
      <c r="C16" s="458">
        <f>INDEX(FE_par_pays!$A$8:$F$242,MATCH(C13,FE_par_pays!$A$8:$A$242,0),5)</f>
        <v>230.88184773797497</v>
      </c>
      <c r="D16" s="146" t="s">
        <v>159</v>
      </c>
      <c r="F16" s="459" t="s">
        <v>834</v>
      </c>
      <c r="G16" s="149"/>
      <c r="H16" s="149"/>
      <c r="I16" s="149"/>
      <c r="J16" s="149"/>
      <c r="K16" s="149"/>
      <c r="L16" s="149"/>
      <c r="M16" s="149"/>
    </row>
    <row r="17" spans="2:16" x14ac:dyDescent="0.25">
      <c r="B17" s="164"/>
      <c r="C17" s="164"/>
      <c r="D17" s="149"/>
      <c r="E17" s="149"/>
      <c r="F17" s="149"/>
      <c r="G17" s="149"/>
      <c r="H17" s="149"/>
      <c r="I17" s="149"/>
      <c r="J17" s="149"/>
      <c r="K17" s="149"/>
      <c r="L17" s="149"/>
      <c r="M17" s="149"/>
    </row>
    <row r="18" spans="2:16" x14ac:dyDescent="0.25">
      <c r="B18" s="164"/>
      <c r="C18" s="164"/>
      <c r="D18" s="149"/>
      <c r="E18" s="149"/>
      <c r="F18" s="149"/>
      <c r="G18" s="149"/>
      <c r="H18" s="149"/>
      <c r="I18" s="149"/>
      <c r="J18" s="149"/>
      <c r="K18" s="149"/>
      <c r="L18" s="149"/>
      <c r="M18" s="149"/>
    </row>
    <row r="19" spans="2:16" x14ac:dyDescent="0.25">
      <c r="B19" s="164"/>
      <c r="C19" s="164"/>
      <c r="D19" s="149"/>
      <c r="E19" s="149"/>
      <c r="F19" s="149"/>
      <c r="G19" s="149"/>
      <c r="H19" s="149"/>
      <c r="I19" s="149"/>
      <c r="J19" s="149"/>
      <c r="K19" s="149"/>
      <c r="L19" s="149"/>
      <c r="M19" s="149"/>
    </row>
    <row r="20" spans="2:16" x14ac:dyDescent="0.25">
      <c r="B20" s="173" t="s">
        <v>1243</v>
      </c>
      <c r="C20" s="163">
        <v>100</v>
      </c>
      <c r="D20" s="149" t="s">
        <v>1</v>
      </c>
      <c r="E20" s="149"/>
      <c r="F20" s="149"/>
      <c r="G20" s="149"/>
      <c r="H20" s="149"/>
      <c r="I20" s="149"/>
      <c r="J20" s="149"/>
      <c r="K20" s="149"/>
      <c r="L20" s="149"/>
      <c r="M20" s="149"/>
    </row>
    <row r="21" spans="2:16" ht="30" x14ac:dyDescent="0.25">
      <c r="B21" s="174" t="s">
        <v>1256</v>
      </c>
      <c r="C21" s="163">
        <v>0</v>
      </c>
      <c r="D21" s="149" t="s">
        <v>1</v>
      </c>
      <c r="E21" s="149"/>
      <c r="F21" s="149"/>
      <c r="G21" s="149"/>
      <c r="H21" s="149"/>
      <c r="I21" s="149"/>
      <c r="J21" s="149"/>
      <c r="K21" s="149"/>
      <c r="L21" s="149"/>
      <c r="M21" s="149"/>
    </row>
    <row r="22" spans="2:16" x14ac:dyDescent="0.25">
      <c r="E22" s="149"/>
      <c r="F22" s="149"/>
      <c r="G22" s="149"/>
      <c r="H22" s="149"/>
      <c r="I22" s="149"/>
      <c r="J22" s="149"/>
      <c r="K22" s="149"/>
      <c r="L22" s="149"/>
      <c r="M22" s="149"/>
    </row>
    <row r="23" spans="2:16" x14ac:dyDescent="0.25">
      <c r="B23" s="174" t="s">
        <v>1198</v>
      </c>
      <c r="C23" s="163">
        <v>10</v>
      </c>
      <c r="D23" s="149" t="s">
        <v>1</v>
      </c>
      <c r="E23" s="149"/>
      <c r="F23" s="149"/>
      <c r="G23" s="149"/>
      <c r="H23" s="149"/>
      <c r="I23" s="149"/>
      <c r="J23" s="149"/>
      <c r="K23" s="149"/>
      <c r="L23" s="149"/>
      <c r="M23" s="149"/>
    </row>
    <row r="24" spans="2:16" ht="30" x14ac:dyDescent="0.25">
      <c r="B24" s="174" t="s">
        <v>1199</v>
      </c>
      <c r="C24" s="163">
        <v>90</v>
      </c>
      <c r="D24" s="149" t="s">
        <v>1</v>
      </c>
      <c r="E24" s="149"/>
      <c r="F24" s="149"/>
      <c r="G24" s="149"/>
      <c r="H24" s="149"/>
      <c r="I24" s="149"/>
      <c r="J24" s="149"/>
      <c r="K24" s="149"/>
      <c r="L24" s="149"/>
      <c r="M24" s="149"/>
    </row>
    <row r="25" spans="2:16" ht="24" customHeight="1" x14ac:dyDescent="0.25"/>
    <row r="26" spans="2:16" ht="25.5" customHeight="1" x14ac:dyDescent="0.25">
      <c r="B26" s="460" t="s">
        <v>203</v>
      </c>
      <c r="C26" s="461">
        <f>($C$20*($C$24+$C$23)/$C$28/100+$C$21/$C$29)/100</f>
        <v>1</v>
      </c>
      <c r="F26" s="229" t="s">
        <v>204</v>
      </c>
      <c r="G26" s="273"/>
      <c r="H26" s="273"/>
      <c r="I26" s="273"/>
    </row>
    <row r="27" spans="2:16" ht="152.1" customHeight="1" x14ac:dyDescent="0.25">
      <c r="B27" s="462" t="s">
        <v>1249</v>
      </c>
      <c r="F27" s="279" t="s">
        <v>1248</v>
      </c>
      <c r="G27" s="279"/>
      <c r="H27" s="279"/>
      <c r="I27" s="279"/>
      <c r="J27" s="279"/>
      <c r="K27" s="279"/>
      <c r="L27" s="279"/>
      <c r="M27" s="279"/>
      <c r="N27" s="279"/>
      <c r="O27" s="279"/>
      <c r="P27" s="279"/>
    </row>
    <row r="28" spans="2:16" x14ac:dyDescent="0.25">
      <c r="B28" s="146" t="s">
        <v>415</v>
      </c>
      <c r="C28" s="268">
        <v>1</v>
      </c>
      <c r="F28" s="180" t="s">
        <v>374</v>
      </c>
    </row>
    <row r="29" spans="2:16" x14ac:dyDescent="0.25">
      <c r="B29" s="146" t="s">
        <v>1250</v>
      </c>
      <c r="C29" s="268">
        <v>0.375</v>
      </c>
      <c r="F29" s="180" t="s">
        <v>374</v>
      </c>
    </row>
    <row r="31" spans="2:16" x14ac:dyDescent="0.25">
      <c r="B31" s="155"/>
      <c r="C31" s="155"/>
      <c r="D31" s="155"/>
      <c r="E31" s="155"/>
      <c r="F31" s="155"/>
      <c r="G31" s="155"/>
      <c r="H31" s="155"/>
      <c r="I31" s="155"/>
      <c r="J31" s="155"/>
    </row>
    <row r="32" spans="2:16" x14ac:dyDescent="0.25">
      <c r="B32" s="463" t="s">
        <v>132</v>
      </c>
      <c r="C32" s="463"/>
      <c r="D32" s="412"/>
      <c r="E32" s="412"/>
      <c r="F32" s="463"/>
      <c r="G32" s="463"/>
      <c r="H32" s="463"/>
      <c r="I32" s="412"/>
      <c r="J32" s="412"/>
      <c r="K32" s="73" t="s">
        <v>201</v>
      </c>
    </row>
    <row r="33" spans="2:17" x14ac:dyDescent="0.25">
      <c r="K33" s="73" t="s">
        <v>322</v>
      </c>
    </row>
    <row r="34" spans="2:17" x14ac:dyDescent="0.25">
      <c r="B34" s="249"/>
      <c r="C34" s="249"/>
      <c r="D34" s="205"/>
      <c r="E34" s="249" t="s">
        <v>19</v>
      </c>
      <c r="F34" s="205"/>
      <c r="G34" s="249" t="s">
        <v>4</v>
      </c>
      <c r="H34" s="205"/>
      <c r="I34" s="249" t="s">
        <v>83</v>
      </c>
    </row>
    <row r="36" spans="2:17" x14ac:dyDescent="0.25">
      <c r="B36" s="50" t="s">
        <v>536</v>
      </c>
      <c r="C36" s="146" t="s">
        <v>537</v>
      </c>
    </row>
    <row r="37" spans="2:17" x14ac:dyDescent="0.25">
      <c r="B37" s="50" t="s">
        <v>535</v>
      </c>
      <c r="C37" s="146" t="s">
        <v>538</v>
      </c>
    </row>
    <row r="38" spans="2:17" x14ac:dyDescent="0.25">
      <c r="B38" s="50"/>
      <c r="C38" s="146" t="s">
        <v>539</v>
      </c>
    </row>
    <row r="39" spans="2:17" x14ac:dyDescent="0.25">
      <c r="B39" s="50"/>
      <c r="C39" s="247" t="s">
        <v>540</v>
      </c>
      <c r="D39" s="247"/>
      <c r="E39" s="247"/>
      <c r="F39" s="247"/>
      <c r="G39" s="247"/>
      <c r="H39" s="247"/>
      <c r="I39" s="247"/>
      <c r="J39" s="247"/>
    </row>
    <row r="40" spans="2:17" x14ac:dyDescent="0.25">
      <c r="B40" s="50"/>
      <c r="C40" s="247"/>
      <c r="D40" s="247"/>
      <c r="E40" s="247"/>
      <c r="F40" s="247"/>
      <c r="G40" s="247"/>
      <c r="H40" s="247"/>
      <c r="I40" s="247"/>
      <c r="J40" s="247"/>
    </row>
    <row r="41" spans="2:17" x14ac:dyDescent="0.25">
      <c r="B41" s="50"/>
      <c r="C41" s="247"/>
      <c r="D41" s="247"/>
      <c r="E41" s="247"/>
      <c r="F41" s="247"/>
      <c r="G41" s="247"/>
      <c r="H41" s="247"/>
      <c r="I41" s="247"/>
      <c r="J41" s="247"/>
    </row>
    <row r="42" spans="2:17" x14ac:dyDescent="0.25">
      <c r="B42" s="50"/>
    </row>
    <row r="43" spans="2:17" x14ac:dyDescent="0.25">
      <c r="B43" s="146" t="s">
        <v>229</v>
      </c>
      <c r="E43" s="284">
        <f>(E58*E46+E51*E62+E50*E61+E60+SUM(E63:E66)*E56)/1000+E68</f>
        <v>1311.0219339622643</v>
      </c>
      <c r="G43" s="146" t="s">
        <v>99</v>
      </c>
      <c r="I43" s="464" t="s">
        <v>417</v>
      </c>
      <c r="J43" s="464"/>
      <c r="K43" s="464"/>
      <c r="L43" s="464"/>
      <c r="M43" s="464"/>
      <c r="N43" s="464"/>
      <c r="O43" s="464"/>
      <c r="P43" s="464"/>
      <c r="Q43" s="464"/>
    </row>
    <row r="44" spans="2:17" x14ac:dyDescent="0.25">
      <c r="I44" s="464" t="s">
        <v>418</v>
      </c>
      <c r="J44" s="464"/>
      <c r="K44" s="464"/>
      <c r="L44" s="464"/>
      <c r="M44" s="464"/>
      <c r="N44" s="464"/>
      <c r="O44" s="464"/>
      <c r="P44" s="464"/>
      <c r="Q44" s="464"/>
    </row>
    <row r="45" spans="2:17" x14ac:dyDescent="0.25">
      <c r="I45" s="464"/>
      <c r="J45" s="464"/>
      <c r="K45" s="464"/>
      <c r="L45" s="464"/>
      <c r="M45" s="464"/>
      <c r="N45" s="464"/>
      <c r="O45" s="464"/>
      <c r="P45" s="464"/>
      <c r="Q45" s="464"/>
    </row>
    <row r="46" spans="2:17" x14ac:dyDescent="0.25">
      <c r="B46" s="465" t="s">
        <v>98</v>
      </c>
      <c r="E46" s="466">
        <v>500</v>
      </c>
      <c r="I46" s="146" t="s">
        <v>205</v>
      </c>
    </row>
    <row r="47" spans="2:17" x14ac:dyDescent="0.25">
      <c r="B47" s="465"/>
      <c r="I47" s="146" t="s">
        <v>379</v>
      </c>
    </row>
    <row r="48" spans="2:17" x14ac:dyDescent="0.25">
      <c r="B48" s="465" t="s">
        <v>128</v>
      </c>
      <c r="E48" s="466">
        <v>11.5</v>
      </c>
      <c r="G48" s="146" t="s">
        <v>162</v>
      </c>
      <c r="I48" s="464" t="s">
        <v>230</v>
      </c>
    </row>
    <row r="49" spans="2:10" x14ac:dyDescent="0.25">
      <c r="B49" s="465"/>
      <c r="I49" s="146" t="s">
        <v>1229</v>
      </c>
    </row>
    <row r="50" spans="2:10" x14ac:dyDescent="0.25">
      <c r="B50" s="465" t="s">
        <v>125</v>
      </c>
      <c r="E50" s="466">
        <v>15</v>
      </c>
    </row>
    <row r="51" spans="2:10" x14ac:dyDescent="0.25">
      <c r="B51" s="465" t="s">
        <v>160</v>
      </c>
      <c r="E51" s="466">
        <f>INT(E46/42)+1</f>
        <v>12</v>
      </c>
      <c r="I51" s="146" t="s">
        <v>380</v>
      </c>
    </row>
    <row r="52" spans="2:10" x14ac:dyDescent="0.25">
      <c r="B52" s="465"/>
    </row>
    <row r="53" spans="2:10" x14ac:dyDescent="0.25">
      <c r="B53" s="146" t="s">
        <v>206</v>
      </c>
      <c r="E53" s="268">
        <v>1000</v>
      </c>
      <c r="G53" s="146" t="s">
        <v>69</v>
      </c>
      <c r="I53" s="50" t="s">
        <v>1230</v>
      </c>
    </row>
    <row r="54" spans="2:10" ht="60" x14ac:dyDescent="0.25">
      <c r="E54" s="467"/>
      <c r="I54" s="129" t="s">
        <v>387</v>
      </c>
      <c r="J54" s="199" t="s">
        <v>58</v>
      </c>
    </row>
    <row r="55" spans="2:10" x14ac:dyDescent="0.25">
      <c r="B55" s="465"/>
    </row>
    <row r="56" spans="2:10" x14ac:dyDescent="0.25">
      <c r="B56" s="465" t="s">
        <v>1231</v>
      </c>
      <c r="E56" s="149">
        <f>E46*E48</f>
        <v>5750</v>
      </c>
      <c r="G56" s="146" t="s">
        <v>162</v>
      </c>
      <c r="I56" s="146" t="s">
        <v>161</v>
      </c>
    </row>
    <row r="57" spans="2:10" x14ac:dyDescent="0.25">
      <c r="B57" s="146" t="s">
        <v>66</v>
      </c>
      <c r="E57" s="146">
        <v>85</v>
      </c>
      <c r="G57" s="146" t="s">
        <v>149</v>
      </c>
      <c r="I57" s="146" t="s">
        <v>231</v>
      </c>
    </row>
    <row r="58" spans="2:10" x14ac:dyDescent="0.25">
      <c r="B58" s="146" t="s">
        <v>276</v>
      </c>
      <c r="E58" s="146">
        <f>E57*E48</f>
        <v>977.5</v>
      </c>
      <c r="G58" s="146" t="s">
        <v>63</v>
      </c>
    </row>
    <row r="60" spans="2:10" x14ac:dyDescent="0.25">
      <c r="B60" s="146" t="s">
        <v>126</v>
      </c>
      <c r="E60" s="146">
        <v>680</v>
      </c>
      <c r="G60" s="146" t="s">
        <v>63</v>
      </c>
      <c r="I60" s="146" t="s">
        <v>231</v>
      </c>
    </row>
    <row r="61" spans="2:10" x14ac:dyDescent="0.25">
      <c r="B61" s="146" t="s">
        <v>148</v>
      </c>
      <c r="E61" s="146">
        <v>15.5</v>
      </c>
      <c r="G61" s="146" t="s">
        <v>63</v>
      </c>
      <c r="I61" s="146" t="s">
        <v>231</v>
      </c>
    </row>
    <row r="62" spans="2:10" x14ac:dyDescent="0.25">
      <c r="B62" s="146" t="s">
        <v>127</v>
      </c>
      <c r="E62" s="146">
        <v>500</v>
      </c>
      <c r="G62" s="146" t="s">
        <v>63</v>
      </c>
      <c r="I62" s="146" t="s">
        <v>231</v>
      </c>
    </row>
    <row r="63" spans="2:10" x14ac:dyDescent="0.25">
      <c r="B63" s="146" t="s">
        <v>569</v>
      </c>
      <c r="E63" s="146">
        <v>80</v>
      </c>
      <c r="G63" s="146" t="s">
        <v>131</v>
      </c>
      <c r="I63" s="146" t="s">
        <v>231</v>
      </c>
    </row>
    <row r="64" spans="2:10" x14ac:dyDescent="0.25">
      <c r="B64" s="146" t="s">
        <v>129</v>
      </c>
      <c r="E64" s="146">
        <v>13</v>
      </c>
      <c r="G64" s="146" t="s">
        <v>131</v>
      </c>
      <c r="I64" s="146" t="s">
        <v>231</v>
      </c>
    </row>
    <row r="65" spans="2:11" x14ac:dyDescent="0.25">
      <c r="B65" s="146" t="s">
        <v>571</v>
      </c>
      <c r="E65" s="146">
        <v>5</v>
      </c>
      <c r="G65" s="146" t="s">
        <v>131</v>
      </c>
      <c r="I65" s="146" t="s">
        <v>231</v>
      </c>
    </row>
    <row r="66" spans="2:11" x14ac:dyDescent="0.25">
      <c r="B66" s="146" t="s">
        <v>130</v>
      </c>
      <c r="E66" s="146">
        <v>1.8</v>
      </c>
      <c r="G66" s="146" t="s">
        <v>131</v>
      </c>
      <c r="I66" s="146" t="s">
        <v>231</v>
      </c>
    </row>
    <row r="68" spans="2:11" x14ac:dyDescent="0.25">
      <c r="B68" s="146" t="s">
        <v>208</v>
      </c>
      <c r="E68" s="467">
        <f>E70*E53/1000</f>
        <v>241.50943396226415</v>
      </c>
      <c r="G68" s="146" t="s">
        <v>99</v>
      </c>
    </row>
    <row r="69" spans="2:11" x14ac:dyDescent="0.25">
      <c r="E69" s="467"/>
    </row>
    <row r="70" spans="2:11" ht="90" x14ac:dyDescent="0.25">
      <c r="B70" s="199" t="s">
        <v>207</v>
      </c>
      <c r="C70" s="199"/>
      <c r="D70" s="199"/>
      <c r="E70" s="223">
        <f>128/530*1000</f>
        <v>241.50943396226415</v>
      </c>
      <c r="F70" s="199"/>
      <c r="G70" s="199" t="s">
        <v>209</v>
      </c>
      <c r="I70" s="468" t="s">
        <v>388</v>
      </c>
    </row>
    <row r="71" spans="2:11" x14ac:dyDescent="0.25">
      <c r="B71" s="251"/>
      <c r="C71" s="251"/>
      <c r="D71" s="251"/>
      <c r="E71" s="251"/>
      <c r="F71" s="251"/>
      <c r="G71" s="251"/>
      <c r="H71" s="251"/>
      <c r="I71" s="251"/>
      <c r="J71" s="251"/>
      <c r="K71" s="251"/>
    </row>
    <row r="72" spans="2:11" x14ac:dyDescent="0.25">
      <c r="B72" s="155"/>
      <c r="C72" s="155"/>
      <c r="D72" s="155"/>
      <c r="E72" s="155"/>
      <c r="F72" s="155"/>
      <c r="G72" s="155"/>
      <c r="H72" s="155"/>
      <c r="I72" s="155"/>
      <c r="J72" s="155"/>
      <c r="K72" s="251"/>
    </row>
    <row r="73" spans="2:11" ht="33.6" customHeight="1" x14ac:dyDescent="0.25">
      <c r="B73" s="469" t="s">
        <v>382</v>
      </c>
      <c r="C73" s="469"/>
      <c r="D73" s="469"/>
      <c r="E73" s="469"/>
      <c r="F73" s="469"/>
      <c r="G73" s="412"/>
      <c r="H73" s="412"/>
      <c r="I73" s="412"/>
      <c r="J73" s="412"/>
      <c r="K73" s="251"/>
    </row>
    <row r="74" spans="2:11" x14ac:dyDescent="0.25">
      <c r="B74" s="251"/>
      <c r="C74" s="251"/>
      <c r="D74" s="251"/>
      <c r="E74" s="251"/>
      <c r="F74" s="251"/>
      <c r="G74" s="251"/>
      <c r="H74" s="251"/>
      <c r="I74" s="251"/>
      <c r="J74" s="251"/>
      <c r="K74" s="251"/>
    </row>
    <row r="75" spans="2:11" ht="36.6" customHeight="1" x14ac:dyDescent="0.25">
      <c r="B75" s="470" t="s">
        <v>536</v>
      </c>
      <c r="C75" s="211" t="s">
        <v>541</v>
      </c>
      <c r="D75" s="211"/>
      <c r="E75" s="211"/>
      <c r="F75" s="211"/>
      <c r="G75" s="211"/>
      <c r="H75" s="211"/>
      <c r="I75" s="211"/>
      <c r="J75" s="211"/>
      <c r="K75" s="251"/>
    </row>
    <row r="76" spans="2:11" ht="30.6" customHeight="1" x14ac:dyDescent="0.25">
      <c r="B76" s="470"/>
      <c r="C76" s="211"/>
      <c r="D76" s="211"/>
      <c r="E76" s="211"/>
      <c r="F76" s="211"/>
      <c r="G76" s="211"/>
      <c r="H76" s="211"/>
      <c r="I76" s="211"/>
      <c r="J76" s="211"/>
      <c r="K76" s="251"/>
    </row>
    <row r="77" spans="2:11" ht="36.950000000000003" customHeight="1" x14ac:dyDescent="0.25">
      <c r="B77" s="470" t="s">
        <v>526</v>
      </c>
      <c r="C77" s="220" t="s">
        <v>542</v>
      </c>
      <c r="D77" s="470"/>
      <c r="E77" s="470"/>
      <c r="F77" s="470"/>
      <c r="G77" s="470"/>
      <c r="H77" s="470"/>
      <c r="I77" s="470"/>
      <c r="J77" s="470"/>
      <c r="K77" s="251"/>
    </row>
    <row r="78" spans="2:11" ht="36.950000000000003" customHeight="1" x14ac:dyDescent="0.25">
      <c r="B78" s="470"/>
      <c r="C78" s="220" t="s">
        <v>543</v>
      </c>
      <c r="D78" s="470"/>
      <c r="E78" s="470"/>
      <c r="F78" s="470"/>
      <c r="G78" s="470"/>
      <c r="H78" s="470"/>
      <c r="I78" s="470"/>
      <c r="J78" s="470"/>
      <c r="K78" s="251"/>
    </row>
    <row r="79" spans="2:11" ht="36.950000000000003" customHeight="1" x14ac:dyDescent="0.25">
      <c r="B79" s="470"/>
      <c r="C79" s="220"/>
      <c r="D79" s="470"/>
      <c r="E79" s="470"/>
      <c r="F79" s="470"/>
      <c r="G79" s="470"/>
      <c r="H79" s="470"/>
      <c r="I79" s="470"/>
      <c r="J79" s="470"/>
      <c r="K79" s="251"/>
    </row>
    <row r="80" spans="2:11" x14ac:dyDescent="0.25">
      <c r="B80" s="251"/>
      <c r="C80" s="251"/>
      <c r="D80" s="251"/>
      <c r="E80" s="251"/>
      <c r="F80" s="251"/>
      <c r="G80" s="251"/>
      <c r="H80" s="251"/>
      <c r="I80" s="251"/>
      <c r="J80" s="251"/>
      <c r="K80" s="251"/>
    </row>
    <row r="81" spans="2:27" x14ac:dyDescent="0.25">
      <c r="B81" s="238" t="s">
        <v>89</v>
      </c>
      <c r="C81" s="239"/>
      <c r="D81" s="239"/>
      <c r="E81" s="239"/>
      <c r="F81" s="239"/>
      <c r="G81" s="239"/>
      <c r="H81" s="239"/>
      <c r="I81" s="239"/>
      <c r="J81" s="239"/>
      <c r="K81" s="239"/>
      <c r="L81" s="239"/>
    </row>
    <row r="82" spans="2:27" x14ac:dyDescent="0.25">
      <c r="B82" s="240" t="s">
        <v>26</v>
      </c>
      <c r="C82" s="240">
        <f>Hypothèses_projet!$C$3</f>
        <v>2021</v>
      </c>
      <c r="D82" s="240">
        <f>IF(Hypothèses_projet!$C$6&lt;=C82,"",C82+1)</f>
        <v>2022</v>
      </c>
      <c r="E82" s="240">
        <f>IF(Hypothèses_projet!$C$6&lt;=D82,"",D82+1)</f>
        <v>2023</v>
      </c>
      <c r="F82" s="240">
        <f>IF(Hypothèses_projet!$C$6&lt;=E82,"",E82+1)</f>
        <v>2024</v>
      </c>
      <c r="G82" s="240">
        <f>IF(Hypothèses_projet!$C$6&lt;=F82,"",F82+1)</f>
        <v>2025</v>
      </c>
      <c r="H82" s="240">
        <f>IF(Hypothèses_projet!$C$6&lt;=G82,"",G82+1)</f>
        <v>2026</v>
      </c>
      <c r="I82" s="240">
        <f>IF(Hypothèses_projet!$C$6&lt;=H82,"",H82+1)</f>
        <v>2027</v>
      </c>
      <c r="J82" s="240">
        <f>IF(Hypothèses_projet!$C$6&lt;=I82,"",I82+1)</f>
        <v>2028</v>
      </c>
      <c r="K82" s="240">
        <f>IF(Hypothèses_projet!$C$6&lt;=J82,"",J82+1)</f>
        <v>2029</v>
      </c>
      <c r="L82" s="240">
        <f>IF(Hypothèses_projet!$C$6&lt;=K82,"",K82+1)</f>
        <v>2030</v>
      </c>
      <c r="M82" s="240">
        <f>IF(Hypothèses_projet!$C$6&lt;=L82,"",L82+1)</f>
        <v>2031</v>
      </c>
      <c r="N82" s="240">
        <f>IF(Hypothèses_projet!$C$6&lt;=M82,"",M82+1)</f>
        <v>2032</v>
      </c>
      <c r="O82" s="240">
        <f>IF(Hypothèses_projet!$C$6&lt;=N82,"",N82+1)</f>
        <v>2033</v>
      </c>
      <c r="P82" s="240">
        <f>IF(Hypothèses_projet!$C$6&lt;=O82,"",O82+1)</f>
        <v>2034</v>
      </c>
      <c r="Q82" s="240">
        <f>IF(Hypothèses_projet!$C$6&lt;=P82,"",P82+1)</f>
        <v>2035</v>
      </c>
      <c r="R82" s="240">
        <f>IF(Hypothèses_projet!$C$6&lt;=Q82,"",Q82+1)</f>
        <v>2036</v>
      </c>
      <c r="S82" s="240">
        <f>IF(Hypothèses_projet!$C$6&lt;=R82,"",R82+1)</f>
        <v>2037</v>
      </c>
      <c r="T82" s="240">
        <f>IF(Hypothèses_projet!$C$6&lt;=S82,"",S82+1)</f>
        <v>2038</v>
      </c>
      <c r="U82" s="240">
        <f>IF(Hypothèses_projet!$C$6&lt;=T82,"",T82+1)</f>
        <v>2039</v>
      </c>
      <c r="V82" s="240">
        <f>IF(Hypothèses_projet!$C$6&lt;=U82,"",U82+1)</f>
        <v>2040</v>
      </c>
      <c r="W82" s="240" t="str">
        <f>IF(Hypothèses_projet!$C$6&lt;=V82,"",V82+1)</f>
        <v/>
      </c>
      <c r="X82" s="240" t="str">
        <f>IF(Hypothèses_projet!$C$6&lt;=W82,"",W82+1)</f>
        <v/>
      </c>
      <c r="Y82" s="240" t="str">
        <f>IF(Hypothèses_projet!$C$6&lt;=X82,"",X82+1)</f>
        <v/>
      </c>
      <c r="Z82" s="240" t="str">
        <f>IF(Hypothèses_projet!$C$6&lt;=Y82,"",Y82+1)</f>
        <v/>
      </c>
      <c r="AA82" s="240" t="str">
        <f>IF(Hypothèses_projet!$C$6&lt;=Z82,"",Z82+1)</f>
        <v/>
      </c>
    </row>
    <row r="83" spans="2:27" x14ac:dyDescent="0.25">
      <c r="B83" s="248" t="s">
        <v>176</v>
      </c>
      <c r="C83" s="457">
        <f>0</f>
        <v>0</v>
      </c>
      <c r="D83" s="457">
        <f t="shared" ref="D83:AA83" si="1">IF(D82="","",IF(D82&lt;$C$15,$E$46*$E$58/$E$87/1000/($C$15-$C$14)*(D82-$C$14),$E$46*$E$58/$E$87/1000))</f>
        <v>54.30555555555555</v>
      </c>
      <c r="E83" s="457">
        <f t="shared" si="1"/>
        <v>108.6111111111111</v>
      </c>
      <c r="F83" s="457">
        <f t="shared" si="1"/>
        <v>162.91666666666666</v>
      </c>
      <c r="G83" s="457">
        <f t="shared" si="1"/>
        <v>162.91666666666666</v>
      </c>
      <c r="H83" s="457">
        <f t="shared" si="1"/>
        <v>162.91666666666666</v>
      </c>
      <c r="I83" s="457">
        <f t="shared" si="1"/>
        <v>162.91666666666666</v>
      </c>
      <c r="J83" s="457">
        <f t="shared" si="1"/>
        <v>162.91666666666666</v>
      </c>
      <c r="K83" s="457">
        <f t="shared" si="1"/>
        <v>162.91666666666666</v>
      </c>
      <c r="L83" s="457">
        <f t="shared" si="1"/>
        <v>162.91666666666666</v>
      </c>
      <c r="M83" s="457">
        <f t="shared" si="1"/>
        <v>162.91666666666666</v>
      </c>
      <c r="N83" s="457">
        <f t="shared" si="1"/>
        <v>162.91666666666666</v>
      </c>
      <c r="O83" s="457">
        <f t="shared" si="1"/>
        <v>162.91666666666666</v>
      </c>
      <c r="P83" s="457">
        <f t="shared" si="1"/>
        <v>162.91666666666666</v>
      </c>
      <c r="Q83" s="457">
        <f t="shared" si="1"/>
        <v>162.91666666666666</v>
      </c>
      <c r="R83" s="457">
        <f t="shared" si="1"/>
        <v>162.91666666666666</v>
      </c>
      <c r="S83" s="457">
        <f t="shared" si="1"/>
        <v>162.91666666666666</v>
      </c>
      <c r="T83" s="457">
        <f t="shared" si="1"/>
        <v>162.91666666666666</v>
      </c>
      <c r="U83" s="457">
        <f t="shared" si="1"/>
        <v>162.91666666666666</v>
      </c>
      <c r="V83" s="457">
        <f t="shared" si="1"/>
        <v>162.91666666666666</v>
      </c>
      <c r="W83" s="457" t="str">
        <f t="shared" si="1"/>
        <v/>
      </c>
      <c r="X83" s="457" t="str">
        <f t="shared" si="1"/>
        <v/>
      </c>
      <c r="Y83" s="457" t="str">
        <f t="shared" si="1"/>
        <v/>
      </c>
      <c r="Z83" s="457" t="str">
        <f t="shared" si="1"/>
        <v/>
      </c>
      <c r="AA83" s="457" t="str">
        <f t="shared" si="1"/>
        <v/>
      </c>
    </row>
    <row r="84" spans="2:27" x14ac:dyDescent="0.25">
      <c r="B84" s="251"/>
      <c r="C84" s="251"/>
      <c r="D84" s="251"/>
      <c r="E84" s="251"/>
      <c r="F84" s="251"/>
      <c r="G84" s="251"/>
      <c r="H84" s="251"/>
      <c r="I84" s="251"/>
      <c r="J84" s="251"/>
      <c r="K84" s="251"/>
    </row>
    <row r="85" spans="2:27" x14ac:dyDescent="0.25">
      <c r="B85" s="249"/>
      <c r="C85" s="249"/>
      <c r="D85" s="205"/>
      <c r="E85" s="249" t="s">
        <v>19</v>
      </c>
      <c r="F85" s="205"/>
      <c r="G85" s="249" t="s">
        <v>4</v>
      </c>
      <c r="H85" s="205"/>
      <c r="I85" s="249" t="s">
        <v>83</v>
      </c>
      <c r="J85" s="251"/>
      <c r="K85" s="251"/>
    </row>
    <row r="86" spans="2:27" x14ac:dyDescent="0.25">
      <c r="B86" s="251"/>
      <c r="C86" s="251"/>
      <c r="D86" s="251"/>
      <c r="E86" s="251"/>
      <c r="F86" s="251"/>
      <c r="G86" s="251"/>
      <c r="H86" s="251"/>
      <c r="I86" s="251"/>
      <c r="J86" s="251"/>
      <c r="K86" s="251"/>
    </row>
    <row r="87" spans="2:27" x14ac:dyDescent="0.25">
      <c r="B87" s="50" t="s">
        <v>232</v>
      </c>
      <c r="C87" s="50"/>
      <c r="D87" s="50"/>
      <c r="E87" s="471">
        <v>3</v>
      </c>
      <c r="F87" s="50"/>
      <c r="G87" s="50" t="s">
        <v>43</v>
      </c>
      <c r="I87" s="50" t="s">
        <v>65</v>
      </c>
    </row>
    <row r="88" spans="2:27" x14ac:dyDescent="0.25">
      <c r="B88" s="251"/>
      <c r="C88" s="251"/>
      <c r="D88" s="251"/>
      <c r="E88" s="251"/>
      <c r="F88" s="251"/>
      <c r="G88" s="251"/>
      <c r="I88" s="472" t="s">
        <v>103</v>
      </c>
    </row>
    <row r="89" spans="2:27" x14ac:dyDescent="0.25">
      <c r="B89" s="251"/>
      <c r="C89" s="251"/>
      <c r="D89" s="251"/>
      <c r="E89" s="251"/>
      <c r="F89" s="251"/>
      <c r="G89" s="251"/>
      <c r="I89" s="472"/>
    </row>
    <row r="90" spans="2:27" x14ac:dyDescent="0.25">
      <c r="B90" s="154"/>
      <c r="C90" s="154"/>
      <c r="D90" s="154"/>
      <c r="E90" s="154"/>
      <c r="F90" s="154"/>
      <c r="G90" s="154"/>
      <c r="H90" s="154"/>
      <c r="I90" s="154"/>
      <c r="J90" s="154"/>
    </row>
    <row r="91" spans="2:27" x14ac:dyDescent="0.25">
      <c r="B91" s="463" t="s">
        <v>255</v>
      </c>
      <c r="C91" s="463"/>
      <c r="D91" s="463"/>
      <c r="E91" s="463"/>
      <c r="F91" s="463"/>
      <c r="G91" s="412"/>
      <c r="H91" s="412"/>
      <c r="I91" s="412"/>
      <c r="J91" s="412"/>
    </row>
    <row r="93" spans="2:27" x14ac:dyDescent="0.25">
      <c r="B93" s="473" t="s">
        <v>545</v>
      </c>
      <c r="C93" s="247" t="s">
        <v>546</v>
      </c>
      <c r="D93" s="247"/>
      <c r="E93" s="247"/>
      <c r="F93" s="247"/>
      <c r="G93" s="247"/>
      <c r="H93" s="247"/>
      <c r="I93" s="247"/>
      <c r="J93" s="247"/>
    </row>
    <row r="94" spans="2:27" x14ac:dyDescent="0.25">
      <c r="B94" s="473"/>
      <c r="C94" s="247"/>
      <c r="D94" s="247"/>
      <c r="E94" s="247"/>
      <c r="F94" s="247"/>
      <c r="G94" s="247"/>
      <c r="H94" s="247"/>
      <c r="I94" s="247"/>
      <c r="J94" s="247"/>
    </row>
    <row r="95" spans="2:27" ht="80.45" customHeight="1" x14ac:dyDescent="0.25">
      <c r="B95" s="473"/>
      <c r="C95" s="161" t="s">
        <v>1246</v>
      </c>
      <c r="D95" s="161"/>
      <c r="E95" s="161"/>
      <c r="F95" s="161"/>
      <c r="G95" s="161"/>
      <c r="H95" s="161"/>
      <c r="I95" s="161"/>
      <c r="J95" s="161"/>
    </row>
    <row r="96" spans="2:27" x14ac:dyDescent="0.25">
      <c r="B96" s="473" t="s">
        <v>547</v>
      </c>
      <c r="C96" s="474" t="s">
        <v>1245</v>
      </c>
    </row>
    <row r="97" spans="2:27" x14ac:dyDescent="0.25">
      <c r="B97" s="473"/>
      <c r="C97" s="86" t="s">
        <v>1244</v>
      </c>
    </row>
    <row r="98" spans="2:27" x14ac:dyDescent="0.25">
      <c r="C98" s="431"/>
      <c r="D98" s="431"/>
      <c r="E98" s="431"/>
      <c r="F98" s="431"/>
      <c r="G98" s="199"/>
      <c r="H98" s="199"/>
      <c r="I98" s="199"/>
      <c r="J98" s="199"/>
      <c r="K98" s="199"/>
      <c r="L98" s="199"/>
    </row>
    <row r="99" spans="2:27" x14ac:dyDescent="0.25">
      <c r="B99" s="237" t="s">
        <v>29</v>
      </c>
      <c r="C99" s="237"/>
      <c r="D99" s="237"/>
      <c r="E99" s="237"/>
      <c r="F99" s="237"/>
      <c r="G99" s="237"/>
      <c r="H99" s="237"/>
      <c r="I99" s="237"/>
      <c r="J99" s="237"/>
      <c r="K99" s="237"/>
      <c r="L99" s="237"/>
    </row>
    <row r="100" spans="2:27" x14ac:dyDescent="0.25">
      <c r="B100" s="238" t="s">
        <v>89</v>
      </c>
      <c r="C100" s="239"/>
      <c r="D100" s="239"/>
      <c r="E100" s="239"/>
      <c r="F100" s="239"/>
      <c r="G100" s="239"/>
      <c r="H100" s="239"/>
      <c r="I100" s="239"/>
      <c r="J100" s="239"/>
      <c r="K100" s="239"/>
      <c r="L100" s="239"/>
    </row>
    <row r="101" spans="2:27" x14ac:dyDescent="0.25">
      <c r="B101" s="240" t="s">
        <v>26</v>
      </c>
      <c r="C101" s="240">
        <f>Hypothèses_projet!$C$3</f>
        <v>2021</v>
      </c>
      <c r="D101" s="240">
        <f>IF(Hypothèses_projet!$C$6&lt;=C101,"",C101+1)</f>
        <v>2022</v>
      </c>
      <c r="E101" s="240">
        <f>IF(Hypothèses_projet!$C$6&lt;=D101,"",D101+1)</f>
        <v>2023</v>
      </c>
      <c r="F101" s="240">
        <f>IF(Hypothèses_projet!$C$6&lt;=E101,"",E101+1)</f>
        <v>2024</v>
      </c>
      <c r="G101" s="240">
        <f>IF(Hypothèses_projet!$C$6&lt;=F101,"",F101+1)</f>
        <v>2025</v>
      </c>
      <c r="H101" s="240">
        <f>IF(Hypothèses_projet!$C$6&lt;=G101,"",G101+1)</f>
        <v>2026</v>
      </c>
      <c r="I101" s="240">
        <f>IF(Hypothèses_projet!$C$6&lt;=H101,"",H101+1)</f>
        <v>2027</v>
      </c>
      <c r="J101" s="240">
        <f>IF(Hypothèses_projet!$C$6&lt;=I101,"",I101+1)</f>
        <v>2028</v>
      </c>
      <c r="K101" s="240">
        <f>IF(Hypothèses_projet!$C$6&lt;=J101,"",J101+1)</f>
        <v>2029</v>
      </c>
      <c r="L101" s="240">
        <f>IF(Hypothèses_projet!$C$6&lt;=K101,"",K101+1)</f>
        <v>2030</v>
      </c>
      <c r="M101" s="240">
        <f>IF(Hypothèses_projet!$C$6&lt;=L101,"",L101+1)</f>
        <v>2031</v>
      </c>
      <c r="N101" s="240">
        <f>IF(Hypothèses_projet!$C$6&lt;=M101,"",M101+1)</f>
        <v>2032</v>
      </c>
      <c r="O101" s="240">
        <f>IF(Hypothèses_projet!$C$6&lt;=N101,"",N101+1)</f>
        <v>2033</v>
      </c>
      <c r="P101" s="240">
        <f>IF(Hypothèses_projet!$C$6&lt;=O101,"",O101+1)</f>
        <v>2034</v>
      </c>
      <c r="Q101" s="240">
        <f>IF(Hypothèses_projet!$C$6&lt;=P101,"",P101+1)</f>
        <v>2035</v>
      </c>
      <c r="R101" s="240">
        <f>IF(Hypothèses_projet!$C$6&lt;=Q101,"",Q101+1)</f>
        <v>2036</v>
      </c>
      <c r="S101" s="240">
        <f>IF(Hypothèses_projet!$C$6&lt;=R101,"",R101+1)</f>
        <v>2037</v>
      </c>
      <c r="T101" s="240">
        <f>IF(Hypothèses_projet!$C$6&lt;=S101,"",S101+1)</f>
        <v>2038</v>
      </c>
      <c r="U101" s="240">
        <f>IF(Hypothèses_projet!$C$6&lt;=T101,"",T101+1)</f>
        <v>2039</v>
      </c>
      <c r="V101" s="240">
        <f>IF(Hypothèses_projet!$C$6&lt;=U101,"",U101+1)</f>
        <v>2040</v>
      </c>
      <c r="W101" s="240" t="str">
        <f>IF(Hypothèses_projet!$C$6&lt;=V101,"",V101+1)</f>
        <v/>
      </c>
      <c r="X101" s="240" t="str">
        <f>IF(Hypothèses_projet!$C$6&lt;=W101,"",W101+1)</f>
        <v/>
      </c>
      <c r="Y101" s="240" t="str">
        <f>IF(Hypothèses_projet!$C$6&lt;=X101,"",X101+1)</f>
        <v/>
      </c>
      <c r="Z101" s="240" t="str">
        <f>IF(Hypothèses_projet!$C$6&lt;=Y101,"",Y101+1)</f>
        <v/>
      </c>
      <c r="AA101" s="240" t="str">
        <f>IF(Hypothèses_projet!$C$6&lt;=Z101,"",Z101+1)</f>
        <v/>
      </c>
    </row>
    <row r="102" spans="2:27" x14ac:dyDescent="0.25">
      <c r="B102" s="248" t="s">
        <v>157</v>
      </c>
      <c r="C102" s="215"/>
      <c r="D102" s="215"/>
      <c r="E102" s="215"/>
      <c r="F102" s="215"/>
      <c r="G102" s="215"/>
      <c r="H102" s="215"/>
      <c r="I102" s="215"/>
      <c r="J102" s="215"/>
      <c r="K102" s="215"/>
      <c r="L102" s="215"/>
      <c r="M102" s="215"/>
      <c r="N102" s="215"/>
      <c r="O102" s="215"/>
      <c r="P102" s="215"/>
      <c r="Q102" s="215"/>
      <c r="R102" s="215"/>
      <c r="S102" s="215"/>
      <c r="T102" s="215"/>
      <c r="U102" s="215"/>
      <c r="V102" s="215"/>
      <c r="W102" s="215"/>
      <c r="X102" s="215"/>
      <c r="Y102" s="215"/>
      <c r="Z102" s="215"/>
      <c r="AA102" s="215"/>
    </row>
    <row r="103" spans="2:27" x14ac:dyDescent="0.25">
      <c r="B103" s="248" t="s">
        <v>156</v>
      </c>
      <c r="C103" s="215">
        <f t="shared" ref="C103:AA103" si="2">IF(C101="","",IF(C101&lt;$C$15,$E$109*$E$118*$C$16/1000*24*365/($C$15-$C$14)*(C101+1-$C$14),$E$109*$E$118*$C$16/1000*24*365))</f>
        <v>679.78076048159517</v>
      </c>
      <c r="D103" s="215">
        <f t="shared" si="2"/>
        <v>1359.5615209631903</v>
      </c>
      <c r="E103" s="215">
        <f t="shared" si="2"/>
        <v>2039.3422814447854</v>
      </c>
      <c r="F103" s="215">
        <f t="shared" si="2"/>
        <v>2039.3422814447856</v>
      </c>
      <c r="G103" s="215">
        <f t="shared" si="2"/>
        <v>2039.3422814447856</v>
      </c>
      <c r="H103" s="215">
        <f t="shared" si="2"/>
        <v>2039.3422814447856</v>
      </c>
      <c r="I103" s="215">
        <f t="shared" si="2"/>
        <v>2039.3422814447856</v>
      </c>
      <c r="J103" s="215">
        <f t="shared" si="2"/>
        <v>2039.3422814447856</v>
      </c>
      <c r="K103" s="215">
        <f t="shared" si="2"/>
        <v>2039.3422814447856</v>
      </c>
      <c r="L103" s="215">
        <f t="shared" si="2"/>
        <v>2039.3422814447856</v>
      </c>
      <c r="M103" s="215">
        <f t="shared" si="2"/>
        <v>2039.3422814447856</v>
      </c>
      <c r="N103" s="215">
        <f t="shared" si="2"/>
        <v>2039.3422814447856</v>
      </c>
      <c r="O103" s="215">
        <f t="shared" si="2"/>
        <v>2039.3422814447856</v>
      </c>
      <c r="P103" s="215">
        <f t="shared" si="2"/>
        <v>2039.3422814447856</v>
      </c>
      <c r="Q103" s="215">
        <f t="shared" si="2"/>
        <v>2039.3422814447856</v>
      </c>
      <c r="R103" s="215">
        <f t="shared" si="2"/>
        <v>2039.3422814447856</v>
      </c>
      <c r="S103" s="215">
        <f t="shared" si="2"/>
        <v>2039.3422814447856</v>
      </c>
      <c r="T103" s="215">
        <f t="shared" si="2"/>
        <v>2039.3422814447856</v>
      </c>
      <c r="U103" s="215">
        <f t="shared" si="2"/>
        <v>2039.3422814447856</v>
      </c>
      <c r="V103" s="215">
        <f t="shared" si="2"/>
        <v>2039.3422814447856</v>
      </c>
      <c r="W103" s="215" t="str">
        <f t="shared" si="2"/>
        <v/>
      </c>
      <c r="X103" s="215" t="str">
        <f t="shared" si="2"/>
        <v/>
      </c>
      <c r="Y103" s="215" t="str">
        <f t="shared" si="2"/>
        <v/>
      </c>
      <c r="Z103" s="215" t="str">
        <f t="shared" si="2"/>
        <v/>
      </c>
      <c r="AA103" s="215" t="str">
        <f t="shared" si="2"/>
        <v/>
      </c>
    </row>
    <row r="104" spans="2:27" x14ac:dyDescent="0.25">
      <c r="B104" s="248" t="s">
        <v>150</v>
      </c>
      <c r="C104" s="215">
        <f>IF(C101="","",C103-C102)</f>
        <v>679.78076048159517</v>
      </c>
      <c r="D104" s="215">
        <f t="shared" ref="D104:AA104" si="3">IF(D101="","",D103-D102)</f>
        <v>1359.5615209631903</v>
      </c>
      <c r="E104" s="215">
        <f t="shared" si="3"/>
        <v>2039.3422814447854</v>
      </c>
      <c r="F104" s="215">
        <f t="shared" si="3"/>
        <v>2039.3422814447856</v>
      </c>
      <c r="G104" s="215">
        <f t="shared" si="3"/>
        <v>2039.3422814447856</v>
      </c>
      <c r="H104" s="215">
        <f t="shared" si="3"/>
        <v>2039.3422814447856</v>
      </c>
      <c r="I104" s="215">
        <f t="shared" si="3"/>
        <v>2039.3422814447856</v>
      </c>
      <c r="J104" s="215">
        <f t="shared" si="3"/>
        <v>2039.3422814447856</v>
      </c>
      <c r="K104" s="215">
        <f t="shared" si="3"/>
        <v>2039.3422814447856</v>
      </c>
      <c r="L104" s="215">
        <f t="shared" si="3"/>
        <v>2039.3422814447856</v>
      </c>
      <c r="M104" s="215">
        <f t="shared" si="3"/>
        <v>2039.3422814447856</v>
      </c>
      <c r="N104" s="215">
        <f t="shared" si="3"/>
        <v>2039.3422814447856</v>
      </c>
      <c r="O104" s="215">
        <f t="shared" si="3"/>
        <v>2039.3422814447856</v>
      </c>
      <c r="P104" s="215">
        <f t="shared" si="3"/>
        <v>2039.3422814447856</v>
      </c>
      <c r="Q104" s="215">
        <f t="shared" si="3"/>
        <v>2039.3422814447856</v>
      </c>
      <c r="R104" s="215">
        <f t="shared" si="3"/>
        <v>2039.3422814447856</v>
      </c>
      <c r="S104" s="215">
        <f t="shared" si="3"/>
        <v>2039.3422814447856</v>
      </c>
      <c r="T104" s="215">
        <f t="shared" si="3"/>
        <v>2039.3422814447856</v>
      </c>
      <c r="U104" s="215">
        <f t="shared" si="3"/>
        <v>2039.3422814447856</v>
      </c>
      <c r="V104" s="215">
        <f t="shared" si="3"/>
        <v>2039.3422814447856</v>
      </c>
      <c r="W104" s="215" t="str">
        <f t="shared" si="3"/>
        <v/>
      </c>
      <c r="X104" s="215" t="str">
        <f t="shared" si="3"/>
        <v/>
      </c>
      <c r="Y104" s="215" t="str">
        <f t="shared" si="3"/>
        <v/>
      </c>
      <c r="Z104" s="215" t="str">
        <f t="shared" si="3"/>
        <v/>
      </c>
      <c r="AA104" s="215" t="str">
        <f t="shared" si="3"/>
        <v/>
      </c>
    </row>
    <row r="105" spans="2:27" x14ac:dyDescent="0.25">
      <c r="B105" s="475"/>
      <c r="C105" s="476"/>
      <c r="D105" s="476"/>
      <c r="E105" s="476"/>
      <c r="F105" s="476"/>
      <c r="G105" s="476"/>
      <c r="H105" s="476"/>
      <c r="I105" s="476"/>
      <c r="J105" s="476"/>
      <c r="K105" s="476"/>
      <c r="L105" s="476"/>
    </row>
    <row r="106" spans="2:27" x14ac:dyDescent="0.25">
      <c r="B106" s="475"/>
      <c r="C106" s="476"/>
      <c r="D106" s="476"/>
      <c r="E106" s="476"/>
      <c r="F106" s="476"/>
      <c r="G106" s="476"/>
      <c r="H106" s="476"/>
      <c r="I106" s="476"/>
      <c r="J106" s="476"/>
      <c r="K106" s="476"/>
      <c r="L106" s="476"/>
    </row>
    <row r="107" spans="2:27" x14ac:dyDescent="0.25">
      <c r="B107" s="146" t="s">
        <v>254</v>
      </c>
      <c r="E107" s="254">
        <f>C15</f>
        <v>2024</v>
      </c>
      <c r="I107" s="146" t="s">
        <v>381</v>
      </c>
    </row>
    <row r="108" spans="2:27" x14ac:dyDescent="0.25">
      <c r="E108" s="254"/>
    </row>
    <row r="109" spans="2:27" x14ac:dyDescent="0.25">
      <c r="B109" s="50" t="s">
        <v>1242</v>
      </c>
      <c r="C109" s="251"/>
      <c r="D109" s="251"/>
      <c r="E109" s="441">
        <f>E121*(E124+E125)/1000</f>
        <v>0.495</v>
      </c>
      <c r="F109" s="50"/>
      <c r="G109" s="50" t="s">
        <v>68</v>
      </c>
      <c r="I109" s="251"/>
    </row>
    <row r="110" spans="2:27" ht="54.95" customHeight="1" x14ac:dyDescent="0.25">
      <c r="B110" s="149" t="s">
        <v>275</v>
      </c>
      <c r="E110" s="466">
        <v>1.4</v>
      </c>
      <c r="I110" s="414" t="s">
        <v>1337</v>
      </c>
      <c r="J110" s="414"/>
      <c r="K110" s="414"/>
      <c r="L110" s="414"/>
      <c r="M110" s="414"/>
      <c r="N110" s="414"/>
      <c r="O110" s="414"/>
      <c r="P110" s="414"/>
      <c r="Q110" s="414"/>
    </row>
    <row r="111" spans="2:27" x14ac:dyDescent="0.25">
      <c r="I111" s="414"/>
      <c r="J111" s="414"/>
      <c r="K111" s="414"/>
      <c r="L111" s="414"/>
      <c r="M111" s="414"/>
      <c r="N111" s="414"/>
      <c r="O111" s="414"/>
      <c r="P111" s="414"/>
      <c r="Q111" s="414"/>
    </row>
    <row r="112" spans="2:27" x14ac:dyDescent="0.25">
      <c r="I112" s="464" t="s">
        <v>583</v>
      </c>
    </row>
    <row r="113" spans="1:19" x14ac:dyDescent="0.25">
      <c r="I113" s="180" t="s">
        <v>582</v>
      </c>
    </row>
    <row r="114" spans="1:19" x14ac:dyDescent="0.25">
      <c r="B114" s="146" t="s">
        <v>272</v>
      </c>
      <c r="E114" s="268">
        <v>15</v>
      </c>
      <c r="G114" s="146" t="s">
        <v>1</v>
      </c>
      <c r="I114" s="251" t="s">
        <v>1285</v>
      </c>
    </row>
    <row r="115" spans="1:19" x14ac:dyDescent="0.25">
      <c r="B115" s="146" t="s">
        <v>273</v>
      </c>
      <c r="E115" s="268">
        <v>50</v>
      </c>
      <c r="G115" s="146" t="s">
        <v>1</v>
      </c>
      <c r="I115" s="251" t="s">
        <v>1285</v>
      </c>
    </row>
    <row r="118" spans="1:19" x14ac:dyDescent="0.25">
      <c r="B118" s="146" t="s">
        <v>155</v>
      </c>
      <c r="E118" s="477">
        <f>(E110+E110*(1-$E$114/100)*E124/($E$124+$E$125)+E110*(1-$E$115/100)*E125/($E$124+$E$125))*$C$26*(1-$C$23/100)</f>
        <v>2.0369999999999999</v>
      </c>
      <c r="I118" s="146" t="s">
        <v>300</v>
      </c>
    </row>
    <row r="119" spans="1:19" x14ac:dyDescent="0.25">
      <c r="E119" s="477"/>
      <c r="I119" s="146" t="s">
        <v>578</v>
      </c>
    </row>
    <row r="121" spans="1:19" ht="37.5" customHeight="1" x14ac:dyDescent="0.25">
      <c r="A121" s="149"/>
      <c r="B121" s="149" t="s">
        <v>570</v>
      </c>
      <c r="C121" s="149"/>
      <c r="D121" s="149"/>
      <c r="E121" s="466">
        <f>E184</f>
        <v>0.33</v>
      </c>
      <c r="F121" s="149"/>
      <c r="G121" s="149" t="s">
        <v>210</v>
      </c>
      <c r="I121" s="332" t="s">
        <v>1338</v>
      </c>
      <c r="J121" s="332"/>
      <c r="K121" s="332"/>
      <c r="L121" s="332"/>
      <c r="M121" s="332"/>
      <c r="N121" s="332"/>
      <c r="O121" s="332"/>
      <c r="P121" s="332"/>
      <c r="Q121" s="332"/>
      <c r="R121" s="332"/>
      <c r="S121" s="332"/>
    </row>
    <row r="122" spans="1:19" x14ac:dyDescent="0.25">
      <c r="B122" s="465" t="s">
        <v>389</v>
      </c>
      <c r="E122" s="146">
        <f>E124+E125</f>
        <v>1500</v>
      </c>
    </row>
    <row r="123" spans="1:19" x14ac:dyDescent="0.25">
      <c r="B123" s="465"/>
    </row>
    <row r="124" spans="1:19" x14ac:dyDescent="0.25">
      <c r="B124" s="465" t="s">
        <v>98</v>
      </c>
      <c r="E124" s="268">
        <v>500</v>
      </c>
      <c r="I124" s="478" t="s">
        <v>166</v>
      </c>
    </row>
    <row r="125" spans="1:19" x14ac:dyDescent="0.25">
      <c r="B125" s="465" t="s">
        <v>274</v>
      </c>
      <c r="E125" s="268">
        <v>1000</v>
      </c>
      <c r="I125" s="478" t="s">
        <v>166</v>
      </c>
    </row>
    <row r="126" spans="1:19" x14ac:dyDescent="0.25">
      <c r="B126" s="465"/>
    </row>
    <row r="127" spans="1:19" x14ac:dyDescent="0.25">
      <c r="B127" s="267" t="s">
        <v>72</v>
      </c>
      <c r="C127" s="50"/>
      <c r="D127" s="50"/>
      <c r="E127" s="441">
        <v>0</v>
      </c>
      <c r="F127" s="50"/>
      <c r="G127" s="50" t="s">
        <v>1</v>
      </c>
      <c r="H127" s="50"/>
      <c r="I127" s="50" t="s">
        <v>516</v>
      </c>
      <c r="J127" s="50"/>
    </row>
    <row r="128" spans="1:19" x14ac:dyDescent="0.25">
      <c r="B128" s="389" t="s">
        <v>228</v>
      </c>
      <c r="C128" s="50"/>
      <c r="D128" s="50"/>
      <c r="E128" s="441">
        <v>0</v>
      </c>
      <c r="F128" s="50"/>
      <c r="G128" s="50" t="s">
        <v>1</v>
      </c>
      <c r="H128" s="50"/>
      <c r="I128" s="50" t="s">
        <v>517</v>
      </c>
      <c r="J128" s="50"/>
    </row>
    <row r="129" spans="2:27" x14ac:dyDescent="0.25">
      <c r="B129" s="389"/>
      <c r="C129" s="50"/>
      <c r="D129" s="50"/>
      <c r="E129" s="50"/>
      <c r="F129" s="50"/>
      <c r="G129" s="50"/>
      <c r="H129" s="50"/>
      <c r="I129" s="50"/>
      <c r="J129" s="50"/>
    </row>
    <row r="130" spans="2:27" x14ac:dyDescent="0.25">
      <c r="B130" s="266"/>
      <c r="E130" s="251"/>
      <c r="F130" s="251"/>
      <c r="G130" s="251"/>
      <c r="H130" s="251"/>
      <c r="I130" s="251"/>
    </row>
    <row r="131" spans="2:27" x14ac:dyDescent="0.25">
      <c r="B131" s="155"/>
      <c r="C131" s="155"/>
      <c r="D131" s="155"/>
      <c r="E131" s="155"/>
      <c r="F131" s="155"/>
      <c r="G131" s="155"/>
      <c r="H131" s="155"/>
      <c r="I131" s="155"/>
      <c r="J131" s="155"/>
    </row>
    <row r="132" spans="2:27" ht="30.95" customHeight="1" x14ac:dyDescent="0.25">
      <c r="B132" s="479" t="s">
        <v>1318</v>
      </c>
      <c r="C132" s="479"/>
      <c r="D132" s="479"/>
      <c r="E132" s="479"/>
      <c r="F132" s="479"/>
      <c r="G132" s="479"/>
      <c r="H132" s="209"/>
      <c r="I132" s="209"/>
      <c r="J132" s="209"/>
      <c r="K132" s="251"/>
    </row>
    <row r="133" spans="2:27" x14ac:dyDescent="0.25">
      <c r="B133" s="251"/>
      <c r="C133" s="251"/>
      <c r="D133" s="251"/>
      <c r="E133" s="251"/>
      <c r="F133" s="251"/>
      <c r="G133" s="251"/>
      <c r="H133" s="251"/>
      <c r="I133" s="251"/>
      <c r="J133" s="251"/>
      <c r="K133" s="251"/>
    </row>
    <row r="134" spans="2:27" ht="18.600000000000001" customHeight="1" x14ac:dyDescent="0.25">
      <c r="B134" s="470" t="s">
        <v>536</v>
      </c>
      <c r="C134" s="211" t="s">
        <v>541</v>
      </c>
      <c r="D134" s="211"/>
      <c r="E134" s="211"/>
      <c r="F134" s="211"/>
      <c r="G134" s="211"/>
      <c r="H134" s="211"/>
      <c r="I134" s="211"/>
      <c r="J134" s="211"/>
      <c r="K134" s="251"/>
    </row>
    <row r="135" spans="2:27" ht="18.600000000000001" customHeight="1" x14ac:dyDescent="0.25">
      <c r="B135" s="470"/>
      <c r="C135" s="211"/>
      <c r="D135" s="211"/>
      <c r="E135" s="211"/>
      <c r="F135" s="211"/>
      <c r="G135" s="211"/>
      <c r="H135" s="211"/>
      <c r="I135" s="211"/>
      <c r="J135" s="211"/>
      <c r="K135" s="251"/>
      <c r="N135" s="470"/>
      <c r="O135" s="220"/>
      <c r="P135" s="470"/>
      <c r="Q135" s="470"/>
      <c r="R135" s="470"/>
      <c r="S135" s="470"/>
      <c r="T135" s="470"/>
      <c r="U135" s="470"/>
      <c r="V135" s="470"/>
    </row>
    <row r="136" spans="2:27" ht="18.600000000000001" customHeight="1" x14ac:dyDescent="0.25">
      <c r="B136" s="470" t="s">
        <v>526</v>
      </c>
      <c r="C136" s="220" t="s">
        <v>542</v>
      </c>
      <c r="D136" s="470"/>
      <c r="E136" s="470"/>
      <c r="F136" s="470"/>
      <c r="G136" s="470"/>
      <c r="H136" s="470"/>
      <c r="I136" s="470"/>
      <c r="J136" s="470"/>
      <c r="K136" s="251"/>
      <c r="N136" s="470"/>
      <c r="O136" s="220"/>
      <c r="P136" s="470"/>
      <c r="Q136" s="470"/>
      <c r="R136" s="470"/>
      <c r="S136" s="470"/>
      <c r="T136" s="470"/>
      <c r="U136" s="470"/>
      <c r="V136" s="470"/>
    </row>
    <row r="137" spans="2:27" ht="18.600000000000001" customHeight="1" x14ac:dyDescent="0.25">
      <c r="B137" s="470"/>
      <c r="C137" s="220" t="s">
        <v>1247</v>
      </c>
      <c r="D137" s="470"/>
      <c r="E137" s="470"/>
      <c r="F137" s="470"/>
      <c r="G137" s="470"/>
      <c r="H137" s="470"/>
      <c r="I137" s="470"/>
      <c r="J137" s="470"/>
      <c r="K137" s="251"/>
      <c r="N137" s="470"/>
      <c r="O137" s="220"/>
      <c r="P137" s="470"/>
      <c r="Q137" s="470"/>
      <c r="R137" s="470"/>
      <c r="S137" s="470"/>
      <c r="T137" s="470"/>
      <c r="U137" s="470"/>
      <c r="V137" s="470"/>
    </row>
    <row r="138" spans="2:27" x14ac:dyDescent="0.25">
      <c r="B138" s="251"/>
      <c r="C138" s="251"/>
      <c r="D138" s="251"/>
      <c r="E138" s="251"/>
      <c r="F138" s="251"/>
      <c r="G138" s="251"/>
      <c r="H138" s="251"/>
      <c r="I138" s="251"/>
      <c r="J138" s="251"/>
      <c r="K138" s="251"/>
    </row>
    <row r="139" spans="2:27" x14ac:dyDescent="0.25">
      <c r="B139" s="238" t="s">
        <v>89</v>
      </c>
      <c r="C139" s="239"/>
      <c r="D139" s="239"/>
      <c r="E139" s="239"/>
      <c r="F139" s="239"/>
      <c r="G139" s="239"/>
      <c r="H139" s="239"/>
      <c r="I139" s="239"/>
      <c r="J139" s="239"/>
      <c r="K139" s="239"/>
      <c r="L139" s="239"/>
    </row>
    <row r="140" spans="2:27" x14ac:dyDescent="0.25">
      <c r="B140" s="240" t="s">
        <v>26</v>
      </c>
      <c r="C140" s="240">
        <f>Hypothèses_projet!$C$3</f>
        <v>2021</v>
      </c>
      <c r="D140" s="240">
        <f>IF(Hypothèses_projet!$C$6&lt;=C140,"",C140+1)</f>
        <v>2022</v>
      </c>
      <c r="E140" s="240">
        <f>IF(Hypothèses_projet!$C$6&lt;=D140,"",D140+1)</f>
        <v>2023</v>
      </c>
      <c r="F140" s="240">
        <f>IF(Hypothèses_projet!$C$6&lt;=E140,"",E140+1)</f>
        <v>2024</v>
      </c>
      <c r="G140" s="240">
        <f>IF(Hypothèses_projet!$C$6&lt;=F140,"",F140+1)</f>
        <v>2025</v>
      </c>
      <c r="H140" s="240">
        <f>IF(Hypothèses_projet!$C$6&lt;=G140,"",G140+1)</f>
        <v>2026</v>
      </c>
      <c r="I140" s="240">
        <f>IF(Hypothèses_projet!$C$6&lt;=H140,"",H140+1)</f>
        <v>2027</v>
      </c>
      <c r="J140" s="240">
        <f>IF(Hypothèses_projet!$C$6&lt;=I140,"",I140+1)</f>
        <v>2028</v>
      </c>
      <c r="K140" s="240">
        <f>IF(Hypothèses_projet!$C$6&lt;=J140,"",J140+1)</f>
        <v>2029</v>
      </c>
      <c r="L140" s="240">
        <f>IF(Hypothèses_projet!$C$6&lt;=K140,"",K140+1)</f>
        <v>2030</v>
      </c>
      <c r="M140" s="240">
        <f>IF(Hypothèses_projet!$C$6&lt;=L140,"",L140+1)</f>
        <v>2031</v>
      </c>
      <c r="N140" s="240">
        <f>IF(Hypothèses_projet!$C$6&lt;=M140,"",M140+1)</f>
        <v>2032</v>
      </c>
      <c r="O140" s="240">
        <f>IF(Hypothèses_projet!$C$6&lt;=N140,"",N140+1)</f>
        <v>2033</v>
      </c>
      <c r="P140" s="240">
        <f>IF(Hypothèses_projet!$C$6&lt;=O140,"",O140+1)</f>
        <v>2034</v>
      </c>
      <c r="Q140" s="240">
        <f>IF(Hypothèses_projet!$C$6&lt;=P140,"",P140+1)</f>
        <v>2035</v>
      </c>
      <c r="R140" s="240">
        <f>IF(Hypothèses_projet!$C$6&lt;=Q140,"",Q140+1)</f>
        <v>2036</v>
      </c>
      <c r="S140" s="240">
        <f>IF(Hypothèses_projet!$C$6&lt;=R140,"",R140+1)</f>
        <v>2037</v>
      </c>
      <c r="T140" s="240">
        <f>IF(Hypothèses_projet!$C$6&lt;=S140,"",S140+1)</f>
        <v>2038</v>
      </c>
      <c r="U140" s="240">
        <f>IF(Hypothèses_projet!$C$6&lt;=T140,"",T140+1)</f>
        <v>2039</v>
      </c>
      <c r="V140" s="240">
        <f>IF(Hypothèses_projet!$C$6&lt;=U140,"",U140+1)</f>
        <v>2040</v>
      </c>
      <c r="W140" s="240" t="str">
        <f>IF(Hypothèses_projet!$C$6&lt;=V140,"",V140+1)</f>
        <v/>
      </c>
      <c r="X140" s="240" t="str">
        <f>IF(Hypothèses_projet!$C$6&lt;=W140,"",W140+1)</f>
        <v/>
      </c>
      <c r="Y140" s="240" t="str">
        <f>IF(Hypothèses_projet!$C$6&lt;=X140,"",X140+1)</f>
        <v/>
      </c>
      <c r="Z140" s="240" t="str">
        <f>IF(Hypothèses_projet!$C$6&lt;=Y140,"",Y140+1)</f>
        <v/>
      </c>
      <c r="AA140" s="240" t="str">
        <f>IF(Hypothèses_projet!$C$6&lt;=Z140,"",Z140+1)</f>
        <v/>
      </c>
    </row>
    <row r="141" spans="2:27" x14ac:dyDescent="0.25">
      <c r="B141" s="248" t="s">
        <v>176</v>
      </c>
      <c r="C141" s="457">
        <f t="shared" ref="C141:AA141" si="4">IF(C140="","",$E$186*$E$58/$E$145/1000)</f>
        <v>162.91666666666666</v>
      </c>
      <c r="D141" s="457">
        <f t="shared" si="4"/>
        <v>162.91666666666666</v>
      </c>
      <c r="E141" s="457">
        <f t="shared" si="4"/>
        <v>162.91666666666666</v>
      </c>
      <c r="F141" s="457">
        <f t="shared" si="4"/>
        <v>162.91666666666666</v>
      </c>
      <c r="G141" s="457">
        <f t="shared" si="4"/>
        <v>162.91666666666666</v>
      </c>
      <c r="H141" s="457">
        <f t="shared" si="4"/>
        <v>162.91666666666666</v>
      </c>
      <c r="I141" s="457">
        <f t="shared" si="4"/>
        <v>162.91666666666666</v>
      </c>
      <c r="J141" s="457">
        <f t="shared" si="4"/>
        <v>162.91666666666666</v>
      </c>
      <c r="K141" s="457">
        <f t="shared" si="4"/>
        <v>162.91666666666666</v>
      </c>
      <c r="L141" s="457">
        <f t="shared" si="4"/>
        <v>162.91666666666666</v>
      </c>
      <c r="M141" s="457">
        <f t="shared" si="4"/>
        <v>162.91666666666666</v>
      </c>
      <c r="N141" s="457">
        <f t="shared" si="4"/>
        <v>162.91666666666666</v>
      </c>
      <c r="O141" s="457">
        <f t="shared" si="4"/>
        <v>162.91666666666666</v>
      </c>
      <c r="P141" s="457">
        <f t="shared" si="4"/>
        <v>162.91666666666666</v>
      </c>
      <c r="Q141" s="457">
        <f t="shared" si="4"/>
        <v>162.91666666666666</v>
      </c>
      <c r="R141" s="457">
        <f t="shared" si="4"/>
        <v>162.91666666666666</v>
      </c>
      <c r="S141" s="457">
        <f t="shared" si="4"/>
        <v>162.91666666666666</v>
      </c>
      <c r="T141" s="457">
        <f t="shared" si="4"/>
        <v>162.91666666666666</v>
      </c>
      <c r="U141" s="457">
        <f t="shared" si="4"/>
        <v>162.91666666666666</v>
      </c>
      <c r="V141" s="457">
        <f t="shared" si="4"/>
        <v>162.91666666666666</v>
      </c>
      <c r="W141" s="457" t="str">
        <f t="shared" si="4"/>
        <v/>
      </c>
      <c r="X141" s="457" t="str">
        <f t="shared" si="4"/>
        <v/>
      </c>
      <c r="Y141" s="457" t="str">
        <f t="shared" si="4"/>
        <v/>
      </c>
      <c r="Z141" s="457" t="str">
        <f t="shared" si="4"/>
        <v/>
      </c>
      <c r="AA141" s="457" t="str">
        <f t="shared" si="4"/>
        <v/>
      </c>
    </row>
    <row r="142" spans="2:27" x14ac:dyDescent="0.25">
      <c r="B142" s="251"/>
      <c r="C142" s="251"/>
      <c r="D142" s="251"/>
      <c r="E142" s="251"/>
      <c r="F142" s="251"/>
      <c r="G142" s="251"/>
      <c r="H142" s="251"/>
      <c r="I142" s="251"/>
      <c r="J142" s="251"/>
      <c r="K142" s="251"/>
    </row>
    <row r="143" spans="2:27" x14ac:dyDescent="0.25">
      <c r="B143" s="249"/>
      <c r="C143" s="249"/>
      <c r="D143" s="205"/>
      <c r="E143" s="249" t="s">
        <v>19</v>
      </c>
      <c r="F143" s="205"/>
      <c r="G143" s="249" t="s">
        <v>4</v>
      </c>
      <c r="H143" s="205"/>
      <c r="I143" s="249" t="s">
        <v>83</v>
      </c>
      <c r="J143" s="251"/>
      <c r="K143" s="251"/>
    </row>
    <row r="144" spans="2:27" x14ac:dyDescent="0.25">
      <c r="B144" s="251"/>
      <c r="C144" s="251"/>
      <c r="D144" s="251"/>
      <c r="E144" s="251"/>
      <c r="F144" s="251"/>
      <c r="G144" s="251"/>
      <c r="H144" s="251"/>
      <c r="I144" s="251"/>
      <c r="J144" s="251"/>
      <c r="K144" s="251"/>
    </row>
    <row r="145" spans="2:11" x14ac:dyDescent="0.25">
      <c r="B145" s="50" t="s">
        <v>232</v>
      </c>
      <c r="C145" s="50"/>
      <c r="D145" s="50"/>
      <c r="E145" s="471">
        <v>3</v>
      </c>
      <c r="F145" s="50"/>
      <c r="G145" s="50" t="s">
        <v>43</v>
      </c>
      <c r="I145" s="50" t="s">
        <v>65</v>
      </c>
    </row>
    <row r="146" spans="2:11" x14ac:dyDescent="0.25">
      <c r="B146" s="251"/>
      <c r="C146" s="251"/>
      <c r="D146" s="251"/>
      <c r="E146" s="251"/>
      <c r="F146" s="251"/>
      <c r="G146" s="251"/>
      <c r="I146" s="472" t="s">
        <v>103</v>
      </c>
    </row>
    <row r="148" spans="2:11" x14ac:dyDescent="0.25">
      <c r="B148" s="154"/>
      <c r="C148" s="154"/>
      <c r="D148" s="154"/>
      <c r="E148" s="154"/>
      <c r="F148" s="154"/>
      <c r="G148" s="154"/>
      <c r="H148" s="154"/>
      <c r="I148" s="154"/>
      <c r="J148" s="154"/>
    </row>
    <row r="149" spans="2:11" x14ac:dyDescent="0.25">
      <c r="B149" s="245" t="s">
        <v>1319</v>
      </c>
      <c r="C149" s="209"/>
      <c r="D149" s="209"/>
      <c r="E149" s="209"/>
      <c r="F149" s="209"/>
      <c r="G149" s="209"/>
      <c r="H149" s="209"/>
      <c r="I149" s="209"/>
      <c r="J149" s="209"/>
    </row>
    <row r="151" spans="2:11" ht="57" customHeight="1" x14ac:dyDescent="0.25">
      <c r="B151" s="427" t="s">
        <v>536</v>
      </c>
      <c r="C151" s="414" t="s">
        <v>544</v>
      </c>
      <c r="D151" s="414"/>
      <c r="E151" s="414"/>
      <c r="F151" s="414"/>
      <c r="G151" s="414"/>
      <c r="H151" s="414"/>
      <c r="I151" s="414"/>
      <c r="J151" s="414"/>
    </row>
    <row r="152" spans="2:11" x14ac:dyDescent="0.25">
      <c r="C152" s="414"/>
      <c r="D152" s="414"/>
      <c r="E152" s="414"/>
      <c r="F152" s="414"/>
      <c r="G152" s="414"/>
      <c r="H152" s="414"/>
      <c r="I152" s="414"/>
      <c r="J152" s="414"/>
    </row>
    <row r="153" spans="2:11" ht="147.94999999999999" customHeight="1" x14ac:dyDescent="0.25">
      <c r="C153" s="161" t="s">
        <v>1284</v>
      </c>
      <c r="D153" s="161"/>
      <c r="E153" s="161"/>
      <c r="F153" s="161"/>
      <c r="G153" s="161"/>
      <c r="H153" s="161"/>
      <c r="I153" s="161"/>
      <c r="J153" s="161"/>
    </row>
    <row r="154" spans="2:11" ht="58.5" customHeight="1" x14ac:dyDescent="0.25">
      <c r="C154" s="273"/>
      <c r="D154" s="273"/>
      <c r="E154" s="273"/>
      <c r="F154" s="273"/>
      <c r="G154" s="273"/>
      <c r="H154" s="273"/>
      <c r="I154" s="273"/>
      <c r="J154" s="273"/>
    </row>
    <row r="155" spans="2:11" ht="26.1" customHeight="1" x14ac:dyDescent="0.25">
      <c r="C155" s="273"/>
      <c r="D155" s="273"/>
      <c r="E155" s="273"/>
      <c r="F155" s="273"/>
      <c r="G155" s="273"/>
      <c r="H155" s="273"/>
      <c r="I155" s="273"/>
      <c r="J155" s="273"/>
    </row>
    <row r="156" spans="2:11" x14ac:dyDescent="0.25">
      <c r="B156" s="480" t="s">
        <v>526</v>
      </c>
      <c r="C156" s="266" t="s">
        <v>1281</v>
      </c>
      <c r="D156" s="147"/>
      <c r="E156" s="147"/>
      <c r="F156" s="147"/>
      <c r="G156" s="147"/>
      <c r="H156" s="147"/>
      <c r="I156" s="147"/>
      <c r="J156" s="147"/>
    </row>
    <row r="157" spans="2:11" x14ac:dyDescent="0.25">
      <c r="B157" s="480"/>
      <c r="C157" s="414" t="s">
        <v>1282</v>
      </c>
      <c r="D157" s="414"/>
      <c r="E157" s="414"/>
      <c r="F157" s="414"/>
      <c r="G157" s="414"/>
      <c r="H157" s="414"/>
      <c r="I157" s="414"/>
      <c r="J157" s="414"/>
      <c r="K157" s="414"/>
    </row>
    <row r="158" spans="2:11" x14ac:dyDescent="0.25">
      <c r="B158" s="480"/>
      <c r="C158" s="414"/>
      <c r="D158" s="414"/>
      <c r="E158" s="414"/>
      <c r="F158" s="414"/>
      <c r="G158" s="414"/>
      <c r="H158" s="414"/>
      <c r="I158" s="414"/>
      <c r="J158" s="414"/>
      <c r="K158" s="414"/>
    </row>
    <row r="159" spans="2:11" x14ac:dyDescent="0.25">
      <c r="B159" s="480"/>
      <c r="C159" s="266" t="s">
        <v>1283</v>
      </c>
      <c r="D159" s="147"/>
      <c r="E159" s="147"/>
      <c r="F159" s="147"/>
      <c r="G159" s="147"/>
      <c r="H159" s="147"/>
      <c r="I159" s="147"/>
      <c r="J159" s="147"/>
    </row>
    <row r="161" spans="2:27" x14ac:dyDescent="0.25">
      <c r="B161" s="237" t="s">
        <v>29</v>
      </c>
      <c r="C161" s="237"/>
      <c r="D161" s="237"/>
      <c r="E161" s="237"/>
      <c r="F161" s="237"/>
      <c r="G161" s="237"/>
      <c r="H161" s="237"/>
      <c r="I161" s="237"/>
      <c r="J161" s="237"/>
      <c r="K161" s="237"/>
      <c r="L161" s="237"/>
      <c r="M161" s="168"/>
      <c r="N161" s="168"/>
      <c r="O161" s="168"/>
      <c r="P161" s="168"/>
    </row>
    <row r="162" spans="2:27" x14ac:dyDescent="0.25">
      <c r="B162" s="238" t="s">
        <v>89</v>
      </c>
      <c r="C162" s="239"/>
      <c r="D162" s="239"/>
      <c r="E162" s="239"/>
      <c r="F162" s="239"/>
      <c r="G162" s="239"/>
      <c r="H162" s="239"/>
      <c r="I162" s="239"/>
      <c r="J162" s="239"/>
      <c r="K162" s="239"/>
      <c r="L162" s="239"/>
      <c r="M162" s="168"/>
      <c r="N162" s="168"/>
      <c r="O162" s="168"/>
      <c r="P162" s="168"/>
    </row>
    <row r="163" spans="2:27" x14ac:dyDescent="0.25">
      <c r="B163" s="240" t="s">
        <v>26</v>
      </c>
      <c r="C163" s="240">
        <f>Hypothèses_projet!$C$3</f>
        <v>2021</v>
      </c>
      <c r="D163" s="240">
        <f>IF(Hypothèses_projet!$C$6&lt;=C163,"",C163+1)</f>
        <v>2022</v>
      </c>
      <c r="E163" s="240">
        <f>IF(Hypothèses_projet!$C$6&lt;=D163,"",D163+1)</f>
        <v>2023</v>
      </c>
      <c r="F163" s="240">
        <f>IF(Hypothèses_projet!$C$6&lt;=E163,"",E163+1)</f>
        <v>2024</v>
      </c>
      <c r="G163" s="240">
        <f>IF(Hypothèses_projet!$C$6&lt;=F163,"",F163+1)</f>
        <v>2025</v>
      </c>
      <c r="H163" s="240">
        <f>IF(Hypothèses_projet!$C$6&lt;=G163,"",G163+1)</f>
        <v>2026</v>
      </c>
      <c r="I163" s="240">
        <f>IF(Hypothèses_projet!$C$6&lt;=H163,"",H163+1)</f>
        <v>2027</v>
      </c>
      <c r="J163" s="240">
        <f>IF(Hypothèses_projet!$C$6&lt;=I163,"",I163+1)</f>
        <v>2028</v>
      </c>
      <c r="K163" s="240">
        <f>IF(Hypothèses_projet!$C$6&lt;=J163,"",J163+1)</f>
        <v>2029</v>
      </c>
      <c r="L163" s="240">
        <f>IF(Hypothèses_projet!$C$6&lt;=K163,"",K163+1)</f>
        <v>2030</v>
      </c>
      <c r="M163" s="240">
        <f>IF(Hypothèses_projet!$C$6&lt;=L163,"",L163+1)</f>
        <v>2031</v>
      </c>
      <c r="N163" s="240">
        <f>IF(Hypothèses_projet!$C$6&lt;=M163,"",M163+1)</f>
        <v>2032</v>
      </c>
      <c r="O163" s="240">
        <f>IF(Hypothèses_projet!$C$6&lt;=N163,"",N163+1)</f>
        <v>2033</v>
      </c>
      <c r="P163" s="240">
        <f>IF(Hypothèses_projet!$C$6&lt;=O163,"",O163+1)</f>
        <v>2034</v>
      </c>
      <c r="Q163" s="240">
        <f>IF(Hypothèses_projet!$C$6&lt;=P163,"",P163+1)</f>
        <v>2035</v>
      </c>
      <c r="R163" s="240">
        <f>IF(Hypothèses_projet!$C$6&lt;=Q163,"",Q163+1)</f>
        <v>2036</v>
      </c>
      <c r="S163" s="240">
        <f>IF(Hypothèses_projet!$C$6&lt;=R163,"",R163+1)</f>
        <v>2037</v>
      </c>
      <c r="T163" s="240">
        <f>IF(Hypothèses_projet!$C$6&lt;=S163,"",S163+1)</f>
        <v>2038</v>
      </c>
      <c r="U163" s="240">
        <f>IF(Hypothèses_projet!$C$6&lt;=T163,"",T163+1)</f>
        <v>2039</v>
      </c>
      <c r="V163" s="240">
        <f>IF(Hypothèses_projet!$C$6&lt;=U163,"",U163+1)</f>
        <v>2040</v>
      </c>
      <c r="W163" s="240" t="str">
        <f>IF(Hypothèses_projet!$C$6&lt;=V163,"",V163+1)</f>
        <v/>
      </c>
      <c r="X163" s="240" t="str">
        <f>IF(Hypothèses_projet!$C$6&lt;=W163,"",W163+1)</f>
        <v/>
      </c>
      <c r="Y163" s="240" t="str">
        <f>IF(Hypothèses_projet!$C$6&lt;=X163,"",X163+1)</f>
        <v/>
      </c>
      <c r="Z163" s="240" t="str">
        <f>IF(Hypothèses_projet!$C$6&lt;=Y163,"",Y163+1)</f>
        <v/>
      </c>
      <c r="AA163" s="240" t="str">
        <f>IF(Hypothèses_projet!$C$6&lt;=Z163,"",Z163+1)</f>
        <v/>
      </c>
    </row>
    <row r="164" spans="2:27" x14ac:dyDescent="0.25">
      <c r="B164" s="248" t="s">
        <v>153</v>
      </c>
      <c r="C164" s="215">
        <f>IF(C163="","",$E$179*24*365*$C$16/1000)</f>
        <v>2039.3422814447858</v>
      </c>
      <c r="D164" s="215">
        <f t="shared" ref="D164:AA164" si="5">IF(D163="","",$E$179*24*365*$C$16/1000)</f>
        <v>2039.3422814447858</v>
      </c>
      <c r="E164" s="215">
        <f t="shared" si="5"/>
        <v>2039.3422814447858</v>
      </c>
      <c r="F164" s="215">
        <f t="shared" si="5"/>
        <v>2039.3422814447858</v>
      </c>
      <c r="G164" s="215">
        <f t="shared" si="5"/>
        <v>2039.3422814447858</v>
      </c>
      <c r="H164" s="215">
        <f t="shared" si="5"/>
        <v>2039.3422814447858</v>
      </c>
      <c r="I164" s="215">
        <f t="shared" si="5"/>
        <v>2039.3422814447858</v>
      </c>
      <c r="J164" s="215">
        <f t="shared" si="5"/>
        <v>2039.3422814447858</v>
      </c>
      <c r="K164" s="215">
        <f t="shared" si="5"/>
        <v>2039.3422814447858</v>
      </c>
      <c r="L164" s="215">
        <f t="shared" si="5"/>
        <v>2039.3422814447858</v>
      </c>
      <c r="M164" s="215">
        <f t="shared" si="5"/>
        <v>2039.3422814447858</v>
      </c>
      <c r="N164" s="215">
        <f t="shared" si="5"/>
        <v>2039.3422814447858</v>
      </c>
      <c r="O164" s="215">
        <f t="shared" si="5"/>
        <v>2039.3422814447858</v>
      </c>
      <c r="P164" s="215">
        <f t="shared" si="5"/>
        <v>2039.3422814447858</v>
      </c>
      <c r="Q164" s="215">
        <f t="shared" si="5"/>
        <v>2039.3422814447858</v>
      </c>
      <c r="R164" s="215">
        <f t="shared" si="5"/>
        <v>2039.3422814447858</v>
      </c>
      <c r="S164" s="215">
        <f t="shared" si="5"/>
        <v>2039.3422814447858</v>
      </c>
      <c r="T164" s="215">
        <f t="shared" si="5"/>
        <v>2039.3422814447858</v>
      </c>
      <c r="U164" s="215">
        <f t="shared" si="5"/>
        <v>2039.3422814447858</v>
      </c>
      <c r="V164" s="215">
        <f t="shared" si="5"/>
        <v>2039.3422814447858</v>
      </c>
      <c r="W164" s="215" t="str">
        <f t="shared" si="5"/>
        <v/>
      </c>
      <c r="X164" s="215" t="str">
        <f t="shared" si="5"/>
        <v/>
      </c>
      <c r="Y164" s="215" t="str">
        <f t="shared" si="5"/>
        <v/>
      </c>
      <c r="Z164" s="215" t="str">
        <f t="shared" si="5"/>
        <v/>
      </c>
      <c r="AA164" s="215" t="str">
        <f t="shared" si="5"/>
        <v/>
      </c>
    </row>
    <row r="165" spans="2:27" x14ac:dyDescent="0.25">
      <c r="B165" s="248" t="s">
        <v>154</v>
      </c>
      <c r="C165" s="215">
        <f>IF(C163="","",$E$180*24*365*$C$16/1000)</f>
        <v>1702.3552358216566</v>
      </c>
      <c r="D165" s="215">
        <f t="shared" ref="D165:AA165" si="6">IF(D163="","",$E$180*24*365*$C$16/1000)</f>
        <v>1702.3552358216566</v>
      </c>
      <c r="E165" s="215">
        <f t="shared" si="6"/>
        <v>1702.3552358216566</v>
      </c>
      <c r="F165" s="215">
        <f t="shared" si="6"/>
        <v>1702.3552358216566</v>
      </c>
      <c r="G165" s="215">
        <f t="shared" si="6"/>
        <v>1702.3552358216566</v>
      </c>
      <c r="H165" s="215">
        <f t="shared" si="6"/>
        <v>1702.3552358216566</v>
      </c>
      <c r="I165" s="215">
        <f t="shared" si="6"/>
        <v>1702.3552358216566</v>
      </c>
      <c r="J165" s="215">
        <f t="shared" si="6"/>
        <v>1702.3552358216566</v>
      </c>
      <c r="K165" s="215">
        <f t="shared" si="6"/>
        <v>1702.3552358216566</v>
      </c>
      <c r="L165" s="215">
        <f t="shared" si="6"/>
        <v>1702.3552358216566</v>
      </c>
      <c r="M165" s="215">
        <f t="shared" si="6"/>
        <v>1702.3552358216566</v>
      </c>
      <c r="N165" s="215">
        <f t="shared" si="6"/>
        <v>1702.3552358216566</v>
      </c>
      <c r="O165" s="215">
        <f t="shared" si="6"/>
        <v>1702.3552358216566</v>
      </c>
      <c r="P165" s="215">
        <f t="shared" si="6"/>
        <v>1702.3552358216566</v>
      </c>
      <c r="Q165" s="215">
        <f t="shared" si="6"/>
        <v>1702.3552358216566</v>
      </c>
      <c r="R165" s="215">
        <f t="shared" si="6"/>
        <v>1702.3552358216566</v>
      </c>
      <c r="S165" s="215">
        <f t="shared" si="6"/>
        <v>1702.3552358216566</v>
      </c>
      <c r="T165" s="215">
        <f t="shared" si="6"/>
        <v>1702.3552358216566</v>
      </c>
      <c r="U165" s="215">
        <f t="shared" si="6"/>
        <v>1702.3552358216566</v>
      </c>
      <c r="V165" s="215">
        <f t="shared" si="6"/>
        <v>1702.3552358216566</v>
      </c>
      <c r="W165" s="215" t="str">
        <f t="shared" si="6"/>
        <v/>
      </c>
      <c r="X165" s="215" t="str">
        <f t="shared" si="6"/>
        <v/>
      </c>
      <c r="Y165" s="215" t="str">
        <f t="shared" si="6"/>
        <v/>
      </c>
      <c r="Z165" s="215" t="str">
        <f t="shared" si="6"/>
        <v/>
      </c>
      <c r="AA165" s="215" t="str">
        <f t="shared" si="6"/>
        <v/>
      </c>
    </row>
    <row r="166" spans="2:27" x14ac:dyDescent="0.25">
      <c r="B166" s="248" t="s">
        <v>150</v>
      </c>
      <c r="C166" s="215">
        <f>IF(C163="","",C165-C164)</f>
        <v>-336.98704562312923</v>
      </c>
      <c r="D166" s="215">
        <f t="shared" ref="D166:AA166" si="7">IF(D163="","",D165-D164)</f>
        <v>-336.98704562312923</v>
      </c>
      <c r="E166" s="215">
        <f t="shared" si="7"/>
        <v>-336.98704562312923</v>
      </c>
      <c r="F166" s="215">
        <f t="shared" si="7"/>
        <v>-336.98704562312923</v>
      </c>
      <c r="G166" s="215">
        <f t="shared" si="7"/>
        <v>-336.98704562312923</v>
      </c>
      <c r="H166" s="215">
        <f t="shared" si="7"/>
        <v>-336.98704562312923</v>
      </c>
      <c r="I166" s="215">
        <f t="shared" si="7"/>
        <v>-336.98704562312923</v>
      </c>
      <c r="J166" s="215">
        <f t="shared" si="7"/>
        <v>-336.98704562312923</v>
      </c>
      <c r="K166" s="215">
        <f t="shared" si="7"/>
        <v>-336.98704562312923</v>
      </c>
      <c r="L166" s="215">
        <f t="shared" si="7"/>
        <v>-336.98704562312923</v>
      </c>
      <c r="M166" s="215">
        <f t="shared" si="7"/>
        <v>-336.98704562312923</v>
      </c>
      <c r="N166" s="215">
        <f t="shared" si="7"/>
        <v>-336.98704562312923</v>
      </c>
      <c r="O166" s="215">
        <f t="shared" si="7"/>
        <v>-336.98704562312923</v>
      </c>
      <c r="P166" s="215">
        <f t="shared" si="7"/>
        <v>-336.98704562312923</v>
      </c>
      <c r="Q166" s="215">
        <f t="shared" si="7"/>
        <v>-336.98704562312923</v>
      </c>
      <c r="R166" s="215">
        <f t="shared" si="7"/>
        <v>-336.98704562312923</v>
      </c>
      <c r="S166" s="215">
        <f t="shared" si="7"/>
        <v>-336.98704562312923</v>
      </c>
      <c r="T166" s="215">
        <f t="shared" si="7"/>
        <v>-336.98704562312923</v>
      </c>
      <c r="U166" s="215">
        <f t="shared" si="7"/>
        <v>-336.98704562312923</v>
      </c>
      <c r="V166" s="215">
        <f t="shared" si="7"/>
        <v>-336.98704562312923</v>
      </c>
      <c r="W166" s="215" t="str">
        <f t="shared" si="7"/>
        <v/>
      </c>
      <c r="X166" s="215" t="str">
        <f t="shared" si="7"/>
        <v/>
      </c>
      <c r="Y166" s="215" t="str">
        <f t="shared" si="7"/>
        <v/>
      </c>
      <c r="Z166" s="215" t="str">
        <f t="shared" si="7"/>
        <v/>
      </c>
      <c r="AA166" s="215" t="str">
        <f t="shared" si="7"/>
        <v/>
      </c>
    </row>
    <row r="167" spans="2:27" x14ac:dyDescent="0.25">
      <c r="B167" s="368"/>
      <c r="C167" s="481"/>
      <c r="D167" s="481"/>
      <c r="E167" s="481"/>
      <c r="F167" s="481"/>
      <c r="G167" s="481"/>
      <c r="H167" s="481"/>
      <c r="I167" s="481"/>
      <c r="J167" s="481"/>
      <c r="K167" s="481"/>
      <c r="L167" s="481"/>
      <c r="M167" s="168"/>
      <c r="N167" s="168"/>
      <c r="O167" s="168"/>
    </row>
    <row r="168" spans="2:27" x14ac:dyDescent="0.25">
      <c r="B168" s="249"/>
      <c r="C168" s="249"/>
      <c r="D168" s="205"/>
      <c r="E168" s="249" t="s">
        <v>19</v>
      </c>
      <c r="F168" s="205"/>
      <c r="G168" s="249" t="s">
        <v>4</v>
      </c>
      <c r="H168" s="205"/>
      <c r="I168" s="249" t="s">
        <v>83</v>
      </c>
      <c r="J168" s="481"/>
      <c r="K168" s="481"/>
      <c r="L168" s="481"/>
      <c r="M168" s="168"/>
      <c r="N168" s="168"/>
      <c r="O168" s="168"/>
    </row>
    <row r="170" spans="2:27" ht="27.6" customHeight="1" x14ac:dyDescent="0.25">
      <c r="B170" s="229" t="s">
        <v>575</v>
      </c>
      <c r="E170" s="268">
        <v>1.4</v>
      </c>
      <c r="I170" s="247" t="s">
        <v>584</v>
      </c>
      <c r="J170" s="247"/>
      <c r="K170" s="247"/>
      <c r="L170" s="247"/>
      <c r="M170" s="247"/>
      <c r="N170" s="247"/>
      <c r="O170" s="247"/>
      <c r="P170" s="247"/>
      <c r="Q170" s="247"/>
    </row>
    <row r="171" spans="2:27" ht="27.6" customHeight="1" x14ac:dyDescent="0.25">
      <c r="B171" s="229"/>
      <c r="I171" s="247"/>
      <c r="J171" s="247"/>
      <c r="K171" s="247"/>
      <c r="L171" s="247"/>
      <c r="M171" s="247"/>
      <c r="N171" s="247"/>
      <c r="O171" s="247"/>
      <c r="P171" s="247"/>
      <c r="Q171" s="247"/>
    </row>
    <row r="172" spans="2:27" ht="27.6" customHeight="1" x14ac:dyDescent="0.25">
      <c r="B172" s="229"/>
      <c r="I172" s="464" t="s">
        <v>583</v>
      </c>
    </row>
    <row r="173" spans="2:27" ht="27.6" customHeight="1" x14ac:dyDescent="0.25">
      <c r="B173" s="229"/>
      <c r="I173" s="180" t="s">
        <v>582</v>
      </c>
    </row>
    <row r="174" spans="2:27" ht="47.45" customHeight="1" x14ac:dyDescent="0.25">
      <c r="B174" s="229" t="s">
        <v>577</v>
      </c>
      <c r="E174" s="482">
        <f>(E170+E170*(1-E191/100)*E186/($E$186+$E$187)+E170*(1-E192/100)*E187/($E$186+$E$187))*$C$26*(1-$C$23/100)</f>
        <v>2.0369999999999999</v>
      </c>
      <c r="I174" s="161" t="s">
        <v>299</v>
      </c>
      <c r="J174" s="161"/>
      <c r="K174" s="161"/>
    </row>
    <row r="175" spans="2:27" ht="47.45" customHeight="1" x14ac:dyDescent="0.25">
      <c r="B175" s="229"/>
      <c r="E175" s="477"/>
      <c r="I175" s="199" t="s">
        <v>580</v>
      </c>
      <c r="J175" s="273"/>
      <c r="K175" s="273"/>
    </row>
    <row r="176" spans="2:27" ht="54.95" customHeight="1" x14ac:dyDescent="0.25">
      <c r="B176" s="229" t="s">
        <v>574</v>
      </c>
      <c r="E176" s="466">
        <v>1.3</v>
      </c>
      <c r="I176" s="350" t="s">
        <v>585</v>
      </c>
      <c r="J176" s="350"/>
      <c r="K176" s="350"/>
      <c r="L176" s="350"/>
      <c r="M176" s="350"/>
      <c r="N176" s="350"/>
      <c r="O176" s="350"/>
      <c r="P176" s="350"/>
      <c r="Q176" s="350"/>
    </row>
    <row r="177" spans="2:19" ht="37.5" customHeight="1" x14ac:dyDescent="0.25">
      <c r="B177" s="229" t="s">
        <v>576</v>
      </c>
      <c r="E177" s="482">
        <f>(E176+E176*(1-E193/100)*E188/($E$188+$E$189)+E176*(1-E194/100)*E189/($E$188+$E$189))*$C$26*(1-$C$23/100)</f>
        <v>1.7004000000000001</v>
      </c>
      <c r="I177" s="161" t="s">
        <v>579</v>
      </c>
      <c r="J177" s="161"/>
      <c r="K177" s="161"/>
    </row>
    <row r="178" spans="2:19" ht="26.45" customHeight="1" x14ac:dyDescent="0.25">
      <c r="B178" s="229"/>
      <c r="E178" s="477"/>
      <c r="I178" s="199" t="s">
        <v>581</v>
      </c>
      <c r="J178" s="273"/>
      <c r="K178" s="273"/>
    </row>
    <row r="179" spans="2:19" ht="26.45" customHeight="1" x14ac:dyDescent="0.25">
      <c r="B179" s="229" t="s">
        <v>1280</v>
      </c>
      <c r="E179" s="477">
        <f>E182*$E$174</f>
        <v>1.0083149999999999</v>
      </c>
      <c r="G179" s="146" t="s">
        <v>68</v>
      </c>
      <c r="I179" s="199"/>
      <c r="J179" s="273"/>
      <c r="K179" s="273"/>
    </row>
    <row r="180" spans="2:19" x14ac:dyDescent="0.25">
      <c r="B180" s="229" t="s">
        <v>1279</v>
      </c>
      <c r="E180" s="477">
        <f>E183*$E$177</f>
        <v>0.84169800000000006</v>
      </c>
      <c r="G180" s="146" t="s">
        <v>68</v>
      </c>
    </row>
    <row r="181" spans="2:19" x14ac:dyDescent="0.25">
      <c r="B181" s="229"/>
    </row>
    <row r="182" spans="2:19" x14ac:dyDescent="0.25">
      <c r="B182" s="146" t="s">
        <v>1277</v>
      </c>
      <c r="E182" s="254">
        <f>(E187+E186)*$E$184/1000</f>
        <v>0.495</v>
      </c>
      <c r="G182" s="146" t="s">
        <v>68</v>
      </c>
    </row>
    <row r="183" spans="2:19" x14ac:dyDescent="0.25">
      <c r="B183" s="146" t="s">
        <v>1278</v>
      </c>
      <c r="E183" s="254">
        <f>(E188+E189)*$E$184/1000</f>
        <v>0.495</v>
      </c>
      <c r="G183" s="146" t="s">
        <v>68</v>
      </c>
    </row>
    <row r="184" spans="2:19" ht="48" customHeight="1" x14ac:dyDescent="0.25">
      <c r="B184" s="146" t="s">
        <v>570</v>
      </c>
      <c r="E184" s="466">
        <v>0.33</v>
      </c>
      <c r="F184" s="149"/>
      <c r="G184" s="149" t="s">
        <v>210</v>
      </c>
      <c r="H184" s="149"/>
      <c r="I184" s="332" t="s">
        <v>1338</v>
      </c>
      <c r="J184" s="332"/>
      <c r="K184" s="332"/>
      <c r="L184" s="332"/>
      <c r="M184" s="332"/>
      <c r="N184" s="332"/>
      <c r="O184" s="332"/>
      <c r="P184" s="332"/>
      <c r="Q184" s="332"/>
      <c r="R184" s="332"/>
      <c r="S184" s="332"/>
    </row>
    <row r="185" spans="2:19" x14ac:dyDescent="0.25">
      <c r="I185" s="50"/>
    </row>
    <row r="186" spans="2:19" x14ac:dyDescent="0.25">
      <c r="B186" s="146" t="s">
        <v>1224</v>
      </c>
      <c r="E186" s="118">
        <v>500</v>
      </c>
      <c r="I186" s="251" t="s">
        <v>271</v>
      </c>
    </row>
    <row r="187" spans="2:19" x14ac:dyDescent="0.25">
      <c r="B187" s="146" t="s">
        <v>1225</v>
      </c>
      <c r="E187" s="118">
        <v>1000</v>
      </c>
      <c r="I187" s="251" t="s">
        <v>271</v>
      </c>
    </row>
    <row r="188" spans="2:19" x14ac:dyDescent="0.25">
      <c r="B188" s="146" t="s">
        <v>1226</v>
      </c>
      <c r="E188" s="118">
        <v>200</v>
      </c>
      <c r="I188" s="251" t="s">
        <v>271</v>
      </c>
    </row>
    <row r="189" spans="2:19" x14ac:dyDescent="0.25">
      <c r="B189" s="146" t="s">
        <v>1227</v>
      </c>
      <c r="E189" s="118">
        <v>1300</v>
      </c>
      <c r="I189" s="251" t="s">
        <v>271</v>
      </c>
    </row>
    <row r="190" spans="2:19" x14ac:dyDescent="0.25">
      <c r="I190" s="50"/>
    </row>
    <row r="191" spans="2:19" ht="35.450000000000003" customHeight="1" x14ac:dyDescent="0.25">
      <c r="B191" s="229" t="s">
        <v>268</v>
      </c>
      <c r="E191" s="466">
        <v>15</v>
      </c>
      <c r="G191" s="146" t="s">
        <v>1</v>
      </c>
      <c r="I191" s="161" t="s">
        <v>279</v>
      </c>
      <c r="J191" s="161"/>
      <c r="K191" s="161"/>
      <c r="L191" s="161"/>
      <c r="M191" s="161"/>
      <c r="N191" s="161"/>
      <c r="O191" s="161"/>
      <c r="P191" s="161"/>
    </row>
    <row r="192" spans="2:19" x14ac:dyDescent="0.25">
      <c r="B192" s="229" t="s">
        <v>267</v>
      </c>
      <c r="E192" s="268">
        <v>50</v>
      </c>
      <c r="G192" s="146" t="s">
        <v>1</v>
      </c>
      <c r="I192" s="146" t="s">
        <v>1228</v>
      </c>
    </row>
    <row r="193" spans="2:9" x14ac:dyDescent="0.25">
      <c r="B193" s="229" t="s">
        <v>269</v>
      </c>
      <c r="E193" s="118">
        <v>20</v>
      </c>
      <c r="G193" s="146" t="s">
        <v>1</v>
      </c>
      <c r="I193" s="251" t="s">
        <v>271</v>
      </c>
    </row>
    <row r="194" spans="2:9" x14ac:dyDescent="0.25">
      <c r="B194" s="229" t="s">
        <v>270</v>
      </c>
      <c r="E194" s="118">
        <v>60</v>
      </c>
      <c r="G194" s="146" t="s">
        <v>1</v>
      </c>
      <c r="I194" s="251" t="s">
        <v>271</v>
      </c>
    </row>
    <row r="195" spans="2:9" x14ac:dyDescent="0.25">
      <c r="B195" s="229"/>
      <c r="I195" s="251"/>
    </row>
    <row r="196" spans="2:9" x14ac:dyDescent="0.25">
      <c r="B196" s="389" t="s">
        <v>228</v>
      </c>
      <c r="C196" s="50"/>
      <c r="D196" s="50"/>
      <c r="E196" s="471">
        <v>0</v>
      </c>
      <c r="F196" s="50"/>
      <c r="G196" s="50" t="s">
        <v>1</v>
      </c>
      <c r="H196" s="50"/>
      <c r="I196" s="50" t="s">
        <v>517</v>
      </c>
    </row>
    <row r="197" spans="2:9" x14ac:dyDescent="0.25">
      <c r="B197" s="267" t="s">
        <v>72</v>
      </c>
      <c r="C197" s="50"/>
      <c r="D197" s="50"/>
      <c r="E197" s="471">
        <v>0</v>
      </c>
      <c r="F197" s="50"/>
      <c r="G197" s="50" t="s">
        <v>1</v>
      </c>
      <c r="H197" s="50"/>
      <c r="I197" s="50" t="s">
        <v>516</v>
      </c>
    </row>
  </sheetData>
  <mergeCells count="19">
    <mergeCell ref="C95:J95"/>
    <mergeCell ref="C153:J153"/>
    <mergeCell ref="I110:Q111"/>
    <mergeCell ref="I191:P191"/>
    <mergeCell ref="I184:S184"/>
    <mergeCell ref="I121:S121"/>
    <mergeCell ref="F27:P27"/>
    <mergeCell ref="I170:Q171"/>
    <mergeCell ref="I176:Q176"/>
    <mergeCell ref="I174:K174"/>
    <mergeCell ref="I177:K177"/>
    <mergeCell ref="C151:J152"/>
    <mergeCell ref="C157:K158"/>
    <mergeCell ref="B132:G132"/>
    <mergeCell ref="B73:F73"/>
    <mergeCell ref="C39:J41"/>
    <mergeCell ref="C75:J76"/>
    <mergeCell ref="C134:J135"/>
    <mergeCell ref="C93:J94"/>
  </mergeCells>
  <dataValidations count="1">
    <dataValidation type="list" allowBlank="1" showInputMessage="1" showErrorMessage="1" sqref="J32 J73 J149 J132">
      <formula1>$K$32:$K$33</formula1>
    </dataValidation>
  </dataValidations>
  <hyperlinks>
    <hyperlink ref="F28" r:id="rId1" display="https://datacenters.lbl.gov/sites/all/files/WP49-PUE A Comprehensive Examination of the Metric_v6.pdf"/>
    <hyperlink ref="F29" r:id="rId2" display="https://datacenters.lbl.gov/sites/all/files/WP49-PUE A Comprehensive Examination of the Metric_v6.pdf"/>
    <hyperlink ref="I113" r:id="rId3" display="https://energyinnovation.org/2020/03/17/how-much-energy-do-data-centers-really-use/"/>
    <hyperlink ref="I173" r:id="rId4" display="https://energyinnovation.org/2020/03/17/how-much-energy-do-data-centers-really-use/"/>
  </hyperlinks>
  <pageMargins left="0.7" right="0.7" top="0.75" bottom="0.75" header="0.3" footer="0.3"/>
  <pageSetup paperSize="9" orientation="portrait" horizontalDpi="300" verticalDpi="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AB315"/>
  <sheetViews>
    <sheetView showGridLines="0" zoomScaleNormal="100" workbookViewId="0"/>
  </sheetViews>
  <sheetFormatPr baseColWidth="10" defaultColWidth="8.85546875" defaultRowHeight="17.25" outlineLevelRow="1" x14ac:dyDescent="0.25"/>
  <cols>
    <col min="1" max="1" width="8.85546875" style="15"/>
    <col min="2" max="2" width="89" style="15" customWidth="1"/>
    <col min="3" max="3" width="41.7109375" style="15" customWidth="1"/>
    <col min="4" max="4" width="16.140625" style="15" customWidth="1"/>
    <col min="5" max="8" width="13.5703125" style="15" bestFit="1" customWidth="1"/>
    <col min="9" max="9" width="20.140625" style="15" customWidth="1"/>
    <col min="10" max="10" width="30" style="15" customWidth="1"/>
    <col min="11" max="12" width="13.5703125" style="15" bestFit="1" customWidth="1"/>
    <col min="13" max="13" width="14.5703125" style="15" bestFit="1" customWidth="1"/>
    <col min="14" max="28" width="12.140625" style="15" customWidth="1"/>
    <col min="29" max="16384" width="8.85546875" style="15"/>
  </cols>
  <sheetData>
    <row r="1" spans="2:28" x14ac:dyDescent="0.25">
      <c r="D1" s="66">
        <v>3</v>
      </c>
      <c r="E1" s="66">
        <f t="shared" ref="E1:G1" si="0">D1+1</f>
        <v>4</v>
      </c>
      <c r="F1" s="66">
        <f t="shared" si="0"/>
        <v>5</v>
      </c>
      <c r="G1" s="66">
        <f t="shared" si="0"/>
        <v>6</v>
      </c>
      <c r="H1" s="66">
        <f t="shared" ref="H1" si="1">G1+1</f>
        <v>7</v>
      </c>
      <c r="I1" s="66">
        <f t="shared" ref="I1" si="2">H1+1</f>
        <v>8</v>
      </c>
      <c r="J1" s="66">
        <f t="shared" ref="J1" si="3">I1+1</f>
        <v>9</v>
      </c>
      <c r="K1" s="66">
        <f t="shared" ref="K1" si="4">J1+1</f>
        <v>10</v>
      </c>
      <c r="L1" s="66">
        <f t="shared" ref="L1" si="5">K1+1</f>
        <v>11</v>
      </c>
      <c r="M1" s="66">
        <f t="shared" ref="M1" si="6">L1+1</f>
        <v>12</v>
      </c>
      <c r="N1" s="66">
        <f t="shared" ref="N1" si="7">M1+1</f>
        <v>13</v>
      </c>
      <c r="O1" s="66">
        <f t="shared" ref="O1" si="8">N1+1</f>
        <v>14</v>
      </c>
      <c r="P1" s="66">
        <f t="shared" ref="P1" si="9">O1+1</f>
        <v>15</v>
      </c>
      <c r="Q1" s="66">
        <f t="shared" ref="Q1" si="10">P1+1</f>
        <v>16</v>
      </c>
      <c r="R1" s="66">
        <f t="shared" ref="R1" si="11">Q1+1</f>
        <v>17</v>
      </c>
      <c r="S1" s="66">
        <f t="shared" ref="S1" si="12">R1+1</f>
        <v>18</v>
      </c>
      <c r="T1" s="66">
        <f t="shared" ref="T1" si="13">S1+1</f>
        <v>19</v>
      </c>
      <c r="U1" s="66">
        <f t="shared" ref="U1" si="14">T1+1</f>
        <v>20</v>
      </c>
      <c r="V1" s="66">
        <f t="shared" ref="V1" si="15">U1+1</f>
        <v>21</v>
      </c>
      <c r="W1" s="66">
        <f t="shared" ref="W1" si="16">V1+1</f>
        <v>22</v>
      </c>
      <c r="X1" s="66">
        <f t="shared" ref="X1" si="17">W1+1</f>
        <v>23</v>
      </c>
      <c r="Y1" s="66">
        <f t="shared" ref="Y1" si="18">X1+1</f>
        <v>24</v>
      </c>
      <c r="Z1" s="66">
        <f t="shared" ref="Z1" si="19">Y1+1</f>
        <v>25</v>
      </c>
      <c r="AA1" s="66">
        <f t="shared" ref="AA1" si="20">Z1+1</f>
        <v>26</v>
      </c>
      <c r="AB1" s="66">
        <f t="shared" ref="AB1" si="21">AA1+1</f>
        <v>27</v>
      </c>
    </row>
    <row r="2" spans="2:28" x14ac:dyDescent="0.25">
      <c r="D2" s="66" t="s">
        <v>201</v>
      </c>
      <c r="E2" s="66" t="s">
        <v>322</v>
      </c>
    </row>
    <row r="3" spans="2:28" x14ac:dyDescent="0.25">
      <c r="C3" s="15" t="s">
        <v>8</v>
      </c>
      <c r="D3" s="15">
        <f>Hypothèses_projet!C3</f>
        <v>2021</v>
      </c>
      <c r="E3" s="15">
        <f>IF(Hypothèses_projet!$C$6&lt;=D3,"",D3+1)</f>
        <v>2022</v>
      </c>
      <c r="F3" s="15">
        <f>IF(Hypothèses_projet!$C$6&lt;=E3,"",E3+1)</f>
        <v>2023</v>
      </c>
      <c r="G3" s="15">
        <f>IF(Hypothèses_projet!$C$6&lt;=F3,"",F3+1)</f>
        <v>2024</v>
      </c>
      <c r="H3" s="15">
        <f>IF(Hypothèses_projet!$C$6&lt;=G3,"",G3+1)</f>
        <v>2025</v>
      </c>
      <c r="I3" s="15">
        <f>IF(Hypothèses_projet!$C$6&lt;=H3,"",H3+1)</f>
        <v>2026</v>
      </c>
      <c r="J3" s="15">
        <f>IF(Hypothèses_projet!$C$6&lt;=I3,"",I3+1)</f>
        <v>2027</v>
      </c>
      <c r="K3" s="15">
        <f>IF(Hypothèses_projet!$C$6&lt;=J3,"",J3+1)</f>
        <v>2028</v>
      </c>
      <c r="L3" s="15">
        <f>IF(Hypothèses_projet!$C$6&lt;=K3,"",K3+1)</f>
        <v>2029</v>
      </c>
      <c r="M3" s="15">
        <f>IF(Hypothèses_projet!$C$6&lt;=L3,"",L3+1)</f>
        <v>2030</v>
      </c>
      <c r="N3" s="15">
        <f>IF(Hypothèses_projet!$C$6&lt;=M3,"",M3+1)</f>
        <v>2031</v>
      </c>
      <c r="O3" s="15">
        <f>IF(Hypothèses_projet!$C$6&lt;=N3,"",N3+1)</f>
        <v>2032</v>
      </c>
      <c r="P3" s="15">
        <f>IF(Hypothèses_projet!$C$6&lt;=O3,"",O3+1)</f>
        <v>2033</v>
      </c>
      <c r="Q3" s="15">
        <f>IF(Hypothèses_projet!$C$6&lt;=P3,"",P3+1)</f>
        <v>2034</v>
      </c>
      <c r="R3" s="15">
        <f>IF(Hypothèses_projet!$C$6&lt;=Q3,"",Q3+1)</f>
        <v>2035</v>
      </c>
      <c r="S3" s="15">
        <f>IF(Hypothèses_projet!$C$6&lt;=R3,"",R3+1)</f>
        <v>2036</v>
      </c>
      <c r="T3" s="15">
        <f>IF(Hypothèses_projet!$C$6&lt;=S3,"",S3+1)</f>
        <v>2037</v>
      </c>
      <c r="U3" s="15">
        <f>IF(Hypothèses_projet!$C$6&lt;=T3,"",T3+1)</f>
        <v>2038</v>
      </c>
      <c r="V3" s="15">
        <f>IF(Hypothèses_projet!$C$6&lt;=U3,"",U3+1)</f>
        <v>2039</v>
      </c>
      <c r="W3" s="15">
        <f>IF(Hypothèses_projet!$C$6&lt;=V3,"",V3+1)</f>
        <v>2040</v>
      </c>
      <c r="X3" s="15" t="str">
        <f>IF(Hypothèses_projet!$C$6&lt;=W3,"",W3+1)</f>
        <v/>
      </c>
      <c r="Y3" s="15" t="str">
        <f>IF(Hypothèses_projet!$C$6&lt;=X3,"",X3+1)</f>
        <v/>
      </c>
      <c r="Z3" s="15" t="str">
        <f>IF(Hypothèses_projet!$C$6&lt;=Y3,"",Y3+1)</f>
        <v/>
      </c>
      <c r="AA3" s="15" t="str">
        <f>IF(Hypothèses_projet!$C$6&lt;=Z3,"",Z3+1)</f>
        <v/>
      </c>
      <c r="AB3" s="15" t="str">
        <f>IF(Hypothèses_projet!$C$6&lt;=AA3,"",AA3+1)</f>
        <v/>
      </c>
    </row>
    <row r="4" spans="2:28" x14ac:dyDescent="0.35">
      <c r="B4" s="15" t="str">
        <f>'Resultats généraux'!A29</f>
        <v>OUI</v>
      </c>
      <c r="C4" s="31" t="s">
        <v>321</v>
      </c>
      <c r="D4" s="56">
        <f>IF(D3="","",IF($B$4="OUI",SUM(D7:D11),0))</f>
        <v>-30829.33593302092</v>
      </c>
      <c r="E4" s="56">
        <f t="shared" ref="E4:S4" si="22">IF(E3="","",IF($B$4="OUI",SUM(E7:E11),0))</f>
        <v>-31199.287964217532</v>
      </c>
      <c r="F4" s="56">
        <f t="shared" si="22"/>
        <v>-31573.679419788135</v>
      </c>
      <c r="G4" s="56">
        <f t="shared" si="22"/>
        <v>-31952.563572825493</v>
      </c>
      <c r="H4" s="56">
        <f t="shared" si="22"/>
        <v>-32335.994335699241</v>
      </c>
      <c r="I4" s="56">
        <f t="shared" si="22"/>
        <v>-32724.026267727837</v>
      </c>
      <c r="J4" s="56">
        <f t="shared" si="22"/>
        <v>-33116.714582940556</v>
      </c>
      <c r="K4" s="56">
        <f t="shared" si="22"/>
        <v>-33514.115157935827</v>
      </c>
      <c r="L4" s="56">
        <f t="shared" si="22"/>
        <v>-33916.2845398309</v>
      </c>
      <c r="M4" s="56">
        <f t="shared" si="22"/>
        <v>-34323.279954308971</v>
      </c>
      <c r="N4" s="56">
        <f t="shared" si="22"/>
        <v>-34735.159313760596</v>
      </c>
      <c r="O4" s="56">
        <f t="shared" si="22"/>
        <v>-35151.981225525866</v>
      </c>
      <c r="P4" s="56">
        <f t="shared" si="22"/>
        <v>-35573.805000232023</v>
      </c>
      <c r="Q4" s="56">
        <f t="shared" si="22"/>
        <v>-36000.690660234817</v>
      </c>
      <c r="R4" s="56">
        <f t="shared" si="22"/>
        <v>-36432.698948157995</v>
      </c>
      <c r="S4" s="56">
        <f t="shared" si="22"/>
        <v>-36869.891335535693</v>
      </c>
      <c r="T4" s="56">
        <f t="shared" ref="T4" si="23">IF(T3="","",IF($B$4="OUI",SUM(T7:T11),0))</f>
        <v>-37312.330031562014</v>
      </c>
      <c r="U4" s="56">
        <f t="shared" ref="U4" si="24">IF(U3="","",IF($B$4="OUI",SUM(U7:U11),0))</f>
        <v>-37760.07799194078</v>
      </c>
      <c r="V4" s="56">
        <f t="shared" ref="V4" si="25">IF(V3="","",IF($B$4="OUI",SUM(V7:V11),0))</f>
        <v>-38213.198927844162</v>
      </c>
      <c r="W4" s="56">
        <f t="shared" ref="W4" si="26">IF(W3="","",IF($B$4="OUI",SUM(W7:W11),0))</f>
        <v>-38671.75731497832</v>
      </c>
      <c r="X4" s="56" t="str">
        <f t="shared" ref="X4" si="27">IF(X3="","",IF($B$4="OUI",SUM(X7:X11),0))</f>
        <v/>
      </c>
      <c r="Y4" s="56" t="str">
        <f t="shared" ref="Y4" si="28">IF(Y3="","",IF($B$4="OUI",SUM(Y7:Y11),0))</f>
        <v/>
      </c>
      <c r="Z4" s="56" t="str">
        <f t="shared" ref="Z4" si="29">IF(Z3="","",IF($B$4="OUI",SUM(Z7:Z11),0))</f>
        <v/>
      </c>
      <c r="AA4" s="56" t="str">
        <f t="shared" ref="AA4" si="30">IF(AA3="","",IF($B$4="OUI",SUM(AA7:AA11),0))</f>
        <v/>
      </c>
      <c r="AB4" s="56" t="str">
        <f t="shared" ref="AB4" si="31">IF(AB3="","",IF($B$4="OUI",SUM(AB7:AB11),0))</f>
        <v/>
      </c>
    </row>
    <row r="5" spans="2:28" x14ac:dyDescent="0.35">
      <c r="B5" s="13"/>
      <c r="C5" s="13"/>
      <c r="D5" s="41"/>
      <c r="E5" s="41"/>
      <c r="F5" s="41"/>
      <c r="G5" s="41"/>
      <c r="H5" s="41"/>
      <c r="I5" s="41"/>
      <c r="J5" s="41"/>
      <c r="K5" s="41"/>
      <c r="L5" s="41"/>
      <c r="M5" s="41"/>
    </row>
    <row r="6" spans="2:28" x14ac:dyDescent="0.35">
      <c r="B6" s="121" t="s">
        <v>1310</v>
      </c>
      <c r="C6" s="13"/>
      <c r="D6" s="41"/>
      <c r="E6" s="41"/>
      <c r="F6" s="41"/>
      <c r="G6" s="41"/>
      <c r="H6" s="41"/>
      <c r="I6" s="41"/>
      <c r="J6" s="41"/>
      <c r="K6" s="41"/>
      <c r="L6" s="41"/>
      <c r="M6" s="41"/>
    </row>
    <row r="7" spans="2:28" x14ac:dyDescent="0.35">
      <c r="B7" s="15" t="str">
        <f>'Resultats généraux'!A32</f>
        <v>OUI</v>
      </c>
      <c r="C7" s="31" t="str">
        <f>Télétravail!$B$36</f>
        <v>Report modal direct (effets du télétravail sur le transport domicile-travail)</v>
      </c>
      <c r="D7" s="56">
        <f>IF($B7="OUI",VLOOKUP($C$17,Télétravail!$A$49:$AA$58,D$1,FALSE),0)</f>
        <v>-21238.524215999991</v>
      </c>
      <c r="E7" s="56">
        <f>IF($B7="OUI",VLOOKUP($C$17,Télétravail!$A$49:$AA$58,E$1,FALSE),0)</f>
        <v>-21493.38650659204</v>
      </c>
      <c r="F7" s="56">
        <f>IF($B7="OUI",VLOOKUP($C$17,Télétravail!$A$49:$AA$58,F$1,FALSE),0)</f>
        <v>-21751.307144671096</v>
      </c>
      <c r="G7" s="56">
        <f>IF($B7="OUI",VLOOKUP($C$17,Télétravail!$A$49:$AA$58,G$1,FALSE),0)</f>
        <v>-22012.322830407182</v>
      </c>
      <c r="H7" s="56">
        <f>IF($B7="OUI",VLOOKUP($C$17,Télétravail!$A$49:$AA$58,H$1,FALSE),0)</f>
        <v>-22276.470704372041</v>
      </c>
      <c r="I7" s="56">
        <f>IF($B7="OUI",VLOOKUP($C$17,Télétravail!$A$49:$AA$58,I$1,FALSE),0)</f>
        <v>-22543.788352824515</v>
      </c>
      <c r="J7" s="56">
        <f>IF($B7="OUI",VLOOKUP($C$17,Télétravail!$A$49:$AA$58,J$1,FALSE),0)</f>
        <v>-22814.313813058427</v>
      </c>
      <c r="K7" s="56">
        <f>IF($B7="OUI",VLOOKUP($C$17,Télétravail!$A$49:$AA$58,K$1,FALSE),0)</f>
        <v>-23088.085578815138</v>
      </c>
      <c r="L7" s="56">
        <f>IF($B7="OUI",VLOOKUP($C$17,Télétravail!$A$49:$AA$58,L$1,FALSE),0)</f>
        <v>-23365.142605760891</v>
      </c>
      <c r="M7" s="56">
        <f>IF($B7="OUI",VLOOKUP($C$17,Télétravail!$A$49:$AA$58,M$1,FALSE),0)</f>
        <v>-23645.524317030038</v>
      </c>
      <c r="N7" s="56">
        <f>IF($B7="OUI",VLOOKUP($C$17,Télétravail!$A$49:$AA$58,N$1,FALSE),0)</f>
        <v>-23929.270608834398</v>
      </c>
      <c r="O7" s="56">
        <f>IF($B7="OUI",VLOOKUP($C$17,Télétravail!$A$49:$AA$58,O$1,FALSE),0)</f>
        <v>-24216.421856140427</v>
      </c>
      <c r="P7" s="56">
        <f>IF($B7="OUI",VLOOKUP($C$17,Télétravail!$A$49:$AA$58,P$1,FALSE),0)</f>
        <v>-24507.018918414076</v>
      </c>
      <c r="Q7" s="56">
        <f>IF($B7="OUI",VLOOKUP($C$17,Télétravail!$A$49:$AA$58,Q$1,FALSE),0)</f>
        <v>-24801.103145435045</v>
      </c>
      <c r="R7" s="56">
        <f>IF($B7="OUI",VLOOKUP($C$17,Télétravail!$A$49:$AA$58,R$1,FALSE),0)</f>
        <v>-25098.71638318029</v>
      </c>
      <c r="S7" s="56">
        <f>IF($B7="OUI",VLOOKUP($C$17,Télétravail!$A$49:$AA$58,S$1,FALSE),0)</f>
        <v>-25399.900979778438</v>
      </c>
      <c r="T7" s="56">
        <f>IF($B7="OUI",VLOOKUP($C$17,Télétravail!$A$49:$AA$58,T$1,FALSE),0)</f>
        <v>-25704.699791535793</v>
      </c>
      <c r="U7" s="56">
        <f>IF($B7="OUI",VLOOKUP($C$17,Télétravail!$A$49:$AA$58,U$1,FALSE),0)</f>
        <v>-26013.156189034227</v>
      </c>
      <c r="V7" s="56">
        <f>IF($B7="OUI",VLOOKUP($C$17,Télétravail!$A$49:$AA$58,V$1,FALSE),0)</f>
        <v>-26325.314063302649</v>
      </c>
      <c r="W7" s="56">
        <f>IF($B7="OUI",VLOOKUP($C$17,Télétravail!$A$49:$AA$58,W$1,FALSE),0)</f>
        <v>-26641.217832062277</v>
      </c>
      <c r="X7" s="56" t="str">
        <f>IF($B7="OUI",VLOOKUP($C$17,Télétravail!$A$49:$AA$58,X$1,FALSE),0)</f>
        <v/>
      </c>
      <c r="Y7" s="56" t="str">
        <f>IF($B7="OUI",VLOOKUP($C$17,Télétravail!$A$49:$AA$58,Y$1,FALSE),0)</f>
        <v/>
      </c>
      <c r="Z7" s="56" t="str">
        <f>IF($B7="OUI",VLOOKUP($C$17,Télétravail!$A$49:$AA$58,Z$1,FALSE),0)</f>
        <v/>
      </c>
      <c r="AA7" s="56" t="str">
        <f>IF($B7="OUI",VLOOKUP($C$17,Télétravail!$A$49:$AA$58,AA$1,FALSE),0)</f>
        <v/>
      </c>
      <c r="AB7" s="56" t="str">
        <f>IF($B7="OUI",VLOOKUP($C$17,Télétravail!$A$49:$AA$58,AB$1,FALSE),0)</f>
        <v/>
      </c>
    </row>
    <row r="8" spans="2:28" x14ac:dyDescent="0.35">
      <c r="B8" s="15" t="str">
        <f>'Resultats généraux'!A33</f>
        <v>OUI</v>
      </c>
      <c r="C8" s="31" t="str">
        <f>Télétravail!$B$109</f>
        <v>Report modal indirect (nouveaux déplacements induits par le télétravail)</v>
      </c>
      <c r="D8" s="56">
        <f>IF($B8="OUI",VLOOKUP($C$17,Télétravail!$A$125:$AA$128,D$1,FALSE),0)</f>
        <v>12622.365</v>
      </c>
      <c r="E8" s="56">
        <f>IF($B8="OUI",VLOOKUP($C$17,Télétravail!$A$125:$AA$128,E$1,FALSE),0)</f>
        <v>12773.83338</v>
      </c>
      <c r="F8" s="56">
        <f>IF($B8="OUI",VLOOKUP($C$17,Télétravail!$A$125:$AA$128,F$1,FALSE),0)</f>
        <v>12927.11938056</v>
      </c>
      <c r="G8" s="56">
        <f>IF($B8="OUI",VLOOKUP($C$17,Télétravail!$A$125:$AA$128,G$1,FALSE),0)</f>
        <v>13082.244813126719</v>
      </c>
      <c r="H8" s="56">
        <f>IF($B8="OUI",VLOOKUP($C$17,Télétravail!$A$125:$AA$128,H$1,FALSE),0)</f>
        <v>13239.231750884241</v>
      </c>
      <c r="I8" s="56">
        <f>IF($B8="OUI",VLOOKUP($C$17,Télétravail!$A$125:$AA$128,I$1,FALSE),0)</f>
        <v>13398.102531894854</v>
      </c>
      <c r="J8" s="56">
        <f>IF($B8="OUI",VLOOKUP($C$17,Télétravail!$A$125:$AA$128,J$1,FALSE),0)</f>
        <v>13558.879762277593</v>
      </c>
      <c r="K8" s="56">
        <f>IF($B8="OUI",VLOOKUP($C$17,Télétravail!$A$125:$AA$128,K$1,FALSE),0)</f>
        <v>13721.586319424921</v>
      </c>
      <c r="L8" s="56">
        <f>IF($B8="OUI",VLOOKUP($C$17,Télétravail!$A$125:$AA$128,L$1,FALSE),0)</f>
        <v>13886.245355258023</v>
      </c>
      <c r="M8" s="56">
        <f>IF($B8="OUI",VLOOKUP($C$17,Télétravail!$A$125:$AA$128,M$1,FALSE),0)</f>
        <v>14052.880299521117</v>
      </c>
      <c r="N8" s="56">
        <f>IF($B8="OUI",VLOOKUP($C$17,Télétravail!$A$125:$AA$128,N$1,FALSE),0)</f>
        <v>14221.514863115372</v>
      </c>
      <c r="O8" s="56">
        <f>IF($B8="OUI",VLOOKUP($C$17,Télétravail!$A$125:$AA$128,O$1,FALSE),0)</f>
        <v>14392.173041472755</v>
      </c>
      <c r="P8" s="56">
        <f>IF($B8="OUI",VLOOKUP($C$17,Télétravail!$A$125:$AA$128,P$1,FALSE),0)</f>
        <v>14564.879117970429</v>
      </c>
      <c r="Q8" s="56">
        <f>IF($B8="OUI",VLOOKUP($C$17,Télétravail!$A$125:$AA$128,Q$1,FALSE),0)</f>
        <v>14739.657667386078</v>
      </c>
      <c r="R8" s="56">
        <f>IF($B8="OUI",VLOOKUP($C$17,Télétravail!$A$125:$AA$128,R$1,FALSE),0)</f>
        <v>14916.533559394707</v>
      </c>
      <c r="S8" s="56">
        <f>IF($B8="OUI",VLOOKUP($C$17,Télétravail!$A$125:$AA$128,S$1,FALSE),0)</f>
        <v>15095.531962107445</v>
      </c>
      <c r="T8" s="56">
        <f>IF($B8="OUI",VLOOKUP($C$17,Télétravail!$A$125:$AA$128,T$1,FALSE),0)</f>
        <v>15276.678345652734</v>
      </c>
      <c r="U8" s="56">
        <f>IF($B8="OUI",VLOOKUP($C$17,Télétravail!$A$125:$AA$128,U$1,FALSE),0)</f>
        <v>15459.998485800566</v>
      </c>
      <c r="V8" s="56">
        <f>IF($B8="OUI",VLOOKUP($C$17,Télétravail!$A$125:$AA$128,V$1,FALSE),0)</f>
        <v>15645.518467630174</v>
      </c>
      <c r="W8" s="56">
        <f>IF($B8="OUI",VLOOKUP($C$17,Télétravail!$A$125:$AA$128,W$1,FALSE),0)</f>
        <v>15833.264689241734</v>
      </c>
      <c r="X8" s="56" t="str">
        <f>IF($B8="OUI",VLOOKUP($C$17,Télétravail!$A$125:$AA$128,X$1,FALSE),0)</f>
        <v/>
      </c>
      <c r="Y8" s="56" t="str">
        <f>IF($B8="OUI",VLOOKUP($C$17,Télétravail!$A$125:$AA$128,Y$1,FALSE),0)</f>
        <v/>
      </c>
      <c r="Z8" s="56" t="str">
        <f>IF($B8="OUI",VLOOKUP($C$17,Télétravail!$A$125:$AA$128,Z$1,FALSE),0)</f>
        <v/>
      </c>
      <c r="AA8" s="56" t="str">
        <f>IF($B8="OUI",VLOOKUP($C$17,Télétravail!$A$125:$AA$128,AA$1,FALSE),0)</f>
        <v/>
      </c>
      <c r="AB8" s="56" t="str">
        <f>IF($B8="OUI",VLOOKUP($C$17,Télétravail!$A$125:$AA$128,AB$1,FALSE),0)</f>
        <v/>
      </c>
    </row>
    <row r="9" spans="2:28" x14ac:dyDescent="0.35">
      <c r="B9" s="15" t="str">
        <f>'Resultats généraux'!A34</f>
        <v>OUI</v>
      </c>
      <c r="C9" s="31" t="str">
        <f>Télétravail!$B$166</f>
        <v>Consommation en immobilier de bureaux</v>
      </c>
      <c r="D9" s="56">
        <f>IF($B9="OUI",Télétravail!C177,0)</f>
        <v>-28937.999999999767</v>
      </c>
      <c r="E9" s="56">
        <f>IF($B9="OUI",Télétravail!D177,0)</f>
        <v>-29285.256000000052</v>
      </c>
      <c r="F9" s="56">
        <f>IF($B9="OUI",Télétravail!E177,0)</f>
        <v>-29636.679072000086</v>
      </c>
      <c r="G9" s="56">
        <f>IF($B9="OUI",Télétravail!F177,0)</f>
        <v>-29992.319220863981</v>
      </c>
      <c r="H9" s="56">
        <f>IF($B9="OUI",Télétravail!G177,0)</f>
        <v>-30352.227051514201</v>
      </c>
      <c r="I9" s="56">
        <f>IF($B9="OUI",Télétravail!H177,0)</f>
        <v>-30716.453776132548</v>
      </c>
      <c r="J9" s="56">
        <f>IF($B9="OUI",Télétravail!I177,0)</f>
        <v>-31085.051221446134</v>
      </c>
      <c r="K9" s="56">
        <f>IF($B9="OUI",Télétravail!J177,0)</f>
        <v>-31458.071836103452</v>
      </c>
      <c r="L9" s="56">
        <f>IF($B9="OUI",Télétravail!K177,0)</f>
        <v>-31835.568698136602</v>
      </c>
      <c r="M9" s="56">
        <f>IF($B9="OUI",Télétravail!L177,0)</f>
        <v>-32217.595522514312</v>
      </c>
      <c r="N9" s="56">
        <f>IF($B9="OUI",Télétravail!M177,0)</f>
        <v>-32604.206668784376</v>
      </c>
      <c r="O9" s="56">
        <f>IF($B9="OUI",Télétravail!N177,0)</f>
        <v>-32995.457148809917</v>
      </c>
      <c r="P9" s="56">
        <f>IF($B9="OUI",Télétravail!O177,0)</f>
        <v>-33391.402634595521</v>
      </c>
      <c r="Q9" s="56">
        <f>IF($B9="OUI",Télétravail!P177,0)</f>
        <v>-33792.099466210697</v>
      </c>
      <c r="R9" s="56">
        <f>IF($B9="OUI",Télétravail!Q177,0)</f>
        <v>-34197.60465980554</v>
      </c>
      <c r="S9" s="56">
        <f>IF($B9="OUI",Télétravail!R177,0)</f>
        <v>-34607.975915723015</v>
      </c>
      <c r="T9" s="56">
        <f>IF($B9="OUI",Télétravail!S177,0)</f>
        <v>-35023.27162671159</v>
      </c>
      <c r="U9" s="56">
        <f>IF($B9="OUI",Télétravail!T177,0)</f>
        <v>-35443.550886232173</v>
      </c>
      <c r="V9" s="56">
        <f>IF($B9="OUI",Télétravail!U177,0)</f>
        <v>-35868.873496867018</v>
      </c>
      <c r="W9" s="56">
        <f>IF($B9="OUI",Télétravail!V177,0)</f>
        <v>-36299.299978829455</v>
      </c>
      <c r="X9" s="56" t="str">
        <f>IF($B9="OUI",Télétravail!W177,0)</f>
        <v/>
      </c>
      <c r="Y9" s="56" t="str">
        <f>IF($B9="OUI",Télétravail!X177,0)</f>
        <v/>
      </c>
      <c r="Z9" s="56" t="str">
        <f>IF($B9="OUI",Télétravail!Y177,0)</f>
        <v/>
      </c>
      <c r="AA9" s="56" t="str">
        <f>IF($B9="OUI",Télétravail!Z177,0)</f>
        <v/>
      </c>
      <c r="AB9" s="56" t="str">
        <f>IF($B9="OUI",Télétravail!AA177,0)</f>
        <v/>
      </c>
    </row>
    <row r="10" spans="2:28" x14ac:dyDescent="0.35">
      <c r="B10" s="15" t="str">
        <f>'Resultats généraux'!A35</f>
        <v>OUI</v>
      </c>
      <c r="C10" s="31" t="str">
        <f>Télétravail!$B$211</f>
        <v>Consommation électrique des foyers</v>
      </c>
      <c r="D10" s="56">
        <f>IF($B10="OUI",Télétravail!C221,0)</f>
        <v>1682.647929089464</v>
      </c>
      <c r="E10" s="56">
        <f>IF($B10="OUI",Télétravail!D221,0)</f>
        <v>1702.8397042385186</v>
      </c>
      <c r="F10" s="56">
        <f>IF($B10="OUI",Télétravail!E221,0)</f>
        <v>1723.2737806893711</v>
      </c>
      <c r="G10" s="56">
        <f>IF($B10="OUI",Télétravail!F221,0)</f>
        <v>1743.9530660576711</v>
      </c>
      <c r="H10" s="56">
        <f>IF($B10="OUI",Télétravail!G221,0)</f>
        <v>1764.8805028503411</v>
      </c>
      <c r="I10" s="56">
        <f>IF($B10="OUI",Télétravail!H221,0)</f>
        <v>1786.0590688845259</v>
      </c>
      <c r="J10" s="56">
        <f>IF($B10="OUI",Télétravail!I221,0)</f>
        <v>1807.4917777111696</v>
      </c>
      <c r="K10" s="56">
        <f>IF($B10="OUI",Télétravail!J221,0)</f>
        <v>1829.181679043686</v>
      </c>
      <c r="L10" s="56">
        <f>IF($B10="OUI",Télétravail!K221,0)</f>
        <v>1851.1318591922463</v>
      </c>
      <c r="M10" s="56">
        <f>IF($B10="OUI",Télétravail!L221,0)</f>
        <v>1873.3454415025481</v>
      </c>
      <c r="N10" s="56">
        <f>IF($B10="OUI",Télétravail!M221,0)</f>
        <v>1895.8255868005508</v>
      </c>
      <c r="O10" s="56">
        <f>IF($B10="OUI",Télétravail!N221,0)</f>
        <v>1918.5754938421596</v>
      </c>
      <c r="P10" s="56">
        <f>IF($B10="OUI",Télétravail!O221,0)</f>
        <v>1941.5983997682633</v>
      </c>
      <c r="Q10" s="56">
        <f>IF($B10="OUI",Télétravail!P221,0)</f>
        <v>1964.8975805655064</v>
      </c>
      <c r="R10" s="56">
        <f>IF($B10="OUI",Télétravail!Q221,0)</f>
        <v>1988.4763515322702</v>
      </c>
      <c r="S10" s="56">
        <f>IF($B10="OUI",Télétravail!R221,0)</f>
        <v>2012.3380677506502</v>
      </c>
      <c r="T10" s="56">
        <f>IF($B10="OUI",Télétravail!S221,0)</f>
        <v>2036.4861245636712</v>
      </c>
      <c r="U10" s="56">
        <f>IF($B10="OUI",Télétravail!T221,0)</f>
        <v>2060.923958058469</v>
      </c>
      <c r="V10" s="56">
        <f>IF($B10="OUI",Télétravail!U221,0)</f>
        <v>2085.6550455551478</v>
      </c>
      <c r="W10" s="56">
        <f>IF($B10="OUI",Télétravail!V221,0)</f>
        <v>2110.682906101807</v>
      </c>
      <c r="X10" s="56" t="str">
        <f>IF($B10="OUI",Télétravail!W221,0)</f>
        <v/>
      </c>
      <c r="Y10" s="56" t="str">
        <f>IF($B10="OUI",Télétravail!X221,0)</f>
        <v/>
      </c>
      <c r="Z10" s="56" t="str">
        <f>IF($B10="OUI",Télétravail!Y221,0)</f>
        <v/>
      </c>
      <c r="AA10" s="56" t="str">
        <f>IF($B10="OUI",Télétravail!Z221,0)</f>
        <v/>
      </c>
      <c r="AB10" s="56" t="str">
        <f>IF($B10="OUI",Télétravail!AA221,0)</f>
        <v/>
      </c>
    </row>
    <row r="11" spans="2:28" x14ac:dyDescent="0.35">
      <c r="B11" s="15" t="str">
        <f>'Resultats généraux'!A36</f>
        <v>OUI</v>
      </c>
      <c r="C11" s="31" t="str">
        <f>Télétravail!$B$239</f>
        <v>Production et achat d'équipements numériques additionnels</v>
      </c>
      <c r="D11" s="56">
        <f>IF($B11="OUI",Télétravail!C249,0)</f>
        <v>5042.1753538893745</v>
      </c>
      <c r="E11" s="56">
        <f>IF($B11="OUI",Télétravail!D249,0)</f>
        <v>5102.6814581360468</v>
      </c>
      <c r="F11" s="56">
        <f>IF($B11="OUI",Télétravail!E249,0)</f>
        <v>5163.9136356336794</v>
      </c>
      <c r="G11" s="56">
        <f>IF($B11="OUI",Télétravail!F249,0)</f>
        <v>5225.8805992612843</v>
      </c>
      <c r="H11" s="56">
        <f>IF($B11="OUI",Télétravail!G249,0)</f>
        <v>5288.5911664524201</v>
      </c>
      <c r="I11" s="56">
        <f>IF($B11="OUI",Télétravail!H249,0)</f>
        <v>5352.0542604498487</v>
      </c>
      <c r="J11" s="56">
        <f>IF($B11="OUI",Télétravail!I249,0)</f>
        <v>5416.2789115752475</v>
      </c>
      <c r="K11" s="56">
        <f>IF($B11="OUI",Télétravail!J249,0)</f>
        <v>5481.2742585141505</v>
      </c>
      <c r="L11" s="56">
        <f>IF($B11="OUI",Télétravail!K249,0)</f>
        <v>5547.0495496163203</v>
      </c>
      <c r="M11" s="56">
        <f>IF($B11="OUI",Télétravail!L249,0)</f>
        <v>5613.6141442117168</v>
      </c>
      <c r="N11" s="56">
        <f>IF($B11="OUI",Télétravail!M249,0)</f>
        <v>5680.9775139422572</v>
      </c>
      <c r="O11" s="56">
        <f>IF($B11="OUI",Télétravail!N249,0)</f>
        <v>5749.1492441095643</v>
      </c>
      <c r="P11" s="56">
        <f>IF($B11="OUI",Télétravail!O249,0)</f>
        <v>5818.1390350388792</v>
      </c>
      <c r="Q11" s="56">
        <f>IF($B11="OUI",Télétravail!P249,0)</f>
        <v>5887.9567034593456</v>
      </c>
      <c r="R11" s="56">
        <f>IF($B11="OUI",Télétravail!Q249,0)</f>
        <v>5958.6121839008583</v>
      </c>
      <c r="S11" s="56">
        <f>IF($B11="OUI",Télétravail!R249,0)</f>
        <v>6030.1155301076687</v>
      </c>
      <c r="T11" s="56">
        <f>IF($B11="OUI",Télétravail!S249,0)</f>
        <v>6102.4769164689606</v>
      </c>
      <c r="U11" s="56">
        <f>IF($B11="OUI",Télétravail!T249,0)</f>
        <v>6175.7066394665881</v>
      </c>
      <c r="V11" s="56">
        <f>IF($B11="OUI",Télétravail!U249,0)</f>
        <v>6249.8151191401876</v>
      </c>
      <c r="W11" s="56">
        <f>IF($B11="OUI",Télétravail!V249,0)</f>
        <v>6324.8129005698693</v>
      </c>
      <c r="X11" s="56" t="str">
        <f>IF($B11="OUI",Télétravail!W249,0)</f>
        <v/>
      </c>
      <c r="Y11" s="56" t="str">
        <f>IF($B11="OUI",Télétravail!X249,0)</f>
        <v/>
      </c>
      <c r="Z11" s="56" t="str">
        <f>IF($B11="OUI",Télétravail!Y249,0)</f>
        <v/>
      </c>
      <c r="AA11" s="56" t="str">
        <f>IF($B11="OUI",Télétravail!Z249,0)</f>
        <v/>
      </c>
      <c r="AB11" s="56" t="str">
        <f>IF($B11="OUI",Télétravail!AA249,0)</f>
        <v/>
      </c>
    </row>
    <row r="14" spans="2:28" ht="43.5" x14ac:dyDescent="0.25">
      <c r="B14" s="122" t="s">
        <v>1200</v>
      </c>
      <c r="C14" s="14"/>
    </row>
    <row r="15" spans="2:28" ht="21.75" x14ac:dyDescent="0.25">
      <c r="B15" s="71" t="s">
        <v>833</v>
      </c>
      <c r="C15" s="120" t="str">
        <f>Hypothèses_projet!C2</f>
        <v>Colombia</v>
      </c>
    </row>
    <row r="16" spans="2:28" ht="35.1" customHeight="1" x14ac:dyDescent="0.25">
      <c r="B16" s="81" t="s">
        <v>237</v>
      </c>
      <c r="C16" s="80">
        <f>INDEX(FE_par_pays!$A$8:$F$242,MATCH(C15,FE_par_pays!$A$8:$A$242,0),5)</f>
        <v>230.88184773797497</v>
      </c>
      <c r="E16" s="15" t="s">
        <v>159</v>
      </c>
      <c r="F16" s="82" t="s">
        <v>834</v>
      </c>
    </row>
    <row r="17" spans="2:6" ht="53.1" customHeight="1" x14ac:dyDescent="0.25">
      <c r="B17" s="123" t="s">
        <v>1218</v>
      </c>
      <c r="C17" s="67" t="s">
        <v>372</v>
      </c>
      <c r="F17" s="82"/>
    </row>
    <row r="18" spans="2:6" ht="35.1" customHeight="1" x14ac:dyDescent="0.25">
      <c r="B18" s="81"/>
      <c r="C18" s="80"/>
      <c r="F18" s="82"/>
    </row>
    <row r="19" spans="2:6" x14ac:dyDescent="0.25">
      <c r="B19" s="69" t="s">
        <v>74</v>
      </c>
      <c r="C19" s="28">
        <f>C23+C24+C25</f>
        <v>18</v>
      </c>
      <c r="E19" s="15" t="s">
        <v>1</v>
      </c>
    </row>
    <row r="20" spans="2:6" x14ac:dyDescent="0.25">
      <c r="B20" s="70" t="s">
        <v>78</v>
      </c>
      <c r="C20" s="28">
        <v>3</v>
      </c>
      <c r="F20" s="15" t="s">
        <v>278</v>
      </c>
    </row>
    <row r="21" spans="2:6" x14ac:dyDescent="0.25">
      <c r="B21" s="70" t="s">
        <v>79</v>
      </c>
      <c r="C21" s="28">
        <v>1.5</v>
      </c>
      <c r="F21" s="15" t="s">
        <v>278</v>
      </c>
    </row>
    <row r="22" spans="2:6" x14ac:dyDescent="0.25">
      <c r="B22" s="70" t="s">
        <v>80</v>
      </c>
      <c r="C22" s="28">
        <v>1</v>
      </c>
      <c r="F22" s="15" t="s">
        <v>278</v>
      </c>
    </row>
    <row r="23" spans="2:6" x14ac:dyDescent="0.25">
      <c r="B23" s="70" t="s">
        <v>85</v>
      </c>
      <c r="C23" s="28">
        <v>3</v>
      </c>
      <c r="E23" s="15" t="s">
        <v>1</v>
      </c>
      <c r="F23" s="74" t="s">
        <v>303</v>
      </c>
    </row>
    <row r="24" spans="2:6" x14ac:dyDescent="0.25">
      <c r="B24" s="70" t="s">
        <v>87</v>
      </c>
      <c r="C24" s="28">
        <v>5</v>
      </c>
      <c r="E24" s="15" t="s">
        <v>1</v>
      </c>
      <c r="F24" s="74" t="s">
        <v>304</v>
      </c>
    </row>
    <row r="25" spans="2:6" x14ac:dyDescent="0.25">
      <c r="B25" s="70" t="s">
        <v>86</v>
      </c>
      <c r="C25" s="28">
        <v>10</v>
      </c>
      <c r="E25" s="15" t="s">
        <v>1</v>
      </c>
      <c r="F25" s="74" t="s">
        <v>305</v>
      </c>
    </row>
    <row r="26" spans="2:6" x14ac:dyDescent="0.25">
      <c r="B26" s="16"/>
      <c r="C26" s="14"/>
    </row>
    <row r="27" spans="2:6" x14ac:dyDescent="0.25">
      <c r="B27" s="16"/>
      <c r="C27" s="14"/>
    </row>
    <row r="28" spans="2:6" ht="86.25" x14ac:dyDescent="0.25">
      <c r="B28" s="78" t="s">
        <v>259</v>
      </c>
      <c r="C28" s="14"/>
    </row>
    <row r="29" spans="2:6" ht="69.599999999999994" customHeight="1" x14ac:dyDescent="0.25">
      <c r="B29" s="78" t="s">
        <v>1217</v>
      </c>
      <c r="C29" s="14"/>
    </row>
    <row r="30" spans="2:6" x14ac:dyDescent="0.25">
      <c r="B30" s="16"/>
      <c r="C30" s="14"/>
    </row>
    <row r="31" spans="2:6" x14ac:dyDescent="0.25">
      <c r="B31" s="16"/>
      <c r="C31" s="14"/>
    </row>
    <row r="32" spans="2:6" x14ac:dyDescent="0.25">
      <c r="B32" s="16"/>
      <c r="C32" s="14"/>
    </row>
    <row r="33" spans="2:27" x14ac:dyDescent="0.25">
      <c r="B33" s="16"/>
    </row>
    <row r="35" spans="2:27" x14ac:dyDescent="0.25">
      <c r="B35" s="125"/>
      <c r="C35" s="125"/>
      <c r="D35" s="125"/>
      <c r="E35" s="125"/>
      <c r="F35" s="125"/>
    </row>
    <row r="36" spans="2:27" ht="21.75" x14ac:dyDescent="0.25">
      <c r="B36" s="17" t="s">
        <v>1314</v>
      </c>
      <c r="C36" s="17"/>
      <c r="D36" s="17"/>
      <c r="E36" s="17"/>
      <c r="F36" s="17"/>
    </row>
    <row r="38" spans="2:27" x14ac:dyDescent="0.25">
      <c r="B38" s="15" t="s">
        <v>1223</v>
      </c>
      <c r="C38" s="133" t="s">
        <v>1220</v>
      </c>
      <c r="D38" s="133"/>
      <c r="E38" s="133"/>
      <c r="F38" s="133"/>
    </row>
    <row r="39" spans="2:27" ht="57.95" customHeight="1" x14ac:dyDescent="0.25">
      <c r="C39" s="133"/>
      <c r="D39" s="133"/>
      <c r="E39" s="133"/>
      <c r="F39" s="133"/>
    </row>
    <row r="40" spans="2:27" ht="51" customHeight="1" x14ac:dyDescent="0.25">
      <c r="B40" s="77" t="s">
        <v>525</v>
      </c>
      <c r="C40" s="134" t="s">
        <v>1219</v>
      </c>
      <c r="D40" s="134"/>
      <c r="E40" s="134"/>
      <c r="F40" s="134"/>
    </row>
    <row r="41" spans="2:27" x14ac:dyDescent="0.25">
      <c r="B41" s="77"/>
      <c r="C41" s="134"/>
      <c r="D41" s="134"/>
      <c r="E41" s="134"/>
      <c r="F41" s="134"/>
    </row>
    <row r="42" spans="2:27" ht="41.45" customHeight="1" x14ac:dyDescent="0.25">
      <c r="B42" s="77"/>
      <c r="C42" s="134"/>
      <c r="D42" s="134"/>
      <c r="E42" s="134"/>
      <c r="F42" s="134"/>
    </row>
    <row r="43" spans="2:27" x14ac:dyDescent="0.25">
      <c r="B43" s="77"/>
      <c r="C43" s="75"/>
      <c r="D43" s="75"/>
      <c r="E43" s="75"/>
      <c r="F43" s="75"/>
    </row>
    <row r="44" spans="2:27" ht="69.95" customHeight="1" x14ac:dyDescent="0.25">
      <c r="B44" s="77" t="s">
        <v>526</v>
      </c>
      <c r="C44" s="134" t="s">
        <v>527</v>
      </c>
      <c r="D44" s="134"/>
      <c r="E44" s="134"/>
      <c r="F44" s="134"/>
    </row>
    <row r="45" spans="2:27" x14ac:dyDescent="0.25">
      <c r="B45" s="16"/>
      <c r="C45" s="16"/>
      <c r="D45" s="16"/>
      <c r="E45" s="16"/>
      <c r="F45" s="16"/>
    </row>
    <row r="46" spans="2:27" ht="19.5" x14ac:dyDescent="0.25">
      <c r="B46" s="18" t="s">
        <v>29</v>
      </c>
      <c r="C46" s="18"/>
      <c r="D46" s="18"/>
      <c r="E46" s="18"/>
      <c r="F46" s="18"/>
      <c r="G46" s="18"/>
      <c r="H46" s="18"/>
      <c r="I46" s="18"/>
      <c r="J46" s="18"/>
      <c r="K46" s="18"/>
      <c r="L46" s="18"/>
    </row>
    <row r="47" spans="2:27" x14ac:dyDescent="0.25">
      <c r="B47" s="19" t="s">
        <v>89</v>
      </c>
      <c r="C47" s="20"/>
      <c r="D47" s="20"/>
      <c r="E47" s="20"/>
      <c r="F47" s="20"/>
      <c r="G47" s="20"/>
      <c r="H47" s="20"/>
      <c r="I47" s="20"/>
      <c r="J47" s="20"/>
      <c r="K47" s="20"/>
      <c r="L47" s="20"/>
    </row>
    <row r="48" spans="2:27" x14ac:dyDescent="0.25">
      <c r="B48" s="42" t="s">
        <v>26</v>
      </c>
      <c r="C48" s="42">
        <f>Hypothèses_projet!C3</f>
        <v>2021</v>
      </c>
      <c r="D48" s="42">
        <f>IF(Hypothèses_projet!$C$6&lt;=C48,"",C48+1)</f>
        <v>2022</v>
      </c>
      <c r="E48" s="42">
        <f>IF(Hypothèses_projet!$C$6&lt;=D48,"",D48+1)</f>
        <v>2023</v>
      </c>
      <c r="F48" s="42">
        <f>IF(Hypothèses_projet!$C$6&lt;=E48,"",E48+1)</f>
        <v>2024</v>
      </c>
      <c r="G48" s="42">
        <f>IF(Hypothèses_projet!$C$6&lt;=F48,"",F48+1)</f>
        <v>2025</v>
      </c>
      <c r="H48" s="42">
        <f>IF(Hypothèses_projet!$C$6&lt;=G48,"",G48+1)</f>
        <v>2026</v>
      </c>
      <c r="I48" s="42">
        <f>IF(Hypothèses_projet!$C$6&lt;=H48,"",H48+1)</f>
        <v>2027</v>
      </c>
      <c r="J48" s="42">
        <f>IF(Hypothèses_projet!$C$6&lt;=I48,"",I48+1)</f>
        <v>2028</v>
      </c>
      <c r="K48" s="42">
        <f>IF(Hypothèses_projet!$C$6&lt;=J48,"",J48+1)</f>
        <v>2029</v>
      </c>
      <c r="L48" s="42">
        <f>IF(Hypothèses_projet!$C$6&lt;=K48,"",K48+1)</f>
        <v>2030</v>
      </c>
      <c r="M48" s="42">
        <f>IF(Hypothèses_projet!$C$6&lt;=L48,"",L48+1)</f>
        <v>2031</v>
      </c>
      <c r="N48" s="42">
        <f>IF(Hypothèses_projet!$C$6&lt;=M48,"",M48+1)</f>
        <v>2032</v>
      </c>
      <c r="O48" s="42">
        <f>IF(Hypothèses_projet!$C$6&lt;=N48,"",N48+1)</f>
        <v>2033</v>
      </c>
      <c r="P48" s="42">
        <f>IF(Hypothèses_projet!$C$6&lt;=O48,"",O48+1)</f>
        <v>2034</v>
      </c>
      <c r="Q48" s="42">
        <f>IF(Hypothèses_projet!$C$6&lt;=P48,"",P48+1)</f>
        <v>2035</v>
      </c>
      <c r="R48" s="42">
        <f>IF(Hypothèses_projet!$C$6&lt;=Q48,"",Q48+1)</f>
        <v>2036</v>
      </c>
      <c r="S48" s="42">
        <f>IF(Hypothèses_projet!$C$6&lt;=R48,"",R48+1)</f>
        <v>2037</v>
      </c>
      <c r="T48" s="42">
        <f>IF(Hypothèses_projet!$C$6&lt;=S48,"",S48+1)</f>
        <v>2038</v>
      </c>
      <c r="U48" s="42">
        <f>IF(Hypothèses_projet!$C$6&lt;=T48,"",T48+1)</f>
        <v>2039</v>
      </c>
      <c r="V48" s="42">
        <f>IF(Hypothèses_projet!$C$6&lt;=U48,"",U48+1)</f>
        <v>2040</v>
      </c>
      <c r="W48" s="42" t="str">
        <f>IF(Hypothèses_projet!$C$6&lt;=V48,"",V48+1)</f>
        <v/>
      </c>
      <c r="X48" s="42" t="str">
        <f>IF(Hypothèses_projet!$C$6&lt;=W48,"",W48+1)</f>
        <v/>
      </c>
      <c r="Y48" s="42" t="str">
        <f>IF(Hypothèses_projet!$C$6&lt;=X48,"",X48+1)</f>
        <v/>
      </c>
      <c r="Z48" s="42" t="str">
        <f>IF(Hypothèses_projet!$C$6&lt;=Y48,"",Y48+1)</f>
        <v/>
      </c>
      <c r="AA48" s="42" t="str">
        <f>IF(Hypothèses_projet!$C$6&lt;=Z48,"",Z48+1)</f>
        <v/>
      </c>
    </row>
    <row r="49" spans="1:27" x14ac:dyDescent="0.25">
      <c r="A49" s="66" t="str">
        <f>B68</f>
        <v>Profil type n°1 de ville : Amérique Latine, Bogota</v>
      </c>
      <c r="B49" s="43" t="s">
        <v>280</v>
      </c>
      <c r="C49" s="52">
        <f>IF(C48="","",C51-C50)</f>
        <v>-8746.1632439999958</v>
      </c>
      <c r="D49" s="52">
        <f t="shared" ref="D49:AA49" si="32">IF(D48="","",D51-D50)</f>
        <v>-8851.1172029279987</v>
      </c>
      <c r="E49" s="52">
        <f t="shared" si="32"/>
        <v>-8957.3306093631545</v>
      </c>
      <c r="F49" s="52">
        <f t="shared" si="32"/>
        <v>-9064.8185766754905</v>
      </c>
      <c r="G49" s="52">
        <f t="shared" si="32"/>
        <v>-9173.5963995956117</v>
      </c>
      <c r="H49" s="52">
        <f t="shared" si="32"/>
        <v>-9283.6795563907654</v>
      </c>
      <c r="I49" s="52">
        <f t="shared" si="32"/>
        <v>-9395.0837110674474</v>
      </c>
      <c r="J49" s="52">
        <f t="shared" si="32"/>
        <v>-9507.8247156002617</v>
      </c>
      <c r="K49" s="52">
        <f t="shared" si="32"/>
        <v>-9621.9186121874664</v>
      </c>
      <c r="L49" s="52">
        <f t="shared" si="32"/>
        <v>-9737.381635533704</v>
      </c>
      <c r="M49" s="52">
        <f t="shared" si="32"/>
        <v>-9854.230215160118</v>
      </c>
      <c r="N49" s="52">
        <f t="shared" si="32"/>
        <v>-9972.4809777420305</v>
      </c>
      <c r="O49" s="52">
        <f t="shared" si="32"/>
        <v>-10092.150749474938</v>
      </c>
      <c r="P49" s="52">
        <f t="shared" si="32"/>
        <v>-10213.256558468624</v>
      </c>
      <c r="Q49" s="52">
        <f t="shared" si="32"/>
        <v>-10335.81563717025</v>
      </c>
      <c r="R49" s="52">
        <f t="shared" si="32"/>
        <v>-10459.845424816303</v>
      </c>
      <c r="S49" s="52">
        <f t="shared" si="32"/>
        <v>-10585.363569914101</v>
      </c>
      <c r="T49" s="52">
        <f t="shared" si="32"/>
        <v>-10712.387932753074</v>
      </c>
      <c r="U49" s="52">
        <f t="shared" si="32"/>
        <v>-10840.936587946111</v>
      </c>
      <c r="V49" s="52">
        <f t="shared" si="32"/>
        <v>-10971.027827001468</v>
      </c>
      <c r="W49" s="52" t="str">
        <f t="shared" si="32"/>
        <v/>
      </c>
      <c r="X49" s="52" t="str">
        <f t="shared" si="32"/>
        <v/>
      </c>
      <c r="Y49" s="52" t="str">
        <f t="shared" si="32"/>
        <v/>
      </c>
      <c r="Z49" s="52" t="str">
        <f t="shared" si="32"/>
        <v/>
      </c>
      <c r="AA49" s="52" t="str">
        <f t="shared" si="32"/>
        <v/>
      </c>
    </row>
    <row r="50" spans="1:27" x14ac:dyDescent="0.25">
      <c r="A50" s="66"/>
      <c r="B50" s="43" t="s">
        <v>284</v>
      </c>
      <c r="C50" s="52">
        <f>IF(C48="","",C$64*$C$73*($C$75*$C$71+$C$72*$C$76)/100/1000*5*52)</f>
        <v>165021.94799999997</v>
      </c>
      <c r="D50" s="52">
        <f t="shared" ref="D50:AA50" si="33">IF(D48="","",D$64*$C$73*($C$75*$C$71+$C$72*$C$76)/100/1000*5*52)</f>
        <v>167002.21137600002</v>
      </c>
      <c r="E50" s="52">
        <f t="shared" si="33"/>
        <v>169006.23791251198</v>
      </c>
      <c r="F50" s="52">
        <f t="shared" si="33"/>
        <v>171034.31276746216</v>
      </c>
      <c r="G50" s="52">
        <f t="shared" si="33"/>
        <v>173086.72452067171</v>
      </c>
      <c r="H50" s="52">
        <f t="shared" si="33"/>
        <v>175163.76521491978</v>
      </c>
      <c r="I50" s="52">
        <f t="shared" si="33"/>
        <v>177265.73039749882</v>
      </c>
      <c r="J50" s="52">
        <f t="shared" si="33"/>
        <v>179392.91916226884</v>
      </c>
      <c r="K50" s="52">
        <f t="shared" si="33"/>
        <v>181545.63419221604</v>
      </c>
      <c r="L50" s="52">
        <f t="shared" si="33"/>
        <v>183724.18180252262</v>
      </c>
      <c r="M50" s="52">
        <f t="shared" si="33"/>
        <v>185928.87198415288</v>
      </c>
      <c r="N50" s="52">
        <f t="shared" si="33"/>
        <v>188160.01844796271</v>
      </c>
      <c r="O50" s="52">
        <f t="shared" si="33"/>
        <v>190417.93866933827</v>
      </c>
      <c r="P50" s="52">
        <f t="shared" si="33"/>
        <v>192702.95393337036</v>
      </c>
      <c r="Q50" s="52">
        <f t="shared" si="33"/>
        <v>195015.38938057076</v>
      </c>
      <c r="R50" s="52">
        <f t="shared" si="33"/>
        <v>197355.57405313762</v>
      </c>
      <c r="S50" s="52">
        <f t="shared" si="33"/>
        <v>199723.8409417753</v>
      </c>
      <c r="T50" s="52">
        <f t="shared" si="33"/>
        <v>202120.52703307659</v>
      </c>
      <c r="U50" s="52">
        <f t="shared" si="33"/>
        <v>204545.97335747347</v>
      </c>
      <c r="V50" s="52">
        <f t="shared" si="33"/>
        <v>207000.5250377632</v>
      </c>
      <c r="W50" s="52" t="str">
        <f t="shared" si="33"/>
        <v/>
      </c>
      <c r="X50" s="52" t="str">
        <f t="shared" si="33"/>
        <v/>
      </c>
      <c r="Y50" s="52" t="str">
        <f t="shared" si="33"/>
        <v/>
      </c>
      <c r="Z50" s="52" t="str">
        <f t="shared" si="33"/>
        <v/>
      </c>
      <c r="AA50" s="52" t="str">
        <f t="shared" si="33"/>
        <v/>
      </c>
    </row>
    <row r="51" spans="1:27" x14ac:dyDescent="0.25">
      <c r="A51" s="66"/>
      <c r="B51" s="43" t="s">
        <v>285</v>
      </c>
      <c r="C51" s="52">
        <f>IF(C48="","",C50*(1-$C$23/100*$C$20/5-$C$24/100*$C$21/5-$C$25/100*$C$22/5))</f>
        <v>156275.78475599998</v>
      </c>
      <c r="D51" s="52">
        <f t="shared" ref="D51:AA51" si="34">IF(D48="","",D50*(1-$C$23/100*$C$20/5-$C$24/100*$C$21/5-$C$25/100*$C$22/5))</f>
        <v>158151.09417307202</v>
      </c>
      <c r="E51" s="52">
        <f t="shared" si="34"/>
        <v>160048.90730314882</v>
      </c>
      <c r="F51" s="52">
        <f t="shared" si="34"/>
        <v>161969.49419078667</v>
      </c>
      <c r="G51" s="52">
        <f t="shared" si="34"/>
        <v>163913.12812107609</v>
      </c>
      <c r="H51" s="52">
        <f t="shared" si="34"/>
        <v>165880.08565852902</v>
      </c>
      <c r="I51" s="52">
        <f t="shared" si="34"/>
        <v>167870.64668643137</v>
      </c>
      <c r="J51" s="52">
        <f t="shared" si="34"/>
        <v>169885.09444666858</v>
      </c>
      <c r="K51" s="52">
        <f t="shared" si="34"/>
        <v>171923.71558002857</v>
      </c>
      <c r="L51" s="52">
        <f t="shared" si="34"/>
        <v>173986.80016698892</v>
      </c>
      <c r="M51" s="52">
        <f t="shared" si="34"/>
        <v>176074.64176899276</v>
      </c>
      <c r="N51" s="52">
        <f t="shared" si="34"/>
        <v>178187.53747022068</v>
      </c>
      <c r="O51" s="52">
        <f t="shared" si="34"/>
        <v>180325.78791986333</v>
      </c>
      <c r="P51" s="52">
        <f t="shared" si="34"/>
        <v>182489.69737490173</v>
      </c>
      <c r="Q51" s="52">
        <f t="shared" si="34"/>
        <v>184679.57374340051</v>
      </c>
      <c r="R51" s="52">
        <f t="shared" si="34"/>
        <v>186895.72862832132</v>
      </c>
      <c r="S51" s="52">
        <f t="shared" si="34"/>
        <v>189138.4773718612</v>
      </c>
      <c r="T51" s="52">
        <f t="shared" si="34"/>
        <v>191408.13910032352</v>
      </c>
      <c r="U51" s="52">
        <f t="shared" si="34"/>
        <v>193705.03676952736</v>
      </c>
      <c r="V51" s="52">
        <f t="shared" si="34"/>
        <v>196029.49721076174</v>
      </c>
      <c r="W51" s="52" t="str">
        <f t="shared" si="34"/>
        <v/>
      </c>
      <c r="X51" s="52" t="str">
        <f t="shared" si="34"/>
        <v/>
      </c>
      <c r="Y51" s="52" t="str">
        <f t="shared" si="34"/>
        <v/>
      </c>
      <c r="Z51" s="52" t="str">
        <f t="shared" si="34"/>
        <v/>
      </c>
      <c r="AA51" s="52" t="str">
        <f t="shared" si="34"/>
        <v/>
      </c>
    </row>
    <row r="52" spans="1:27" x14ac:dyDescent="0.25">
      <c r="A52" s="66" t="str">
        <f>B78</f>
        <v>Profil type n°2 de ville : Lagos, Afrique</v>
      </c>
      <c r="B52" s="43" t="s">
        <v>281</v>
      </c>
      <c r="C52" s="52">
        <f>IF(C48="","",C54-C53)</f>
        <v>-7133.2170000000042</v>
      </c>
      <c r="D52" s="52">
        <f t="shared" ref="D52:AA52" si="35">IF(D48="","",D54-D53)</f>
        <v>-7218.8156040000031</v>
      </c>
      <c r="E52" s="52">
        <f t="shared" si="35"/>
        <v>-7305.4413912480086</v>
      </c>
      <c r="F52" s="52">
        <f t="shared" si="35"/>
        <v>-7393.1066879429854</v>
      </c>
      <c r="G52" s="52">
        <f t="shared" si="35"/>
        <v>-7481.8239681982959</v>
      </c>
      <c r="H52" s="52">
        <f t="shared" si="35"/>
        <v>-7571.6058558166842</v>
      </c>
      <c r="I52" s="52">
        <f t="shared" si="35"/>
        <v>-7662.4651260864921</v>
      </c>
      <c r="J52" s="52">
        <f t="shared" si="35"/>
        <v>-7754.4147075995279</v>
      </c>
      <c r="K52" s="52">
        <f t="shared" si="35"/>
        <v>-7847.4676840907196</v>
      </c>
      <c r="L52" s="52">
        <f t="shared" si="35"/>
        <v>-7941.6372962997993</v>
      </c>
      <c r="M52" s="52">
        <f t="shared" si="35"/>
        <v>-8036.9369438553986</v>
      </c>
      <c r="N52" s="52">
        <f t="shared" si="35"/>
        <v>-8133.3801871816686</v>
      </c>
      <c r="O52" s="52">
        <f t="shared" si="35"/>
        <v>-8230.9807494278357</v>
      </c>
      <c r="P52" s="52">
        <f t="shared" si="35"/>
        <v>-8329.7525184209808</v>
      </c>
      <c r="Q52" s="52">
        <f t="shared" si="35"/>
        <v>-8429.7095486420149</v>
      </c>
      <c r="R52" s="52">
        <f t="shared" si="35"/>
        <v>-8530.8660632257233</v>
      </c>
      <c r="S52" s="52">
        <f t="shared" si="35"/>
        <v>-8633.2364559844427</v>
      </c>
      <c r="T52" s="52">
        <f t="shared" si="35"/>
        <v>-8736.8352934562427</v>
      </c>
      <c r="U52" s="52">
        <f t="shared" si="35"/>
        <v>-8841.6773169777298</v>
      </c>
      <c r="V52" s="52">
        <f t="shared" si="35"/>
        <v>-8947.7774447814736</v>
      </c>
      <c r="W52" s="52" t="str">
        <f t="shared" si="35"/>
        <v/>
      </c>
      <c r="X52" s="52" t="str">
        <f t="shared" si="35"/>
        <v/>
      </c>
      <c r="Y52" s="52" t="str">
        <f t="shared" si="35"/>
        <v/>
      </c>
      <c r="Z52" s="52" t="str">
        <f t="shared" si="35"/>
        <v/>
      </c>
      <c r="AA52" s="52" t="str">
        <f t="shared" si="35"/>
        <v/>
      </c>
    </row>
    <row r="53" spans="1:27" x14ac:dyDescent="0.25">
      <c r="A53" s="66"/>
      <c r="B53" s="43" t="s">
        <v>286</v>
      </c>
      <c r="C53" s="52">
        <f>IF(C48="","",C$64*$C$83*($C$85*$C$81+$C$82*$C$86)/100/1000*5*52)</f>
        <v>134589</v>
      </c>
      <c r="D53" s="52">
        <f t="shared" ref="D53:AA53" si="36">IF(D48="","",D$64*$C$83*($C$85*$C$81+$C$82*$C$86)/100/1000*5*52)</f>
        <v>136204.06799999997</v>
      </c>
      <c r="E53" s="52">
        <f t="shared" si="36"/>
        <v>137838.51681599996</v>
      </c>
      <c r="F53" s="52">
        <f t="shared" si="36"/>
        <v>139492.57901779201</v>
      </c>
      <c r="G53" s="52">
        <f t="shared" si="36"/>
        <v>141166.48996600549</v>
      </c>
      <c r="H53" s="52">
        <f t="shared" si="36"/>
        <v>142860.48784559761</v>
      </c>
      <c r="I53" s="52">
        <f t="shared" si="36"/>
        <v>144574.81369974479</v>
      </c>
      <c r="J53" s="52">
        <f t="shared" si="36"/>
        <v>146309.7114641417</v>
      </c>
      <c r="K53" s="52">
        <f t="shared" si="36"/>
        <v>148065.42800171138</v>
      </c>
      <c r="L53" s="52">
        <f t="shared" si="36"/>
        <v>149842.21313773195</v>
      </c>
      <c r="M53" s="52">
        <f t="shared" si="36"/>
        <v>151640.31969538471</v>
      </c>
      <c r="N53" s="52">
        <f t="shared" si="36"/>
        <v>153460.00353172937</v>
      </c>
      <c r="O53" s="52">
        <f t="shared" si="36"/>
        <v>155301.52357411009</v>
      </c>
      <c r="P53" s="52">
        <f t="shared" si="36"/>
        <v>157165.1418569994</v>
      </c>
      <c r="Q53" s="52">
        <f t="shared" si="36"/>
        <v>159051.12355928341</v>
      </c>
      <c r="R53" s="52">
        <f t="shared" si="36"/>
        <v>160959.73704199478</v>
      </c>
      <c r="S53" s="52">
        <f t="shared" si="36"/>
        <v>162891.25388649874</v>
      </c>
      <c r="T53" s="52">
        <f t="shared" si="36"/>
        <v>164845.94893313674</v>
      </c>
      <c r="U53" s="52">
        <f t="shared" si="36"/>
        <v>166824.10032033437</v>
      </c>
      <c r="V53" s="52">
        <f t="shared" si="36"/>
        <v>168825.98952417838</v>
      </c>
      <c r="W53" s="52" t="str">
        <f t="shared" si="36"/>
        <v/>
      </c>
      <c r="X53" s="52" t="str">
        <f t="shared" si="36"/>
        <v/>
      </c>
      <c r="Y53" s="52" t="str">
        <f t="shared" si="36"/>
        <v/>
      </c>
      <c r="Z53" s="52" t="str">
        <f t="shared" si="36"/>
        <v/>
      </c>
      <c r="AA53" s="52" t="str">
        <f t="shared" si="36"/>
        <v/>
      </c>
    </row>
    <row r="54" spans="1:27" x14ac:dyDescent="0.25">
      <c r="A54" s="66"/>
      <c r="B54" s="43" t="s">
        <v>287</v>
      </c>
      <c r="C54" s="52">
        <f>IF(C48="","",C53*(1-$C$23/100*$C$20/5-$C$24/100*$C$21/5-$C$25/100*$C$22/5))</f>
        <v>127455.783</v>
      </c>
      <c r="D54" s="52">
        <f t="shared" ref="D54:AA54" si="37">IF(D48="","",D53*(1-$C$23/100*$C$20/5-$C$24/100*$C$21/5-$C$25/100*$C$22/5))</f>
        <v>128985.25239599997</v>
      </c>
      <c r="E54" s="52">
        <f t="shared" si="37"/>
        <v>130533.07542475195</v>
      </c>
      <c r="F54" s="52">
        <f t="shared" si="37"/>
        <v>132099.47232984903</v>
      </c>
      <c r="G54" s="52">
        <f t="shared" si="37"/>
        <v>133684.6659978072</v>
      </c>
      <c r="H54" s="52">
        <f t="shared" si="37"/>
        <v>135288.88198978093</v>
      </c>
      <c r="I54" s="52">
        <f t="shared" si="37"/>
        <v>136912.3485736583</v>
      </c>
      <c r="J54" s="52">
        <f t="shared" si="37"/>
        <v>138555.29675654217</v>
      </c>
      <c r="K54" s="52">
        <f t="shared" si="37"/>
        <v>140217.96031762066</v>
      </c>
      <c r="L54" s="52">
        <f t="shared" si="37"/>
        <v>141900.57584143215</v>
      </c>
      <c r="M54" s="52">
        <f t="shared" si="37"/>
        <v>143603.38275152931</v>
      </c>
      <c r="N54" s="52">
        <f t="shared" si="37"/>
        <v>145326.6233445477</v>
      </c>
      <c r="O54" s="52">
        <f t="shared" si="37"/>
        <v>147070.54282468226</v>
      </c>
      <c r="P54" s="52">
        <f t="shared" si="37"/>
        <v>148835.38933857842</v>
      </c>
      <c r="Q54" s="52">
        <f t="shared" si="37"/>
        <v>150621.4140106414</v>
      </c>
      <c r="R54" s="52">
        <f t="shared" si="37"/>
        <v>152428.87097876906</v>
      </c>
      <c r="S54" s="52">
        <f t="shared" si="37"/>
        <v>154258.0174305143</v>
      </c>
      <c r="T54" s="52">
        <f t="shared" si="37"/>
        <v>156109.11363968049</v>
      </c>
      <c r="U54" s="52">
        <f t="shared" si="37"/>
        <v>157982.42300335664</v>
      </c>
      <c r="V54" s="52">
        <f t="shared" si="37"/>
        <v>159878.21207939691</v>
      </c>
      <c r="W54" s="52" t="str">
        <f t="shared" si="37"/>
        <v/>
      </c>
      <c r="X54" s="52" t="str">
        <f t="shared" si="37"/>
        <v/>
      </c>
      <c r="Y54" s="52" t="str">
        <f t="shared" si="37"/>
        <v/>
      </c>
      <c r="Z54" s="52" t="str">
        <f t="shared" si="37"/>
        <v/>
      </c>
      <c r="AA54" s="52" t="str">
        <f t="shared" si="37"/>
        <v/>
      </c>
    </row>
    <row r="55" spans="1:27" x14ac:dyDescent="0.25">
      <c r="A55" s="66" t="str">
        <f>B88</f>
        <v>Profil type n°3 de ville : Minsk, Europe</v>
      </c>
      <c r="B55" s="43" t="s">
        <v>282</v>
      </c>
      <c r="C55" s="52">
        <f>IF(C48="","",C57-C56)</f>
        <v>-9848.8746720000054</v>
      </c>
      <c r="D55" s="52">
        <f t="shared" ref="D55:AA55" si="38">IF(D48="","",D57-D56)</f>
        <v>-9967.0611680640141</v>
      </c>
      <c r="E55" s="52">
        <f t="shared" si="38"/>
        <v>-10086.665902080771</v>
      </c>
      <c r="F55" s="52">
        <f t="shared" si="38"/>
        <v>-10207.705892905738</v>
      </c>
      <c r="G55" s="52">
        <f t="shared" si="38"/>
        <v>-10330.198363620613</v>
      </c>
      <c r="H55" s="52">
        <f t="shared" si="38"/>
        <v>-10454.160743984074</v>
      </c>
      <c r="I55" s="52">
        <f t="shared" si="38"/>
        <v>-10579.610672911862</v>
      </c>
      <c r="J55" s="52">
        <f t="shared" si="38"/>
        <v>-10706.566000986815</v>
      </c>
      <c r="K55" s="52">
        <f t="shared" si="38"/>
        <v>-10835.044792998669</v>
      </c>
      <c r="L55" s="52">
        <f t="shared" si="38"/>
        <v>-10965.065330514626</v>
      </c>
      <c r="M55" s="52">
        <f t="shared" si="38"/>
        <v>-11096.646114480827</v>
      </c>
      <c r="N55" s="52">
        <f t="shared" si="38"/>
        <v>-11229.805867854593</v>
      </c>
      <c r="O55" s="52">
        <f t="shared" si="38"/>
        <v>-11364.563538268849</v>
      </c>
      <c r="P55" s="52">
        <f t="shared" si="38"/>
        <v>-11500.93830072807</v>
      </c>
      <c r="Q55" s="52">
        <f t="shared" si="38"/>
        <v>-11638.949560336798</v>
      </c>
      <c r="R55" s="52">
        <f t="shared" si="38"/>
        <v>-11778.616955060832</v>
      </c>
      <c r="S55" s="52">
        <f t="shared" si="38"/>
        <v>-11919.960358521581</v>
      </c>
      <c r="T55" s="52">
        <f t="shared" si="38"/>
        <v>-12062.999882823817</v>
      </c>
      <c r="U55" s="52">
        <f t="shared" si="38"/>
        <v>-12207.755881417717</v>
      </c>
      <c r="V55" s="52">
        <f t="shared" si="38"/>
        <v>-12354.248951994727</v>
      </c>
      <c r="W55" s="52" t="str">
        <f t="shared" si="38"/>
        <v/>
      </c>
      <c r="X55" s="52" t="str">
        <f t="shared" si="38"/>
        <v/>
      </c>
      <c r="Y55" s="52" t="str">
        <f t="shared" si="38"/>
        <v/>
      </c>
      <c r="Z55" s="52" t="str">
        <f t="shared" si="38"/>
        <v/>
      </c>
      <c r="AA55" s="52" t="str">
        <f t="shared" si="38"/>
        <v/>
      </c>
    </row>
    <row r="56" spans="1:27" x14ac:dyDescent="0.25">
      <c r="A56" s="66"/>
      <c r="B56" s="43" t="s">
        <v>288</v>
      </c>
      <c r="C56" s="52">
        <f>IF(C48="","",C$64*$C$93*($C$95*$C$91+$C$92*$C$96)/100/1000*5*52)</f>
        <v>185827.82399999996</v>
      </c>
      <c r="D56" s="52">
        <f t="shared" ref="D56:AA56" si="39">IF(D48="","",D$64*$C$93*($C$95*$C$91+$C$92*$C$96)/100/1000*5*52)</f>
        <v>188057.75788799993</v>
      </c>
      <c r="E56" s="52">
        <f t="shared" si="39"/>
        <v>190314.45098265601</v>
      </c>
      <c r="F56" s="52">
        <f t="shared" si="39"/>
        <v>192598.22439444787</v>
      </c>
      <c r="G56" s="52">
        <f t="shared" si="39"/>
        <v>194909.40308718127</v>
      </c>
      <c r="H56" s="52">
        <f t="shared" si="39"/>
        <v>197248.31592422741</v>
      </c>
      <c r="I56" s="52">
        <f t="shared" si="39"/>
        <v>199615.29571531818</v>
      </c>
      <c r="J56" s="52">
        <f t="shared" si="39"/>
        <v>202010.67926390198</v>
      </c>
      <c r="K56" s="52">
        <f t="shared" si="39"/>
        <v>204434.80741506879</v>
      </c>
      <c r="L56" s="52">
        <f t="shared" si="39"/>
        <v>206888.02510404962</v>
      </c>
      <c r="M56" s="52">
        <f t="shared" si="39"/>
        <v>209370.68140529821</v>
      </c>
      <c r="N56" s="52">
        <f t="shared" si="39"/>
        <v>211883.12958216184</v>
      </c>
      <c r="O56" s="52">
        <f t="shared" si="39"/>
        <v>214425.72713714777</v>
      </c>
      <c r="P56" s="52">
        <f t="shared" si="39"/>
        <v>216998.83586279349</v>
      </c>
      <c r="Q56" s="52">
        <f t="shared" si="39"/>
        <v>219602.82189314699</v>
      </c>
      <c r="R56" s="52">
        <f t="shared" si="39"/>
        <v>222238.05575586483</v>
      </c>
      <c r="S56" s="52">
        <f t="shared" si="39"/>
        <v>224904.9124249352</v>
      </c>
      <c r="T56" s="52">
        <f t="shared" si="39"/>
        <v>227603.77137403435</v>
      </c>
      <c r="U56" s="52">
        <f t="shared" si="39"/>
        <v>230335.01663052276</v>
      </c>
      <c r="V56" s="52">
        <f t="shared" si="39"/>
        <v>233099.03683008908</v>
      </c>
      <c r="W56" s="52" t="str">
        <f t="shared" si="39"/>
        <v/>
      </c>
      <c r="X56" s="52" t="str">
        <f t="shared" si="39"/>
        <v/>
      </c>
      <c r="Y56" s="52" t="str">
        <f t="shared" si="39"/>
        <v/>
      </c>
      <c r="Z56" s="52" t="str">
        <f t="shared" si="39"/>
        <v/>
      </c>
      <c r="AA56" s="52" t="str">
        <f t="shared" si="39"/>
        <v/>
      </c>
    </row>
    <row r="57" spans="1:27" x14ac:dyDescent="0.25">
      <c r="A57" s="66"/>
      <c r="B57" s="43" t="s">
        <v>289</v>
      </c>
      <c r="C57" s="52">
        <f>IF(C48="","",C56*(1-$C$23/100*$C$20/5-$C$24/100*$C$21/5-$C$25/100*$C$22/5))</f>
        <v>175978.94932799996</v>
      </c>
      <c r="D57" s="52">
        <f t="shared" ref="D57:AA57" si="40">IF(D48="","",D56*(1-$C$23/100*$C$20/5-$C$24/100*$C$21/5-$C$25/100*$C$22/5))</f>
        <v>178090.69671993592</v>
      </c>
      <c r="E57" s="52">
        <f t="shared" si="40"/>
        <v>180227.78508057524</v>
      </c>
      <c r="F57" s="52">
        <f t="shared" si="40"/>
        <v>182390.51850154213</v>
      </c>
      <c r="G57" s="52">
        <f t="shared" si="40"/>
        <v>184579.20472356066</v>
      </c>
      <c r="H57" s="52">
        <f t="shared" si="40"/>
        <v>186794.15518024334</v>
      </c>
      <c r="I57" s="52">
        <f t="shared" si="40"/>
        <v>189035.68504240632</v>
      </c>
      <c r="J57" s="52">
        <f t="shared" si="40"/>
        <v>191304.11326291517</v>
      </c>
      <c r="K57" s="52">
        <f t="shared" si="40"/>
        <v>193599.76262207012</v>
      </c>
      <c r="L57" s="52">
        <f t="shared" si="40"/>
        <v>195922.959773535</v>
      </c>
      <c r="M57" s="52">
        <f t="shared" si="40"/>
        <v>198274.03529081738</v>
      </c>
      <c r="N57" s="52">
        <f t="shared" si="40"/>
        <v>200653.32371430725</v>
      </c>
      <c r="O57" s="52">
        <f t="shared" si="40"/>
        <v>203061.16359887892</v>
      </c>
      <c r="P57" s="52">
        <f t="shared" si="40"/>
        <v>205497.89756206542</v>
      </c>
      <c r="Q57" s="52">
        <f t="shared" si="40"/>
        <v>207963.87233281019</v>
      </c>
      <c r="R57" s="52">
        <f t="shared" si="40"/>
        <v>210459.438800804</v>
      </c>
      <c r="S57" s="52">
        <f t="shared" si="40"/>
        <v>212984.95206641362</v>
      </c>
      <c r="T57" s="52">
        <f t="shared" si="40"/>
        <v>215540.77149121053</v>
      </c>
      <c r="U57" s="52">
        <f t="shared" si="40"/>
        <v>218127.26074910504</v>
      </c>
      <c r="V57" s="52">
        <f t="shared" si="40"/>
        <v>220744.78787809436</v>
      </c>
      <c r="W57" s="52" t="str">
        <f t="shared" si="40"/>
        <v/>
      </c>
      <c r="X57" s="52" t="str">
        <f t="shared" si="40"/>
        <v/>
      </c>
      <c r="Y57" s="52" t="str">
        <f t="shared" si="40"/>
        <v/>
      </c>
      <c r="Z57" s="52" t="str">
        <f t="shared" si="40"/>
        <v/>
      </c>
      <c r="AA57" s="52" t="str">
        <f t="shared" si="40"/>
        <v/>
      </c>
    </row>
    <row r="58" spans="1:27" x14ac:dyDescent="0.25">
      <c r="A58" s="66" t="str">
        <f>B98</f>
        <v>Profil type n°4 de ville : Jakarta, Asie du Sud-Est</v>
      </c>
      <c r="B58" s="43" t="s">
        <v>283</v>
      </c>
      <c r="C58" s="52">
        <f>IF(C48="","",C60-C59)</f>
        <v>-21238.524215999991</v>
      </c>
      <c r="D58" s="52">
        <f t="shared" ref="D58:AA58" si="41">IF(D48="","",D60-D59)</f>
        <v>-21493.38650659204</v>
      </c>
      <c r="E58" s="52">
        <f t="shared" si="41"/>
        <v>-21751.307144671096</v>
      </c>
      <c r="F58" s="52">
        <f t="shared" si="41"/>
        <v>-22012.322830407182</v>
      </c>
      <c r="G58" s="52">
        <f t="shared" si="41"/>
        <v>-22276.470704372041</v>
      </c>
      <c r="H58" s="52">
        <f t="shared" si="41"/>
        <v>-22543.788352824515</v>
      </c>
      <c r="I58" s="52">
        <f t="shared" si="41"/>
        <v>-22814.313813058427</v>
      </c>
      <c r="J58" s="52">
        <f t="shared" si="41"/>
        <v>-23088.085578815138</v>
      </c>
      <c r="K58" s="52">
        <f t="shared" si="41"/>
        <v>-23365.142605760891</v>
      </c>
      <c r="L58" s="52">
        <f t="shared" si="41"/>
        <v>-23645.524317030038</v>
      </c>
      <c r="M58" s="52">
        <f t="shared" si="41"/>
        <v>-23929.270608834398</v>
      </c>
      <c r="N58" s="52">
        <f t="shared" si="41"/>
        <v>-24216.421856140427</v>
      </c>
      <c r="O58" s="52">
        <f t="shared" si="41"/>
        <v>-24507.018918414076</v>
      </c>
      <c r="P58" s="52">
        <f t="shared" si="41"/>
        <v>-24801.103145435045</v>
      </c>
      <c r="Q58" s="52">
        <f t="shared" si="41"/>
        <v>-25098.71638318029</v>
      </c>
      <c r="R58" s="52">
        <f t="shared" si="41"/>
        <v>-25399.900979778438</v>
      </c>
      <c r="S58" s="52">
        <f t="shared" si="41"/>
        <v>-25704.699791535793</v>
      </c>
      <c r="T58" s="52">
        <f t="shared" si="41"/>
        <v>-26013.156189034227</v>
      </c>
      <c r="U58" s="52">
        <f t="shared" si="41"/>
        <v>-26325.314063302649</v>
      </c>
      <c r="V58" s="52">
        <f t="shared" si="41"/>
        <v>-26641.217832062277</v>
      </c>
      <c r="W58" s="52" t="str">
        <f t="shared" si="41"/>
        <v/>
      </c>
      <c r="X58" s="52" t="str">
        <f t="shared" si="41"/>
        <v/>
      </c>
      <c r="Y58" s="52" t="str">
        <f t="shared" si="41"/>
        <v/>
      </c>
      <c r="Z58" s="52" t="str">
        <f t="shared" si="41"/>
        <v/>
      </c>
      <c r="AA58" s="52" t="str">
        <f t="shared" si="41"/>
        <v/>
      </c>
    </row>
    <row r="59" spans="1:27" x14ac:dyDescent="0.25">
      <c r="B59" s="43" t="s">
        <v>290</v>
      </c>
      <c r="C59" s="52">
        <f>IF(C48="","",C$64*$C103*($C$105*$C$101+$C$102*$C$106)/100/1000*5*52)</f>
        <v>400726.87199999997</v>
      </c>
      <c r="D59" s="52">
        <f t="shared" ref="D59:AA59" si="42">IF(D48="","",D$64*$C103*($C$105*$C$101+$C$102*$C$106)/100/1000*5*52)</f>
        <v>405535.59446399997</v>
      </c>
      <c r="E59" s="52">
        <f t="shared" si="42"/>
        <v>410402.021597568</v>
      </c>
      <c r="F59" s="52">
        <f t="shared" si="42"/>
        <v>415326.8458567388</v>
      </c>
      <c r="G59" s="52">
        <f t="shared" si="42"/>
        <v>420310.76800701971</v>
      </c>
      <c r="H59" s="52">
        <f t="shared" si="42"/>
        <v>425354.49722310394</v>
      </c>
      <c r="I59" s="52">
        <f t="shared" si="42"/>
        <v>430458.75118978118</v>
      </c>
      <c r="J59" s="52">
        <f t="shared" si="42"/>
        <v>435624.25620405865</v>
      </c>
      <c r="K59" s="52">
        <f t="shared" si="42"/>
        <v>440851.74727850722</v>
      </c>
      <c r="L59" s="52">
        <f t="shared" si="42"/>
        <v>446141.9682458493</v>
      </c>
      <c r="M59" s="52">
        <f t="shared" si="42"/>
        <v>451495.67186479957</v>
      </c>
      <c r="N59" s="52">
        <f t="shared" si="42"/>
        <v>456913.61992717721</v>
      </c>
      <c r="O59" s="52">
        <f t="shared" si="42"/>
        <v>462396.58336630324</v>
      </c>
      <c r="P59" s="52">
        <f t="shared" si="42"/>
        <v>467945.34236669895</v>
      </c>
      <c r="Q59" s="52">
        <f t="shared" si="42"/>
        <v>473560.68647509936</v>
      </c>
      <c r="R59" s="52">
        <f t="shared" si="42"/>
        <v>479243.41471280059</v>
      </c>
      <c r="S59" s="52">
        <f t="shared" si="42"/>
        <v>484994.33568935416</v>
      </c>
      <c r="T59" s="52">
        <f t="shared" si="42"/>
        <v>490814.26771762641</v>
      </c>
      <c r="U59" s="52">
        <f t="shared" si="42"/>
        <v>496704.03893023793</v>
      </c>
      <c r="V59" s="52">
        <f t="shared" si="42"/>
        <v>502664.48739740078</v>
      </c>
      <c r="W59" s="52" t="str">
        <f t="shared" si="42"/>
        <v/>
      </c>
      <c r="X59" s="52" t="str">
        <f t="shared" si="42"/>
        <v/>
      </c>
      <c r="Y59" s="52" t="str">
        <f t="shared" si="42"/>
        <v/>
      </c>
      <c r="Z59" s="52" t="str">
        <f t="shared" si="42"/>
        <v/>
      </c>
      <c r="AA59" s="52" t="str">
        <f t="shared" si="42"/>
        <v/>
      </c>
    </row>
    <row r="60" spans="1:27" x14ac:dyDescent="0.25">
      <c r="B60" s="43" t="s">
        <v>291</v>
      </c>
      <c r="C60" s="52">
        <f>IF(C48="","",C59*(1-$C$23/100*$C$20/5-$C$24/100*$C$21/5-$C$25/100*$C$22/5))</f>
        <v>379488.34778399998</v>
      </c>
      <c r="D60" s="52">
        <f t="shared" ref="D60:AA60" si="43">IF(D48="","",D59*(1-$C$23/100*$C$20/5-$C$24/100*$C$21/5-$C$25/100*$C$22/5))</f>
        <v>384042.20795740793</v>
      </c>
      <c r="E60" s="52">
        <f t="shared" si="43"/>
        <v>388650.71445289691</v>
      </c>
      <c r="F60" s="52">
        <f t="shared" si="43"/>
        <v>393314.52302633162</v>
      </c>
      <c r="G60" s="52">
        <f t="shared" si="43"/>
        <v>398034.29730264767</v>
      </c>
      <c r="H60" s="52">
        <f t="shared" si="43"/>
        <v>402810.70887027943</v>
      </c>
      <c r="I60" s="52">
        <f t="shared" si="43"/>
        <v>407644.43737672275</v>
      </c>
      <c r="J60" s="52">
        <f t="shared" si="43"/>
        <v>412536.17062524351</v>
      </c>
      <c r="K60" s="52">
        <f t="shared" si="43"/>
        <v>417486.60467274633</v>
      </c>
      <c r="L60" s="52">
        <f t="shared" si="43"/>
        <v>422496.44392881927</v>
      </c>
      <c r="M60" s="52">
        <f t="shared" si="43"/>
        <v>427566.40125596517</v>
      </c>
      <c r="N60" s="52">
        <f t="shared" si="43"/>
        <v>432697.19807103678</v>
      </c>
      <c r="O60" s="52">
        <f t="shared" si="43"/>
        <v>437889.56444788916</v>
      </c>
      <c r="P60" s="52">
        <f t="shared" si="43"/>
        <v>443144.23922126391</v>
      </c>
      <c r="Q60" s="52">
        <f t="shared" si="43"/>
        <v>448461.97009191907</v>
      </c>
      <c r="R60" s="52">
        <f t="shared" si="43"/>
        <v>453843.51373302215</v>
      </c>
      <c r="S60" s="52">
        <f t="shared" si="43"/>
        <v>459289.63589781837</v>
      </c>
      <c r="T60" s="52">
        <f t="shared" si="43"/>
        <v>464801.11152859218</v>
      </c>
      <c r="U60" s="52">
        <f t="shared" si="43"/>
        <v>470378.72486693528</v>
      </c>
      <c r="V60" s="52">
        <f t="shared" si="43"/>
        <v>476023.2695653385</v>
      </c>
      <c r="W60" s="52" t="str">
        <f t="shared" si="43"/>
        <v/>
      </c>
      <c r="X60" s="52" t="str">
        <f t="shared" si="43"/>
        <v/>
      </c>
      <c r="Y60" s="52" t="str">
        <f t="shared" si="43"/>
        <v/>
      </c>
      <c r="Z60" s="52" t="str">
        <f t="shared" si="43"/>
        <v/>
      </c>
      <c r="AA60" s="52" t="str">
        <f t="shared" si="43"/>
        <v/>
      </c>
    </row>
    <row r="61" spans="1:27" x14ac:dyDescent="0.25">
      <c r="B61" s="44" t="s">
        <v>134</v>
      </c>
      <c r="C61" s="52">
        <f t="shared" ref="C61:AA61" si="44">IF(C48="","",C$64*$C$23/100)</f>
        <v>21000</v>
      </c>
      <c r="D61" s="52">
        <f t="shared" si="44"/>
        <v>21252</v>
      </c>
      <c r="E61" s="52">
        <f t="shared" si="44"/>
        <v>21507.024000000005</v>
      </c>
      <c r="F61" s="52">
        <f t="shared" si="44"/>
        <v>21765.108288000003</v>
      </c>
      <c r="G61" s="52">
        <f t="shared" si="44"/>
        <v>22026.289587456002</v>
      </c>
      <c r="H61" s="52">
        <f t="shared" si="44"/>
        <v>22290.605062505474</v>
      </c>
      <c r="I61" s="52">
        <f t="shared" si="44"/>
        <v>22558.092323255543</v>
      </c>
      <c r="J61" s="52">
        <f t="shared" si="44"/>
        <v>22828.78943113461</v>
      </c>
      <c r="K61" s="52">
        <f t="shared" si="44"/>
        <v>23102.734904308225</v>
      </c>
      <c r="L61" s="52">
        <f t="shared" si="44"/>
        <v>23379.96772315992</v>
      </c>
      <c r="M61" s="52">
        <f t="shared" si="44"/>
        <v>23660.527335837844</v>
      </c>
      <c r="N61" s="52">
        <f t="shared" si="44"/>
        <v>23944.453663867898</v>
      </c>
      <c r="O61" s="52">
        <f t="shared" si="44"/>
        <v>24231.787107834312</v>
      </c>
      <c r="P61" s="52">
        <f t="shared" si="44"/>
        <v>24522.568553128323</v>
      </c>
      <c r="Q61" s="52">
        <f t="shared" si="44"/>
        <v>24816.83937576586</v>
      </c>
      <c r="R61" s="52">
        <f t="shared" si="44"/>
        <v>25114.641448275052</v>
      </c>
      <c r="S61" s="52">
        <f t="shared" si="44"/>
        <v>25416.017145654354</v>
      </c>
      <c r="T61" s="52">
        <f t="shared" si="44"/>
        <v>25721.009351402205</v>
      </c>
      <c r="U61" s="52">
        <f t="shared" si="44"/>
        <v>26029.661463619032</v>
      </c>
      <c r="V61" s="52">
        <f t="shared" si="44"/>
        <v>26342.01740118246</v>
      </c>
      <c r="W61" s="52" t="str">
        <f t="shared" si="44"/>
        <v/>
      </c>
      <c r="X61" s="52" t="str">
        <f t="shared" si="44"/>
        <v/>
      </c>
      <c r="Y61" s="52" t="str">
        <f t="shared" si="44"/>
        <v/>
      </c>
      <c r="Z61" s="52" t="str">
        <f t="shared" si="44"/>
        <v/>
      </c>
      <c r="AA61" s="52" t="str">
        <f t="shared" si="44"/>
        <v/>
      </c>
    </row>
    <row r="62" spans="1:27" x14ac:dyDescent="0.25">
      <c r="B62" s="44" t="s">
        <v>135</v>
      </c>
      <c r="C62" s="52">
        <f t="shared" ref="C62:AA62" si="45">IF(C48="","",C$64*$C$24/100)</f>
        <v>35000</v>
      </c>
      <c r="D62" s="52">
        <f t="shared" si="45"/>
        <v>35420</v>
      </c>
      <c r="E62" s="52">
        <f t="shared" si="45"/>
        <v>35845.040000000001</v>
      </c>
      <c r="F62" s="52">
        <f t="shared" si="45"/>
        <v>36275.180480000003</v>
      </c>
      <c r="G62" s="52">
        <f t="shared" si="45"/>
        <v>36710.482645760007</v>
      </c>
      <c r="H62" s="52">
        <f t="shared" si="45"/>
        <v>37151.008437509125</v>
      </c>
      <c r="I62" s="52">
        <f t="shared" si="45"/>
        <v>37596.820538759239</v>
      </c>
      <c r="J62" s="52">
        <f t="shared" si="45"/>
        <v>38047.982385224343</v>
      </c>
      <c r="K62" s="52">
        <f t="shared" si="45"/>
        <v>38504.558173847043</v>
      </c>
      <c r="L62" s="52">
        <f t="shared" si="45"/>
        <v>38966.612871933205</v>
      </c>
      <c r="M62" s="52">
        <f t="shared" si="45"/>
        <v>39434.212226396405</v>
      </c>
      <c r="N62" s="52">
        <f t="shared" si="45"/>
        <v>39907.422773113154</v>
      </c>
      <c r="O62" s="52">
        <f t="shared" si="45"/>
        <v>40386.311846390512</v>
      </c>
      <c r="P62" s="52">
        <f t="shared" si="45"/>
        <v>40870.947588547206</v>
      </c>
      <c r="Q62" s="52">
        <f t="shared" si="45"/>
        <v>41361.398959609767</v>
      </c>
      <c r="R62" s="52">
        <f t="shared" si="45"/>
        <v>41857.735747125087</v>
      </c>
      <c r="S62" s="52">
        <f t="shared" si="45"/>
        <v>42360.02857609059</v>
      </c>
      <c r="T62" s="52">
        <f t="shared" si="45"/>
        <v>42868.348919003678</v>
      </c>
      <c r="U62" s="52">
        <f t="shared" si="45"/>
        <v>43382.769106031723</v>
      </c>
      <c r="V62" s="52">
        <f t="shared" si="45"/>
        <v>43903.362335304097</v>
      </c>
      <c r="W62" s="52" t="str">
        <f t="shared" si="45"/>
        <v/>
      </c>
      <c r="X62" s="52" t="str">
        <f t="shared" si="45"/>
        <v/>
      </c>
      <c r="Y62" s="52" t="str">
        <f t="shared" si="45"/>
        <v/>
      </c>
      <c r="Z62" s="52" t="str">
        <f t="shared" si="45"/>
        <v/>
      </c>
      <c r="AA62" s="52" t="str">
        <f t="shared" si="45"/>
        <v/>
      </c>
    </row>
    <row r="63" spans="1:27" x14ac:dyDescent="0.25">
      <c r="B63" s="44" t="s">
        <v>136</v>
      </c>
      <c r="C63" s="52">
        <f t="shared" ref="C63:AA63" si="46">IF(C48="","",C$64*$C$24/100)</f>
        <v>35000</v>
      </c>
      <c r="D63" s="52">
        <f t="shared" si="46"/>
        <v>35420</v>
      </c>
      <c r="E63" s="52">
        <f t="shared" si="46"/>
        <v>35845.040000000001</v>
      </c>
      <c r="F63" s="52">
        <f t="shared" si="46"/>
        <v>36275.180480000003</v>
      </c>
      <c r="G63" s="52">
        <f t="shared" si="46"/>
        <v>36710.482645760007</v>
      </c>
      <c r="H63" s="52">
        <f t="shared" si="46"/>
        <v>37151.008437509125</v>
      </c>
      <c r="I63" s="52">
        <f t="shared" si="46"/>
        <v>37596.820538759239</v>
      </c>
      <c r="J63" s="52">
        <f t="shared" si="46"/>
        <v>38047.982385224343</v>
      </c>
      <c r="K63" s="52">
        <f t="shared" si="46"/>
        <v>38504.558173847043</v>
      </c>
      <c r="L63" s="52">
        <f t="shared" si="46"/>
        <v>38966.612871933205</v>
      </c>
      <c r="M63" s="52">
        <f t="shared" si="46"/>
        <v>39434.212226396405</v>
      </c>
      <c r="N63" s="52">
        <f t="shared" si="46"/>
        <v>39907.422773113154</v>
      </c>
      <c r="O63" s="52">
        <f t="shared" si="46"/>
        <v>40386.311846390512</v>
      </c>
      <c r="P63" s="52">
        <f t="shared" si="46"/>
        <v>40870.947588547206</v>
      </c>
      <c r="Q63" s="52">
        <f t="shared" si="46"/>
        <v>41361.398959609767</v>
      </c>
      <c r="R63" s="52">
        <f t="shared" si="46"/>
        <v>41857.735747125087</v>
      </c>
      <c r="S63" s="52">
        <f t="shared" si="46"/>
        <v>42360.02857609059</v>
      </c>
      <c r="T63" s="52">
        <f t="shared" si="46"/>
        <v>42868.348919003678</v>
      </c>
      <c r="U63" s="52">
        <f t="shared" si="46"/>
        <v>43382.769106031723</v>
      </c>
      <c r="V63" s="52">
        <f t="shared" si="46"/>
        <v>43903.362335304097</v>
      </c>
      <c r="W63" s="52" t="str">
        <f t="shared" si="46"/>
        <v/>
      </c>
      <c r="X63" s="52" t="str">
        <f t="shared" si="46"/>
        <v/>
      </c>
      <c r="Y63" s="52" t="str">
        <f t="shared" si="46"/>
        <v/>
      </c>
      <c r="Z63" s="52" t="str">
        <f t="shared" si="46"/>
        <v/>
      </c>
      <c r="AA63" s="52" t="str">
        <f t="shared" si="46"/>
        <v/>
      </c>
    </row>
    <row r="64" spans="1:27" x14ac:dyDescent="0.25">
      <c r="B64" s="44" t="s">
        <v>133</v>
      </c>
      <c r="C64" s="52">
        <f>C178</f>
        <v>700000</v>
      </c>
      <c r="D64" s="52">
        <f>IF(D48="","",C64*(1+Hypothèses_projet!$C$14/100))</f>
        <v>708400</v>
      </c>
      <c r="E64" s="52">
        <f>IF(E48="","",D64*(1+Hypothèses_projet!$C$14/100))</f>
        <v>716900.8</v>
      </c>
      <c r="F64" s="52">
        <f>IF(F48="","",E64*(1+Hypothèses_projet!$C$14/100))</f>
        <v>725503.60960000008</v>
      </c>
      <c r="G64" s="52">
        <f>IF(G48="","",F64*(1+Hypothèses_projet!$C$14/100))</f>
        <v>734209.6529152001</v>
      </c>
      <c r="H64" s="52">
        <f>IF(H48="","",G64*(1+Hypothèses_projet!$C$14/100))</f>
        <v>743020.16875018249</v>
      </c>
      <c r="I64" s="52">
        <f>IF(I48="","",H64*(1+Hypothèses_projet!$C$14/100))</f>
        <v>751936.41077518475</v>
      </c>
      <c r="J64" s="52">
        <f>IF(J48="","",I64*(1+Hypothèses_projet!$C$14/100))</f>
        <v>760959.64770448697</v>
      </c>
      <c r="K64" s="52">
        <f>IF(K48="","",J64*(1+Hypothèses_projet!$C$14/100))</f>
        <v>770091.16347694083</v>
      </c>
      <c r="L64" s="52">
        <f>IF(L48="","",K64*(1+Hypothèses_projet!$C$14/100))</f>
        <v>779332.25743866409</v>
      </c>
      <c r="M64" s="52">
        <f>IF(M48="","",L64*(1+Hypothèses_projet!$C$14/100))</f>
        <v>788684.24452792807</v>
      </c>
      <c r="N64" s="52">
        <f>IF(N48="","",M64*(1+Hypothèses_projet!$C$14/100))</f>
        <v>798148.4554622632</v>
      </c>
      <c r="O64" s="52">
        <f>IF(O48="","",N64*(1+Hypothèses_projet!$C$14/100))</f>
        <v>807726.23692781036</v>
      </c>
      <c r="P64" s="52">
        <f>IF(P48="","",O64*(1+Hypothèses_projet!$C$14/100))</f>
        <v>817418.95177094406</v>
      </c>
      <c r="Q64" s="52">
        <f>IF(Q48="","",P64*(1+Hypothèses_projet!$C$14/100))</f>
        <v>827227.97919219534</v>
      </c>
      <c r="R64" s="52">
        <f>IF(R48="","",Q64*(1+Hypothèses_projet!$C$14/100))</f>
        <v>837154.71494250174</v>
      </c>
      <c r="S64" s="52">
        <f>IF(S48="","",R64*(1+Hypothèses_projet!$C$14/100))</f>
        <v>847200.57152181177</v>
      </c>
      <c r="T64" s="52">
        <f>IF(T48="","",S64*(1+Hypothèses_projet!$C$14/100))</f>
        <v>857366.97838007356</v>
      </c>
      <c r="U64" s="52">
        <f>IF(U48="","",T64*(1+Hypothèses_projet!$C$14/100))</f>
        <v>867655.38212063443</v>
      </c>
      <c r="V64" s="52">
        <f>IF(V48="","",U64*(1+Hypothèses_projet!$C$14/100))</f>
        <v>878067.24670608202</v>
      </c>
      <c r="W64" s="52" t="str">
        <f>IF(W48="","",V64*(1+Hypothèses_projet!$C$14/100))</f>
        <v/>
      </c>
      <c r="X64" s="52" t="str">
        <f>IF(X48="","",W64*(1+Hypothèses_projet!$C$14/100))</f>
        <v/>
      </c>
      <c r="Y64" s="52" t="str">
        <f>IF(Y48="","",X64*(1+Hypothèses_projet!$C$14/100))</f>
        <v/>
      </c>
      <c r="Z64" s="52" t="str">
        <f>IF(Z48="","",Y64*(1+Hypothèses_projet!$C$14/100))</f>
        <v/>
      </c>
      <c r="AA64" s="52" t="str">
        <f>IF(AA48="","",Z64*(1+Hypothèses_projet!$C$14/100))</f>
        <v/>
      </c>
    </row>
    <row r="66" spans="2:9" hidden="1" outlineLevel="1" x14ac:dyDescent="0.35">
      <c r="B66" s="3"/>
      <c r="C66" s="3" t="s">
        <v>19</v>
      </c>
      <c r="D66" s="31"/>
      <c r="E66" s="3" t="s">
        <v>4</v>
      </c>
      <c r="F66" s="31"/>
      <c r="G66" s="3"/>
      <c r="H66" s="31"/>
      <c r="I66" s="3" t="s">
        <v>83</v>
      </c>
    </row>
    <row r="67" spans="2:9" hidden="1" outlineLevel="1" x14ac:dyDescent="0.25"/>
    <row r="68" spans="2:9" hidden="1" outlineLevel="1" x14ac:dyDescent="0.25">
      <c r="B68" s="15" t="s">
        <v>369</v>
      </c>
    </row>
    <row r="69" spans="2:9" hidden="1" outlineLevel="1" x14ac:dyDescent="0.25"/>
    <row r="70" spans="2:9" hidden="1" outlineLevel="1" x14ac:dyDescent="0.25">
      <c r="B70" s="16" t="s">
        <v>76</v>
      </c>
      <c r="C70" s="26">
        <v>17</v>
      </c>
      <c r="E70" s="15" t="s">
        <v>1</v>
      </c>
      <c r="I70" s="62" t="s">
        <v>337</v>
      </c>
    </row>
    <row r="71" spans="2:9" hidden="1" outlineLevel="1" x14ac:dyDescent="0.35">
      <c r="B71" s="16" t="s">
        <v>222</v>
      </c>
      <c r="C71" s="26">
        <v>19</v>
      </c>
      <c r="E71" s="15" t="s">
        <v>1</v>
      </c>
      <c r="I71" s="10" t="s">
        <v>338</v>
      </c>
    </row>
    <row r="72" spans="2:9" hidden="1" outlineLevel="1" x14ac:dyDescent="0.25">
      <c r="B72" s="16" t="s">
        <v>77</v>
      </c>
      <c r="C72" s="26">
        <v>64</v>
      </c>
      <c r="E72" s="15" t="s">
        <v>1</v>
      </c>
    </row>
    <row r="73" spans="2:9" hidden="1" outlineLevel="1" x14ac:dyDescent="0.25">
      <c r="B73" s="16" t="s">
        <v>147</v>
      </c>
      <c r="C73" s="26">
        <v>17.399999999999999</v>
      </c>
      <c r="E73" s="15" t="s">
        <v>0</v>
      </c>
      <c r="I73" s="15" t="s">
        <v>193</v>
      </c>
    </row>
    <row r="74" spans="2:9" hidden="1" outlineLevel="1" x14ac:dyDescent="0.25">
      <c r="B74" s="37" t="s">
        <v>75</v>
      </c>
      <c r="C74" s="24">
        <v>17.399999999999999</v>
      </c>
      <c r="D74" s="25"/>
      <c r="E74" s="15" t="s">
        <v>0</v>
      </c>
      <c r="F74" s="25"/>
      <c r="G74" s="25"/>
      <c r="H74" s="25"/>
      <c r="I74" s="25" t="s">
        <v>226</v>
      </c>
    </row>
    <row r="75" spans="2:9" hidden="1" outlineLevel="1" x14ac:dyDescent="0.25">
      <c r="B75" s="15" t="s">
        <v>211</v>
      </c>
      <c r="C75" s="55">
        <f>$C280</f>
        <v>0.153</v>
      </c>
      <c r="E75" s="15" t="s">
        <v>140</v>
      </c>
      <c r="F75" s="25"/>
      <c r="G75" s="25"/>
      <c r="H75" s="25"/>
      <c r="I75" s="33" t="s">
        <v>225</v>
      </c>
    </row>
    <row r="76" spans="2:9" hidden="1" outlineLevel="1" x14ac:dyDescent="0.25">
      <c r="B76" s="15" t="s">
        <v>212</v>
      </c>
      <c r="C76" s="55">
        <f>$C290</f>
        <v>3.5999999999999997E-2</v>
      </c>
      <c r="E76" s="15" t="s">
        <v>140</v>
      </c>
      <c r="F76" s="25"/>
      <c r="G76" s="25"/>
      <c r="H76" s="25"/>
      <c r="I76" s="33" t="s">
        <v>225</v>
      </c>
    </row>
    <row r="77" spans="2:9" hidden="1" outlineLevel="1" x14ac:dyDescent="0.25">
      <c r="F77" s="25"/>
      <c r="G77" s="25"/>
      <c r="H77" s="25"/>
      <c r="I77" s="33"/>
    </row>
    <row r="78" spans="2:9" hidden="1" outlineLevel="1" x14ac:dyDescent="0.25">
      <c r="B78" s="15" t="s">
        <v>370</v>
      </c>
      <c r="F78" s="25"/>
      <c r="G78" s="25"/>
      <c r="H78" s="25"/>
      <c r="I78" s="33"/>
    </row>
    <row r="79" spans="2:9" hidden="1" outlineLevel="1" x14ac:dyDescent="0.25">
      <c r="F79" s="25"/>
      <c r="G79" s="25"/>
      <c r="H79" s="25"/>
      <c r="I79" s="33"/>
    </row>
    <row r="80" spans="2:9" hidden="1" outlineLevel="1" x14ac:dyDescent="0.35">
      <c r="B80" s="16" t="s">
        <v>76</v>
      </c>
      <c r="C80" s="26">
        <v>42</v>
      </c>
      <c r="E80" s="15" t="s">
        <v>1</v>
      </c>
      <c r="I80" s="10" t="s">
        <v>340</v>
      </c>
    </row>
    <row r="81" spans="2:9" hidden="1" outlineLevel="1" x14ac:dyDescent="0.25">
      <c r="B81" s="16" t="s">
        <v>222</v>
      </c>
      <c r="C81" s="26">
        <v>23</v>
      </c>
      <c r="E81" s="15" t="s">
        <v>1</v>
      </c>
    </row>
    <row r="82" spans="2:9" hidden="1" outlineLevel="1" x14ac:dyDescent="0.25">
      <c r="B82" s="16" t="s">
        <v>77</v>
      </c>
      <c r="C82" s="26">
        <v>35</v>
      </c>
      <c r="E82" s="15" t="s">
        <v>1</v>
      </c>
    </row>
    <row r="83" spans="2:9" hidden="1" outlineLevel="1" x14ac:dyDescent="0.25">
      <c r="B83" s="16" t="s">
        <v>147</v>
      </c>
      <c r="C83" s="26">
        <v>17.399999999999999</v>
      </c>
      <c r="E83" s="15" t="s">
        <v>0</v>
      </c>
      <c r="I83" s="15" t="s">
        <v>390</v>
      </c>
    </row>
    <row r="84" spans="2:9" hidden="1" outlineLevel="1" x14ac:dyDescent="0.25">
      <c r="B84" s="37" t="s">
        <v>75</v>
      </c>
      <c r="C84" s="24">
        <v>17.399999999999999</v>
      </c>
      <c r="D84" s="25"/>
      <c r="E84" s="15" t="s">
        <v>0</v>
      </c>
      <c r="F84" s="25"/>
      <c r="G84" s="25"/>
      <c r="H84" s="25"/>
      <c r="I84" s="25" t="s">
        <v>226</v>
      </c>
    </row>
    <row r="85" spans="2:9" hidden="1" outlineLevel="1" x14ac:dyDescent="0.25">
      <c r="B85" s="15" t="s">
        <v>355</v>
      </c>
      <c r="C85" s="55">
        <f>C281</f>
        <v>0.13</v>
      </c>
      <c r="E85" s="15" t="s">
        <v>140</v>
      </c>
      <c r="F85" s="25"/>
      <c r="G85" s="25"/>
      <c r="H85" s="25"/>
      <c r="I85" s="33" t="s">
        <v>225</v>
      </c>
    </row>
    <row r="86" spans="2:9" hidden="1" outlineLevel="1" x14ac:dyDescent="0.25">
      <c r="B86" s="15" t="s">
        <v>341</v>
      </c>
      <c r="C86" s="55">
        <f>$C$291</f>
        <v>3.5999999999999997E-2</v>
      </c>
      <c r="E86" s="15" t="s">
        <v>140</v>
      </c>
      <c r="F86" s="25"/>
      <c r="G86" s="25"/>
      <c r="H86" s="25"/>
      <c r="I86" s="33" t="s">
        <v>225</v>
      </c>
    </row>
    <row r="87" spans="2:9" hidden="1" outlineLevel="1" x14ac:dyDescent="0.25">
      <c r="F87" s="25"/>
      <c r="G87" s="25"/>
      <c r="H87" s="25"/>
      <c r="I87" s="33"/>
    </row>
    <row r="88" spans="2:9" hidden="1" outlineLevel="1" x14ac:dyDescent="0.25">
      <c r="B88" s="15" t="s">
        <v>371</v>
      </c>
      <c r="F88" s="25"/>
      <c r="G88" s="25"/>
      <c r="H88" s="25"/>
      <c r="I88" s="33"/>
    </row>
    <row r="89" spans="2:9" hidden="1" outlineLevel="1" x14ac:dyDescent="0.25">
      <c r="F89" s="25"/>
      <c r="G89" s="25"/>
      <c r="H89" s="25"/>
      <c r="I89" s="33"/>
    </row>
    <row r="90" spans="2:9" hidden="1" outlineLevel="1" x14ac:dyDescent="0.35">
      <c r="B90" s="16" t="s">
        <v>76</v>
      </c>
      <c r="C90" s="26">
        <v>14</v>
      </c>
      <c r="E90" s="15" t="s">
        <v>1</v>
      </c>
      <c r="I90" s="10" t="s">
        <v>339</v>
      </c>
    </row>
    <row r="91" spans="2:9" hidden="1" outlineLevel="1" x14ac:dyDescent="0.25">
      <c r="B91" s="16" t="s">
        <v>222</v>
      </c>
      <c r="C91" s="26">
        <v>20</v>
      </c>
      <c r="E91" s="15" t="s">
        <v>1</v>
      </c>
    </row>
    <row r="92" spans="2:9" hidden="1" outlineLevel="1" x14ac:dyDescent="0.25">
      <c r="B92" s="16" t="s">
        <v>77</v>
      </c>
      <c r="C92" s="26">
        <v>63</v>
      </c>
      <c r="E92" s="15" t="s">
        <v>1</v>
      </c>
    </row>
    <row r="93" spans="2:9" hidden="1" outlineLevel="1" x14ac:dyDescent="0.25">
      <c r="B93" s="16" t="s">
        <v>147</v>
      </c>
      <c r="C93" s="26">
        <v>17.399999999999999</v>
      </c>
      <c r="E93" s="15" t="s">
        <v>0</v>
      </c>
      <c r="I93" s="15" t="s">
        <v>390</v>
      </c>
    </row>
    <row r="94" spans="2:9" hidden="1" outlineLevel="1" x14ac:dyDescent="0.25">
      <c r="B94" s="37" t="s">
        <v>75</v>
      </c>
      <c r="C94" s="24">
        <v>17.399999999999999</v>
      </c>
      <c r="D94" s="25"/>
      <c r="E94" s="15" t="s">
        <v>0</v>
      </c>
      <c r="F94" s="25"/>
      <c r="G94" s="25"/>
      <c r="H94" s="25"/>
      <c r="I94" s="25" t="s">
        <v>226</v>
      </c>
    </row>
    <row r="95" spans="2:9" hidden="1" outlineLevel="1" x14ac:dyDescent="0.25">
      <c r="B95" s="15" t="s">
        <v>356</v>
      </c>
      <c r="C95" s="55">
        <f>C282</f>
        <v>0.18</v>
      </c>
      <c r="E95" s="15" t="s">
        <v>140</v>
      </c>
      <c r="F95" s="25"/>
      <c r="G95" s="25"/>
      <c r="H95" s="25"/>
      <c r="I95" s="33" t="s">
        <v>225</v>
      </c>
    </row>
    <row r="96" spans="2:9" hidden="1" outlineLevel="1" x14ac:dyDescent="0.25">
      <c r="B96" s="15" t="s">
        <v>342</v>
      </c>
      <c r="C96" s="55">
        <f>$C$293</f>
        <v>3.5999999999999997E-2</v>
      </c>
      <c r="E96" s="15" t="s">
        <v>140</v>
      </c>
      <c r="F96" s="25"/>
      <c r="G96" s="25"/>
      <c r="H96" s="25"/>
      <c r="I96" s="33" t="s">
        <v>225</v>
      </c>
    </row>
    <row r="97" spans="1:12" hidden="1" outlineLevel="1" x14ac:dyDescent="0.25">
      <c r="F97" s="25"/>
      <c r="G97" s="25"/>
      <c r="H97" s="25"/>
      <c r="I97" s="33"/>
    </row>
    <row r="98" spans="1:12" hidden="1" outlineLevel="1" x14ac:dyDescent="0.25">
      <c r="B98" s="15" t="s">
        <v>372</v>
      </c>
      <c r="F98" s="25"/>
      <c r="G98" s="25"/>
      <c r="H98" s="25"/>
      <c r="I98" s="33"/>
    </row>
    <row r="99" spans="1:12" hidden="1" outlineLevel="1" x14ac:dyDescent="0.25">
      <c r="F99" s="25"/>
      <c r="G99" s="25"/>
      <c r="H99" s="25"/>
      <c r="I99" s="33"/>
    </row>
    <row r="100" spans="1:12" hidden="1" outlineLevel="1" x14ac:dyDescent="0.35">
      <c r="B100" s="16" t="s">
        <v>76</v>
      </c>
      <c r="C100" s="26">
        <v>2</v>
      </c>
      <c r="E100" s="15" t="s">
        <v>1</v>
      </c>
      <c r="I100" s="10" t="s">
        <v>339</v>
      </c>
    </row>
    <row r="101" spans="1:12" hidden="1" outlineLevel="1" x14ac:dyDescent="0.25">
      <c r="B101" s="16" t="s">
        <v>222</v>
      </c>
      <c r="C101" s="26">
        <v>78</v>
      </c>
      <c r="E101" s="15" t="s">
        <v>1</v>
      </c>
    </row>
    <row r="102" spans="1:12" hidden="1" outlineLevel="1" x14ac:dyDescent="0.25">
      <c r="B102" s="16" t="s">
        <v>77</v>
      </c>
      <c r="C102" s="26">
        <v>20</v>
      </c>
      <c r="E102" s="15" t="s">
        <v>1</v>
      </c>
    </row>
    <row r="103" spans="1:12" hidden="1" outlineLevel="1" x14ac:dyDescent="0.25">
      <c r="B103" s="16" t="s">
        <v>147</v>
      </c>
      <c r="C103" s="26">
        <v>17.399999999999999</v>
      </c>
      <c r="E103" s="15" t="s">
        <v>0</v>
      </c>
      <c r="I103" s="15" t="s">
        <v>390</v>
      </c>
    </row>
    <row r="104" spans="1:12" hidden="1" outlineLevel="1" x14ac:dyDescent="0.25">
      <c r="B104" s="37" t="s">
        <v>75</v>
      </c>
      <c r="C104" s="24">
        <v>17.399999999999999</v>
      </c>
      <c r="D104" s="25"/>
      <c r="E104" s="15" t="s">
        <v>0</v>
      </c>
      <c r="F104" s="25"/>
      <c r="G104" s="25"/>
      <c r="H104" s="25"/>
      <c r="I104" s="25" t="s">
        <v>226</v>
      </c>
    </row>
    <row r="105" spans="1:12" hidden="1" outlineLevel="1" x14ac:dyDescent="0.25">
      <c r="B105" s="15" t="s">
        <v>357</v>
      </c>
      <c r="C105" s="55">
        <f>$C283</f>
        <v>0.153</v>
      </c>
      <c r="E105" s="15" t="s">
        <v>140</v>
      </c>
      <c r="F105" s="25"/>
      <c r="G105" s="25"/>
      <c r="H105" s="25"/>
      <c r="I105" s="33" t="s">
        <v>225</v>
      </c>
    </row>
    <row r="106" spans="1:12" hidden="1" outlineLevel="1" x14ac:dyDescent="0.25">
      <c r="B106" s="15" t="s">
        <v>358</v>
      </c>
      <c r="C106" s="55">
        <f>$C293</f>
        <v>3.5999999999999997E-2</v>
      </c>
      <c r="E106" s="15" t="s">
        <v>140</v>
      </c>
      <c r="F106" s="25"/>
      <c r="G106" s="25"/>
      <c r="H106" s="25"/>
      <c r="I106" s="33" t="s">
        <v>225</v>
      </c>
    </row>
    <row r="107" spans="1:12" hidden="1" outlineLevel="1" x14ac:dyDescent="0.25">
      <c r="C107" s="55"/>
      <c r="F107" s="25"/>
      <c r="G107" s="25"/>
      <c r="H107" s="25"/>
      <c r="I107" s="33"/>
    </row>
    <row r="108" spans="1:12" collapsed="1" x14ac:dyDescent="0.25">
      <c r="B108" s="125"/>
      <c r="C108" s="125"/>
      <c r="D108" s="125"/>
      <c r="E108" s="125"/>
      <c r="F108" s="125"/>
    </row>
    <row r="109" spans="1:12" ht="21.75" x14ac:dyDescent="0.25">
      <c r="B109" s="38" t="s">
        <v>1313</v>
      </c>
      <c r="C109" s="38"/>
      <c r="D109" s="38"/>
      <c r="E109" s="38"/>
      <c r="F109" s="38"/>
      <c r="G109" s="14"/>
      <c r="H109" s="14"/>
      <c r="I109" s="14"/>
      <c r="J109" s="14"/>
      <c r="K109" s="14"/>
      <c r="L109" s="14"/>
    </row>
    <row r="110" spans="1:12" x14ac:dyDescent="0.25">
      <c r="A110" s="14"/>
      <c r="B110" s="14"/>
      <c r="C110" s="14"/>
      <c r="D110" s="14"/>
      <c r="E110" s="14"/>
      <c r="F110" s="14"/>
      <c r="G110" s="14"/>
      <c r="H110" s="14"/>
      <c r="I110" s="14"/>
      <c r="J110" s="14"/>
      <c r="K110" s="14"/>
      <c r="L110" s="14"/>
    </row>
    <row r="111" spans="1:12" x14ac:dyDescent="0.25">
      <c r="A111" s="14"/>
      <c r="B111" s="14"/>
      <c r="C111" s="14"/>
      <c r="D111" s="14"/>
      <c r="E111" s="14"/>
      <c r="F111" s="14"/>
      <c r="G111" s="14"/>
      <c r="H111" s="14"/>
      <c r="I111" s="14"/>
      <c r="J111" s="14"/>
      <c r="K111" s="14"/>
      <c r="L111" s="14"/>
    </row>
    <row r="112" spans="1:12" ht="16.5" customHeight="1" x14ac:dyDescent="0.25">
      <c r="A112" s="14"/>
      <c r="B112" s="15" t="s">
        <v>1222</v>
      </c>
      <c r="C112" s="133" t="s">
        <v>1221</v>
      </c>
      <c r="D112" s="133"/>
      <c r="E112" s="133"/>
      <c r="F112" s="133"/>
      <c r="G112" s="14"/>
      <c r="H112" s="14"/>
      <c r="I112" s="14"/>
      <c r="J112" s="14"/>
      <c r="K112" s="14"/>
      <c r="L112" s="14"/>
    </row>
    <row r="113" spans="1:27" x14ac:dyDescent="0.25">
      <c r="A113" s="14"/>
      <c r="C113" s="133"/>
      <c r="D113" s="133"/>
      <c r="E113" s="133"/>
      <c r="F113" s="133"/>
      <c r="G113" s="14"/>
      <c r="H113" s="14"/>
      <c r="I113" s="14"/>
      <c r="J113" s="14"/>
      <c r="K113" s="14"/>
      <c r="L113" s="14"/>
    </row>
    <row r="114" spans="1:27" x14ac:dyDescent="0.25">
      <c r="A114" s="14"/>
      <c r="B114" s="14"/>
      <c r="C114" s="133"/>
      <c r="D114" s="133"/>
      <c r="E114" s="133"/>
      <c r="F114" s="133"/>
      <c r="G114" s="14"/>
      <c r="H114" s="14"/>
      <c r="I114" s="14"/>
      <c r="J114" s="14"/>
      <c r="K114" s="14"/>
      <c r="L114" s="14"/>
    </row>
    <row r="115" spans="1:27" ht="51.6" customHeight="1" x14ac:dyDescent="0.25">
      <c r="A115" s="14"/>
      <c r="B115" s="14"/>
      <c r="C115" s="133"/>
      <c r="D115" s="133"/>
      <c r="E115" s="133"/>
      <c r="F115" s="133"/>
      <c r="G115" s="14"/>
      <c r="H115" s="14"/>
      <c r="I115" s="14"/>
      <c r="J115" s="14"/>
      <c r="K115" s="14"/>
      <c r="L115" s="14"/>
    </row>
    <row r="116" spans="1:27" x14ac:dyDescent="0.25">
      <c r="A116" s="14"/>
      <c r="B116" s="14"/>
      <c r="C116" s="14"/>
      <c r="D116" s="14"/>
      <c r="E116" s="14"/>
      <c r="F116" s="14"/>
      <c r="G116" s="14"/>
      <c r="H116" s="14"/>
      <c r="I116" s="14"/>
      <c r="J116" s="14"/>
      <c r="K116" s="14"/>
      <c r="L116" s="14"/>
    </row>
    <row r="117" spans="1:27" x14ac:dyDescent="0.25">
      <c r="A117" s="14"/>
      <c r="B117" s="77" t="s">
        <v>525</v>
      </c>
      <c r="C117" s="134" t="s">
        <v>548</v>
      </c>
      <c r="D117" s="134"/>
      <c r="E117" s="134"/>
      <c r="F117" s="134"/>
      <c r="G117" s="14"/>
      <c r="H117" s="14"/>
      <c r="I117" s="14"/>
      <c r="J117" s="14"/>
      <c r="K117" s="14"/>
      <c r="L117" s="14"/>
    </row>
    <row r="118" spans="1:27" x14ac:dyDescent="0.25">
      <c r="A118" s="14"/>
      <c r="B118" s="77"/>
      <c r="C118" s="134"/>
      <c r="D118" s="134"/>
      <c r="E118" s="134"/>
      <c r="F118" s="134"/>
      <c r="G118" s="14"/>
      <c r="H118" s="14"/>
      <c r="I118" s="14"/>
      <c r="J118" s="14"/>
      <c r="K118" s="14"/>
      <c r="L118" s="14"/>
    </row>
    <row r="119" spans="1:27" ht="16.5" customHeight="1" x14ac:dyDescent="0.25">
      <c r="B119" s="77"/>
      <c r="C119" s="134"/>
      <c r="D119" s="134"/>
      <c r="E119" s="134"/>
      <c r="F119" s="134"/>
      <c r="L119" s="14"/>
    </row>
    <row r="120" spans="1:27" ht="64.5" customHeight="1" x14ac:dyDescent="0.25">
      <c r="B120" s="77" t="s">
        <v>526</v>
      </c>
      <c r="C120" s="130" t="s">
        <v>528</v>
      </c>
      <c r="D120" s="130"/>
      <c r="E120" s="130"/>
      <c r="F120" s="130"/>
      <c r="L120" s="14"/>
    </row>
    <row r="121" spans="1:27" x14ac:dyDescent="0.25">
      <c r="B121" s="76"/>
      <c r="C121" s="22"/>
      <c r="D121" s="22"/>
      <c r="E121" s="22"/>
      <c r="F121" s="22"/>
      <c r="L121" s="14"/>
    </row>
    <row r="122" spans="1:27" ht="19.5" x14ac:dyDescent="0.25">
      <c r="B122" s="39" t="s">
        <v>29</v>
      </c>
      <c r="C122" s="39"/>
      <c r="D122" s="39"/>
      <c r="E122" s="39"/>
      <c r="F122" s="39"/>
      <c r="G122" s="39"/>
      <c r="H122" s="39"/>
      <c r="I122" s="39"/>
      <c r="J122" s="39"/>
      <c r="K122" s="39"/>
      <c r="L122" s="39"/>
    </row>
    <row r="123" spans="1:27" x14ac:dyDescent="0.25">
      <c r="B123" s="40" t="s">
        <v>89</v>
      </c>
      <c r="C123" s="20"/>
      <c r="D123" s="20"/>
      <c r="E123" s="20"/>
      <c r="F123" s="20"/>
      <c r="G123" s="20"/>
      <c r="H123" s="20"/>
      <c r="I123" s="20"/>
      <c r="J123" s="20"/>
      <c r="K123" s="20"/>
      <c r="L123" s="20"/>
    </row>
    <row r="124" spans="1:27" x14ac:dyDescent="0.25">
      <c r="B124" s="42" t="s">
        <v>26</v>
      </c>
      <c r="C124" s="42">
        <f>Hypothèses_projet!C3</f>
        <v>2021</v>
      </c>
      <c r="D124" s="42">
        <f>D$48</f>
        <v>2022</v>
      </c>
      <c r="E124" s="42">
        <f t="shared" ref="E124:AA124" si="47">E$48</f>
        <v>2023</v>
      </c>
      <c r="F124" s="42">
        <f t="shared" si="47"/>
        <v>2024</v>
      </c>
      <c r="G124" s="42">
        <f t="shared" si="47"/>
        <v>2025</v>
      </c>
      <c r="H124" s="42">
        <f t="shared" si="47"/>
        <v>2026</v>
      </c>
      <c r="I124" s="42">
        <f t="shared" si="47"/>
        <v>2027</v>
      </c>
      <c r="J124" s="42">
        <f t="shared" si="47"/>
        <v>2028</v>
      </c>
      <c r="K124" s="42">
        <f t="shared" si="47"/>
        <v>2029</v>
      </c>
      <c r="L124" s="42">
        <f t="shared" si="47"/>
        <v>2030</v>
      </c>
      <c r="M124" s="42">
        <f t="shared" si="47"/>
        <v>2031</v>
      </c>
      <c r="N124" s="42">
        <f t="shared" si="47"/>
        <v>2032</v>
      </c>
      <c r="O124" s="42">
        <f t="shared" si="47"/>
        <v>2033</v>
      </c>
      <c r="P124" s="42">
        <f t="shared" si="47"/>
        <v>2034</v>
      </c>
      <c r="Q124" s="42">
        <f t="shared" si="47"/>
        <v>2035</v>
      </c>
      <c r="R124" s="42">
        <f t="shared" si="47"/>
        <v>2036</v>
      </c>
      <c r="S124" s="42">
        <f t="shared" si="47"/>
        <v>2037</v>
      </c>
      <c r="T124" s="42">
        <f t="shared" si="47"/>
        <v>2038</v>
      </c>
      <c r="U124" s="42">
        <f t="shared" si="47"/>
        <v>2039</v>
      </c>
      <c r="V124" s="42">
        <f t="shared" si="47"/>
        <v>2040</v>
      </c>
      <c r="W124" s="42" t="str">
        <f t="shared" si="47"/>
        <v/>
      </c>
      <c r="X124" s="42" t="str">
        <f t="shared" si="47"/>
        <v/>
      </c>
      <c r="Y124" s="42" t="str">
        <f t="shared" si="47"/>
        <v/>
      </c>
      <c r="Z124" s="42" t="str">
        <f t="shared" si="47"/>
        <v/>
      </c>
      <c r="AA124" s="42" t="str">
        <f t="shared" si="47"/>
        <v/>
      </c>
    </row>
    <row r="125" spans="1:27" x14ac:dyDescent="0.25">
      <c r="A125" s="66" t="str">
        <f>B68</f>
        <v>Profil type n°1 de ville : Amérique Latine, Bogota</v>
      </c>
      <c r="B125" s="43" t="s">
        <v>280</v>
      </c>
      <c r="C125" s="52">
        <f>IF(C124="","",($C$137*C$129+$C$138*C$130+C$131*$C$139)*($C$142*$C$144+$C$143*$C$145)/100/1000)</f>
        <v>5197.9724999999999</v>
      </c>
      <c r="D125" s="52">
        <f t="shared" ref="D125:AA125" si="48">IF(D124="","",($C$137*D$129+$C$138*D$130+D$131*$C$139)*($C$142*$C$144+$C$143*$C$145)/100/1000)</f>
        <v>5260.3481700000011</v>
      </c>
      <c r="E125" s="52">
        <f t="shared" si="48"/>
        <v>5323.4723480400007</v>
      </c>
      <c r="F125" s="52">
        <f t="shared" si="48"/>
        <v>5387.3540162164809</v>
      </c>
      <c r="G125" s="52">
        <f t="shared" si="48"/>
        <v>5452.0022644110786</v>
      </c>
      <c r="H125" s="52">
        <f t="shared" si="48"/>
        <v>5517.4262915840109</v>
      </c>
      <c r="I125" s="52">
        <f t="shared" si="48"/>
        <v>5583.6354070830203</v>
      </c>
      <c r="J125" s="52">
        <f t="shared" si="48"/>
        <v>5650.6390319680149</v>
      </c>
      <c r="K125" s="52">
        <f t="shared" si="48"/>
        <v>5718.4467003516329</v>
      </c>
      <c r="L125" s="52">
        <f t="shared" si="48"/>
        <v>5787.0680607558525</v>
      </c>
      <c r="M125" s="52">
        <f t="shared" si="48"/>
        <v>5856.5128774849236</v>
      </c>
      <c r="N125" s="52">
        <f t="shared" si="48"/>
        <v>5926.7910320147403</v>
      </c>
      <c r="O125" s="52">
        <f t="shared" si="48"/>
        <v>5997.9125243989183</v>
      </c>
      <c r="P125" s="52">
        <f t="shared" si="48"/>
        <v>6069.8874746917054</v>
      </c>
      <c r="Q125" s="52">
        <f t="shared" si="48"/>
        <v>6142.7261243880057</v>
      </c>
      <c r="R125" s="52">
        <f t="shared" si="48"/>
        <v>6216.4388378806616</v>
      </c>
      <c r="S125" s="52">
        <f t="shared" si="48"/>
        <v>6291.0361039352292</v>
      </c>
      <c r="T125" s="52">
        <f t="shared" si="48"/>
        <v>6366.528537182453</v>
      </c>
      <c r="U125" s="52">
        <f t="shared" si="48"/>
        <v>6442.9268796286415</v>
      </c>
      <c r="V125" s="52">
        <f t="shared" si="48"/>
        <v>6520.2420021841854</v>
      </c>
      <c r="W125" s="52" t="str">
        <f t="shared" si="48"/>
        <v/>
      </c>
      <c r="X125" s="52" t="str">
        <f t="shared" si="48"/>
        <v/>
      </c>
      <c r="Y125" s="52" t="str">
        <f t="shared" si="48"/>
        <v/>
      </c>
      <c r="Z125" s="52" t="str">
        <f t="shared" si="48"/>
        <v/>
      </c>
      <c r="AA125" s="52" t="str">
        <f t="shared" si="48"/>
        <v/>
      </c>
    </row>
    <row r="126" spans="1:27" x14ac:dyDescent="0.25">
      <c r="A126" s="66" t="str">
        <f>B78</f>
        <v>Profil type n°2 de ville : Lagos, Afrique</v>
      </c>
      <c r="B126" s="43" t="s">
        <v>281</v>
      </c>
      <c r="C126" s="52">
        <f>IF(C124="","",($C$137*C$129+$C$138*C$130+C$131*$C$139)*($C$148*$C$150+$C$149*$C$151)/100/1000)</f>
        <v>4239.375</v>
      </c>
      <c r="D126" s="52">
        <f t="shared" ref="D126:AA126" si="49">IF(D124="","",($C$137*D$129+$C$138*D$130+D$131*$C$139)*($C$148*$C$150+$C$149*$C$151)/100/1000)</f>
        <v>4290.2475000000004</v>
      </c>
      <c r="E126" s="52">
        <f t="shared" si="49"/>
        <v>4341.7304699999995</v>
      </c>
      <c r="F126" s="52">
        <f t="shared" si="49"/>
        <v>4393.8312356400002</v>
      </c>
      <c r="G126" s="52">
        <f t="shared" si="49"/>
        <v>4446.5572104676803</v>
      </c>
      <c r="H126" s="52">
        <f t="shared" si="49"/>
        <v>4499.9158969932923</v>
      </c>
      <c r="I126" s="52">
        <f t="shared" si="49"/>
        <v>4553.9148877572125</v>
      </c>
      <c r="J126" s="52">
        <f t="shared" si="49"/>
        <v>4608.5618664102994</v>
      </c>
      <c r="K126" s="52">
        <f t="shared" si="49"/>
        <v>4663.8646088072228</v>
      </c>
      <c r="L126" s="52">
        <f t="shared" si="49"/>
        <v>4719.8309841129094</v>
      </c>
      <c r="M126" s="52">
        <f t="shared" si="49"/>
        <v>4776.4689559222643</v>
      </c>
      <c r="N126" s="52">
        <f t="shared" si="49"/>
        <v>4833.786583393332</v>
      </c>
      <c r="O126" s="52">
        <f t="shared" si="49"/>
        <v>4891.7920223940509</v>
      </c>
      <c r="P126" s="52">
        <f t="shared" si="49"/>
        <v>4950.4935266627808</v>
      </c>
      <c r="Q126" s="52">
        <f t="shared" si="49"/>
        <v>5009.8994489827337</v>
      </c>
      <c r="R126" s="52">
        <f t="shared" si="49"/>
        <v>5070.0182423705264</v>
      </c>
      <c r="S126" s="52">
        <f t="shared" si="49"/>
        <v>5130.8584612789718</v>
      </c>
      <c r="T126" s="52">
        <f t="shared" si="49"/>
        <v>5192.4287628143202</v>
      </c>
      <c r="U126" s="52">
        <f t="shared" si="49"/>
        <v>5254.7379079680913</v>
      </c>
      <c r="V126" s="52">
        <f t="shared" si="49"/>
        <v>5317.7947628637085</v>
      </c>
      <c r="W126" s="52" t="str">
        <f t="shared" si="49"/>
        <v/>
      </c>
      <c r="X126" s="52" t="str">
        <f t="shared" si="49"/>
        <v/>
      </c>
      <c r="Y126" s="52" t="str">
        <f t="shared" si="49"/>
        <v/>
      </c>
      <c r="Z126" s="52" t="str">
        <f t="shared" si="49"/>
        <v/>
      </c>
      <c r="AA126" s="52" t="str">
        <f t="shared" si="49"/>
        <v/>
      </c>
    </row>
    <row r="127" spans="1:27" x14ac:dyDescent="0.25">
      <c r="A127" s="66" t="str">
        <f>B88</f>
        <v>Profil type n°3 de ville : Minsk, Europe</v>
      </c>
      <c r="B127" s="43" t="s">
        <v>282</v>
      </c>
      <c r="C127" s="52">
        <f>IF(C124="","",($C$137*C$129+$C$138*C$130+C$131*$C$139)*($C$154*$C$156+$C$155*$C$157)/100/1000)</f>
        <v>5853.33</v>
      </c>
      <c r="D127" s="52">
        <f t="shared" ref="D127:AA127" si="50">IF(D124="","",($C$137*D$129+$C$138*D$130+D$131*$C$139)*($C$154*$C$156+$C$155*$C$157)/100/1000)</f>
        <v>5923.5699599999998</v>
      </c>
      <c r="E127" s="52">
        <f t="shared" si="50"/>
        <v>5994.6527995199986</v>
      </c>
      <c r="F127" s="52">
        <f t="shared" si="50"/>
        <v>6066.5886331142392</v>
      </c>
      <c r="G127" s="52">
        <f t="shared" si="50"/>
        <v>6139.3876967116112</v>
      </c>
      <c r="H127" s="52">
        <f t="shared" si="50"/>
        <v>6213.0603490721496</v>
      </c>
      <c r="I127" s="52">
        <f t="shared" si="50"/>
        <v>6287.6170732610171</v>
      </c>
      <c r="J127" s="52">
        <f t="shared" si="50"/>
        <v>6363.0684781401487</v>
      </c>
      <c r="K127" s="52">
        <f t="shared" si="50"/>
        <v>6439.4252998778311</v>
      </c>
      <c r="L127" s="52">
        <f t="shared" si="50"/>
        <v>6516.6984034763645</v>
      </c>
      <c r="M127" s="52">
        <f t="shared" si="50"/>
        <v>6594.8987843180812</v>
      </c>
      <c r="N127" s="52">
        <f t="shared" si="50"/>
        <v>6674.0375697298978</v>
      </c>
      <c r="O127" s="52">
        <f t="shared" si="50"/>
        <v>6754.1260205666549</v>
      </c>
      <c r="P127" s="52">
        <f t="shared" si="50"/>
        <v>6835.1755328134568</v>
      </c>
      <c r="Q127" s="52">
        <f t="shared" si="50"/>
        <v>6917.1976392072174</v>
      </c>
      <c r="R127" s="52">
        <f t="shared" si="50"/>
        <v>7000.2040108777046</v>
      </c>
      <c r="S127" s="52">
        <f t="shared" si="50"/>
        <v>7084.2064590082373</v>
      </c>
      <c r="T127" s="52">
        <f t="shared" si="50"/>
        <v>7169.2169365163363</v>
      </c>
      <c r="U127" s="52">
        <f t="shared" si="50"/>
        <v>7255.2475397545313</v>
      </c>
      <c r="V127" s="52">
        <f t="shared" si="50"/>
        <v>7342.3105102315849</v>
      </c>
      <c r="W127" s="52" t="str">
        <f t="shared" si="50"/>
        <v/>
      </c>
      <c r="X127" s="52" t="str">
        <f t="shared" si="50"/>
        <v/>
      </c>
      <c r="Y127" s="52" t="str">
        <f t="shared" si="50"/>
        <v/>
      </c>
      <c r="Z127" s="52" t="str">
        <f t="shared" si="50"/>
        <v/>
      </c>
      <c r="AA127" s="52" t="str">
        <f t="shared" si="50"/>
        <v/>
      </c>
    </row>
    <row r="128" spans="1:27" x14ac:dyDescent="0.25">
      <c r="A128" s="66" t="str">
        <f>B98</f>
        <v>Profil type n°4 de ville : Jakarta, Asie du Sud-Est</v>
      </c>
      <c r="B128" s="43" t="s">
        <v>283</v>
      </c>
      <c r="C128" s="52">
        <f>IF(C124="","",($C$137*C$129+$C$138*C$130+C$131*$C$139)*($C$160*$C$162+$C$161*$C$163)/100/1000)</f>
        <v>12622.365</v>
      </c>
      <c r="D128" s="52">
        <f t="shared" ref="D128:AA128" si="51">IF(D124="","",($C$137*D$129+$C$138*D$130+D$131*$C$139)*($C$160*$C$162+$C$161*$C$163)/100/1000)</f>
        <v>12773.83338</v>
      </c>
      <c r="E128" s="52">
        <f t="shared" si="51"/>
        <v>12927.11938056</v>
      </c>
      <c r="F128" s="52">
        <f t="shared" si="51"/>
        <v>13082.244813126719</v>
      </c>
      <c r="G128" s="52">
        <f t="shared" si="51"/>
        <v>13239.231750884241</v>
      </c>
      <c r="H128" s="52">
        <f t="shared" si="51"/>
        <v>13398.102531894854</v>
      </c>
      <c r="I128" s="52">
        <f t="shared" si="51"/>
        <v>13558.879762277593</v>
      </c>
      <c r="J128" s="52">
        <f t="shared" si="51"/>
        <v>13721.586319424921</v>
      </c>
      <c r="K128" s="52">
        <f t="shared" si="51"/>
        <v>13886.245355258023</v>
      </c>
      <c r="L128" s="52">
        <f t="shared" si="51"/>
        <v>14052.880299521117</v>
      </c>
      <c r="M128" s="52">
        <f t="shared" si="51"/>
        <v>14221.514863115372</v>
      </c>
      <c r="N128" s="52">
        <f t="shared" si="51"/>
        <v>14392.173041472755</v>
      </c>
      <c r="O128" s="52">
        <f t="shared" si="51"/>
        <v>14564.879117970429</v>
      </c>
      <c r="P128" s="52">
        <f t="shared" si="51"/>
        <v>14739.657667386078</v>
      </c>
      <c r="Q128" s="52">
        <f t="shared" si="51"/>
        <v>14916.533559394707</v>
      </c>
      <c r="R128" s="52">
        <f t="shared" si="51"/>
        <v>15095.531962107445</v>
      </c>
      <c r="S128" s="52">
        <f t="shared" si="51"/>
        <v>15276.678345652734</v>
      </c>
      <c r="T128" s="52">
        <f t="shared" si="51"/>
        <v>15459.998485800566</v>
      </c>
      <c r="U128" s="52">
        <f t="shared" si="51"/>
        <v>15645.518467630174</v>
      </c>
      <c r="V128" s="52">
        <f t="shared" si="51"/>
        <v>15833.264689241734</v>
      </c>
      <c r="W128" s="52" t="str">
        <f t="shared" si="51"/>
        <v/>
      </c>
      <c r="X128" s="52" t="str">
        <f t="shared" si="51"/>
        <v/>
      </c>
      <c r="Y128" s="52" t="str">
        <f t="shared" si="51"/>
        <v/>
      </c>
      <c r="Z128" s="52" t="str">
        <f t="shared" si="51"/>
        <v/>
      </c>
      <c r="AA128" s="52" t="str">
        <f t="shared" si="51"/>
        <v/>
      </c>
    </row>
    <row r="129" spans="2:27" x14ac:dyDescent="0.25">
      <c r="B129" s="44" t="s">
        <v>134</v>
      </c>
      <c r="C129" s="52">
        <f t="shared" ref="C129:AA129" si="52">IF(C124="","",C$132*$C23/100)</f>
        <v>21000</v>
      </c>
      <c r="D129" s="52">
        <f t="shared" si="52"/>
        <v>21252</v>
      </c>
      <c r="E129" s="52">
        <f t="shared" si="52"/>
        <v>21507.024000000005</v>
      </c>
      <c r="F129" s="52">
        <f t="shared" si="52"/>
        <v>21765.108288000003</v>
      </c>
      <c r="G129" s="52">
        <f t="shared" si="52"/>
        <v>22026.289587456002</v>
      </c>
      <c r="H129" s="52">
        <f t="shared" si="52"/>
        <v>22290.605062505474</v>
      </c>
      <c r="I129" s="52">
        <f t="shared" si="52"/>
        <v>22558.092323255543</v>
      </c>
      <c r="J129" s="52">
        <f t="shared" si="52"/>
        <v>22828.78943113461</v>
      </c>
      <c r="K129" s="52">
        <f t="shared" si="52"/>
        <v>23102.734904308225</v>
      </c>
      <c r="L129" s="52">
        <f t="shared" si="52"/>
        <v>23379.96772315992</v>
      </c>
      <c r="M129" s="52">
        <f t="shared" si="52"/>
        <v>23660.527335837844</v>
      </c>
      <c r="N129" s="52">
        <f t="shared" si="52"/>
        <v>23944.453663867898</v>
      </c>
      <c r="O129" s="52">
        <f t="shared" si="52"/>
        <v>24231.787107834312</v>
      </c>
      <c r="P129" s="52">
        <f t="shared" si="52"/>
        <v>24522.568553128323</v>
      </c>
      <c r="Q129" s="52">
        <f t="shared" si="52"/>
        <v>24816.83937576586</v>
      </c>
      <c r="R129" s="52">
        <f t="shared" si="52"/>
        <v>25114.641448275052</v>
      </c>
      <c r="S129" s="52">
        <f t="shared" si="52"/>
        <v>25416.017145654354</v>
      </c>
      <c r="T129" s="52">
        <f t="shared" si="52"/>
        <v>25721.009351402205</v>
      </c>
      <c r="U129" s="52">
        <f t="shared" si="52"/>
        <v>26029.661463619032</v>
      </c>
      <c r="V129" s="52">
        <f t="shared" si="52"/>
        <v>26342.01740118246</v>
      </c>
      <c r="W129" s="52" t="str">
        <f t="shared" si="52"/>
        <v/>
      </c>
      <c r="X129" s="52" t="str">
        <f t="shared" si="52"/>
        <v/>
      </c>
      <c r="Y129" s="52" t="str">
        <f t="shared" si="52"/>
        <v/>
      </c>
      <c r="Z129" s="52" t="str">
        <f t="shared" si="52"/>
        <v/>
      </c>
      <c r="AA129" s="52" t="str">
        <f t="shared" si="52"/>
        <v/>
      </c>
    </row>
    <row r="130" spans="2:27" x14ac:dyDescent="0.25">
      <c r="B130" s="44" t="s">
        <v>135</v>
      </c>
      <c r="C130" s="52">
        <f t="shared" ref="C130:AA130" si="53">IF(C124="","",C$132*$C24/100)</f>
        <v>35000</v>
      </c>
      <c r="D130" s="52">
        <f t="shared" si="53"/>
        <v>35420</v>
      </c>
      <c r="E130" s="52">
        <f t="shared" si="53"/>
        <v>35845.040000000001</v>
      </c>
      <c r="F130" s="52">
        <f t="shared" si="53"/>
        <v>36275.180480000003</v>
      </c>
      <c r="G130" s="52">
        <f t="shared" si="53"/>
        <v>36710.482645760007</v>
      </c>
      <c r="H130" s="52">
        <f t="shared" si="53"/>
        <v>37151.008437509125</v>
      </c>
      <c r="I130" s="52">
        <f t="shared" si="53"/>
        <v>37596.820538759239</v>
      </c>
      <c r="J130" s="52">
        <f t="shared" si="53"/>
        <v>38047.982385224343</v>
      </c>
      <c r="K130" s="52">
        <f t="shared" si="53"/>
        <v>38504.558173847043</v>
      </c>
      <c r="L130" s="52">
        <f t="shared" si="53"/>
        <v>38966.612871933205</v>
      </c>
      <c r="M130" s="52">
        <f t="shared" si="53"/>
        <v>39434.212226396405</v>
      </c>
      <c r="N130" s="52">
        <f t="shared" si="53"/>
        <v>39907.422773113154</v>
      </c>
      <c r="O130" s="52">
        <f t="shared" si="53"/>
        <v>40386.311846390512</v>
      </c>
      <c r="P130" s="52">
        <f t="shared" si="53"/>
        <v>40870.947588547206</v>
      </c>
      <c r="Q130" s="52">
        <f t="shared" si="53"/>
        <v>41361.398959609767</v>
      </c>
      <c r="R130" s="52">
        <f t="shared" si="53"/>
        <v>41857.735747125087</v>
      </c>
      <c r="S130" s="52">
        <f t="shared" si="53"/>
        <v>42360.02857609059</v>
      </c>
      <c r="T130" s="52">
        <f t="shared" si="53"/>
        <v>42868.348919003678</v>
      </c>
      <c r="U130" s="52">
        <f t="shared" si="53"/>
        <v>43382.769106031723</v>
      </c>
      <c r="V130" s="52">
        <f t="shared" si="53"/>
        <v>43903.362335304097</v>
      </c>
      <c r="W130" s="52" t="str">
        <f t="shared" si="53"/>
        <v/>
      </c>
      <c r="X130" s="52" t="str">
        <f t="shared" si="53"/>
        <v/>
      </c>
      <c r="Y130" s="52" t="str">
        <f t="shared" si="53"/>
        <v/>
      </c>
      <c r="Z130" s="52" t="str">
        <f t="shared" si="53"/>
        <v/>
      </c>
      <c r="AA130" s="52" t="str">
        <f t="shared" si="53"/>
        <v/>
      </c>
    </row>
    <row r="131" spans="2:27" x14ac:dyDescent="0.25">
      <c r="B131" s="44" t="s">
        <v>136</v>
      </c>
      <c r="C131" s="52">
        <f t="shared" ref="C131:AA131" si="54">IF(C124="","",C$132*$C25/100)</f>
        <v>70000</v>
      </c>
      <c r="D131" s="52">
        <f t="shared" si="54"/>
        <v>70840</v>
      </c>
      <c r="E131" s="52">
        <f t="shared" si="54"/>
        <v>71690.080000000002</v>
      </c>
      <c r="F131" s="52">
        <f t="shared" si="54"/>
        <v>72550.360960000005</v>
      </c>
      <c r="G131" s="52">
        <f t="shared" si="54"/>
        <v>73420.965291520013</v>
      </c>
      <c r="H131" s="52">
        <f t="shared" si="54"/>
        <v>74302.016875018249</v>
      </c>
      <c r="I131" s="52">
        <f t="shared" si="54"/>
        <v>75193.641077518478</v>
      </c>
      <c r="J131" s="52">
        <f t="shared" si="54"/>
        <v>76095.964770448685</v>
      </c>
      <c r="K131" s="52">
        <f t="shared" si="54"/>
        <v>77009.116347694086</v>
      </c>
      <c r="L131" s="52">
        <f t="shared" si="54"/>
        <v>77933.225743866409</v>
      </c>
      <c r="M131" s="52">
        <f t="shared" si="54"/>
        <v>78868.424452792809</v>
      </c>
      <c r="N131" s="52">
        <f t="shared" si="54"/>
        <v>79814.845546226308</v>
      </c>
      <c r="O131" s="52">
        <f t="shared" si="54"/>
        <v>80772.623692781024</v>
      </c>
      <c r="P131" s="52">
        <f t="shared" si="54"/>
        <v>81741.895177094411</v>
      </c>
      <c r="Q131" s="52">
        <f t="shared" si="54"/>
        <v>82722.797919219534</v>
      </c>
      <c r="R131" s="52">
        <f t="shared" si="54"/>
        <v>83715.471494250174</v>
      </c>
      <c r="S131" s="52">
        <f t="shared" si="54"/>
        <v>84720.05715218118</v>
      </c>
      <c r="T131" s="52">
        <f t="shared" si="54"/>
        <v>85736.697838007356</v>
      </c>
      <c r="U131" s="52">
        <f t="shared" si="54"/>
        <v>86765.538212063446</v>
      </c>
      <c r="V131" s="52">
        <f t="shared" si="54"/>
        <v>87806.724670608193</v>
      </c>
      <c r="W131" s="52" t="str">
        <f t="shared" si="54"/>
        <v/>
      </c>
      <c r="X131" s="52" t="str">
        <f t="shared" si="54"/>
        <v/>
      </c>
      <c r="Y131" s="52" t="str">
        <f t="shared" si="54"/>
        <v/>
      </c>
      <c r="Z131" s="52" t="str">
        <f t="shared" si="54"/>
        <v/>
      </c>
      <c r="AA131" s="52" t="str">
        <f t="shared" si="54"/>
        <v/>
      </c>
    </row>
    <row r="132" spans="2:27" x14ac:dyDescent="0.25">
      <c r="B132" s="44" t="s">
        <v>133</v>
      </c>
      <c r="C132" s="52">
        <f>Hypothèses_projet!C11</f>
        <v>700000</v>
      </c>
      <c r="D132" s="52">
        <f>IF(D124="","",C132*(1+Hypothèses_projet!$C$14/100))</f>
        <v>708400</v>
      </c>
      <c r="E132" s="52">
        <f>IF(E124="","",D132*(1+Hypothèses_projet!$C$14/100))</f>
        <v>716900.8</v>
      </c>
      <c r="F132" s="52">
        <f>IF(F124="","",E132*(1+Hypothèses_projet!$C$14/100))</f>
        <v>725503.60960000008</v>
      </c>
      <c r="G132" s="52">
        <f>IF(G124="","",F132*(1+Hypothèses_projet!$C$14/100))</f>
        <v>734209.6529152001</v>
      </c>
      <c r="H132" s="52">
        <f>IF(H124="","",G132*(1+Hypothèses_projet!$C$14/100))</f>
        <v>743020.16875018249</v>
      </c>
      <c r="I132" s="52">
        <f>IF(I124="","",H132*(1+Hypothèses_projet!$C$14/100))</f>
        <v>751936.41077518475</v>
      </c>
      <c r="J132" s="52">
        <f>IF(J124="","",I132*(1+Hypothèses_projet!$C$14/100))</f>
        <v>760959.64770448697</v>
      </c>
      <c r="K132" s="52">
        <f>IF(K124="","",J132*(1+Hypothèses_projet!$C$14/100))</f>
        <v>770091.16347694083</v>
      </c>
      <c r="L132" s="52">
        <f>IF(L124="","",K132*(1+Hypothèses_projet!$C$14/100))</f>
        <v>779332.25743866409</v>
      </c>
      <c r="M132" s="52">
        <f>IF(M124="","",L132*(1+Hypothèses_projet!$C$14/100))</f>
        <v>788684.24452792807</v>
      </c>
      <c r="N132" s="52">
        <f>IF(N124="","",M132*(1+Hypothèses_projet!$C$14/100))</f>
        <v>798148.4554622632</v>
      </c>
      <c r="O132" s="52">
        <f>IF(O124="","",N132*(1+Hypothèses_projet!$C$14/100))</f>
        <v>807726.23692781036</v>
      </c>
      <c r="P132" s="52">
        <f>IF(P124="","",O132*(1+Hypothèses_projet!$C$14/100))</f>
        <v>817418.95177094406</v>
      </c>
      <c r="Q132" s="52">
        <f>IF(Q124="","",P132*(1+Hypothèses_projet!$C$14/100))</f>
        <v>827227.97919219534</v>
      </c>
      <c r="R132" s="52">
        <f>IF(R124="","",Q132*(1+Hypothèses_projet!$C$14/100))</f>
        <v>837154.71494250174</v>
      </c>
      <c r="S132" s="52">
        <f>IF(S124="","",R132*(1+Hypothèses_projet!$C$14/100))</f>
        <v>847200.57152181177</v>
      </c>
      <c r="T132" s="52">
        <f>IF(T124="","",S132*(1+Hypothèses_projet!$C$14/100))</f>
        <v>857366.97838007356</v>
      </c>
      <c r="U132" s="52">
        <f>IF(U124="","",T132*(1+Hypothèses_projet!$C$14/100))</f>
        <v>867655.38212063443</v>
      </c>
      <c r="V132" s="52">
        <f>IF(V124="","",U132*(1+Hypothèses_projet!$C$14/100))</f>
        <v>878067.24670608202</v>
      </c>
      <c r="W132" s="52" t="str">
        <f>IF(W124="","",V132*(1+Hypothèses_projet!$C$14/100))</f>
        <v/>
      </c>
      <c r="X132" s="52" t="str">
        <f>IF(X124="","",W132*(1+Hypothèses_projet!$C$14/100))</f>
        <v/>
      </c>
      <c r="Y132" s="52" t="str">
        <f>IF(Y124="","",X132*(1+Hypothèses_projet!$C$14/100))</f>
        <v/>
      </c>
      <c r="Z132" s="52" t="str">
        <f>IF(Z124="","",Y132*(1+Hypothèses_projet!$C$14/100))</f>
        <v/>
      </c>
      <c r="AA132" s="52" t="str">
        <f>IF(AA124="","",Z132*(1+Hypothèses_projet!$C$14/100))</f>
        <v/>
      </c>
    </row>
    <row r="133" spans="2:27" x14ac:dyDescent="0.25">
      <c r="B133" s="22"/>
      <c r="C133" s="45"/>
      <c r="D133" s="45"/>
      <c r="E133" s="45"/>
      <c r="F133" s="45"/>
      <c r="G133" s="45"/>
      <c r="H133" s="45"/>
      <c r="I133" s="45"/>
      <c r="J133" s="45"/>
      <c r="K133" s="45"/>
      <c r="L133" s="45"/>
    </row>
    <row r="134" spans="2:27" x14ac:dyDescent="0.35">
      <c r="B134" s="3"/>
      <c r="C134" s="3" t="s">
        <v>19</v>
      </c>
      <c r="D134" s="31"/>
      <c r="E134" s="3" t="s">
        <v>4</v>
      </c>
      <c r="F134" s="31"/>
      <c r="G134" s="3"/>
      <c r="H134" s="31"/>
      <c r="I134" s="3" t="s">
        <v>83</v>
      </c>
      <c r="J134" s="45"/>
      <c r="K134" s="45"/>
      <c r="L134" s="45"/>
    </row>
    <row r="135" spans="2:27" x14ac:dyDescent="0.25">
      <c r="B135" s="16"/>
    </row>
    <row r="136" spans="2:27" hidden="1" outlineLevel="1" x14ac:dyDescent="0.25">
      <c r="B136" s="16"/>
      <c r="C136" s="16"/>
    </row>
    <row r="137" spans="2:27" hidden="1" outlineLevel="1" x14ac:dyDescent="0.25">
      <c r="B137" s="16" t="s">
        <v>137</v>
      </c>
      <c r="C137" s="26">
        <v>1000</v>
      </c>
      <c r="E137" s="15" t="s">
        <v>213</v>
      </c>
      <c r="I137" s="33" t="s">
        <v>271</v>
      </c>
    </row>
    <row r="138" spans="2:27" hidden="1" outlineLevel="1" x14ac:dyDescent="0.25">
      <c r="B138" s="16" t="s">
        <v>138</v>
      </c>
      <c r="C138" s="26">
        <v>750</v>
      </c>
      <c r="E138" s="15" t="s">
        <v>213</v>
      </c>
      <c r="I138" s="33" t="s">
        <v>375</v>
      </c>
      <c r="J138" s="33"/>
      <c r="K138" s="33"/>
      <c r="L138" s="33"/>
      <c r="M138" s="33"/>
    </row>
    <row r="139" spans="2:27" ht="16.5" hidden="1" customHeight="1" outlineLevel="1" x14ac:dyDescent="0.25">
      <c r="B139" s="16" t="s">
        <v>139</v>
      </c>
      <c r="C139" s="26">
        <v>750</v>
      </c>
      <c r="E139" s="15" t="s">
        <v>213</v>
      </c>
      <c r="I139" s="134" t="s">
        <v>391</v>
      </c>
      <c r="J139" s="134"/>
      <c r="K139" s="134"/>
      <c r="L139" s="134"/>
      <c r="M139" s="134"/>
    </row>
    <row r="140" spans="2:27" hidden="1" outlineLevel="1" x14ac:dyDescent="0.25">
      <c r="B140" s="16"/>
      <c r="I140" s="134"/>
      <c r="J140" s="134"/>
      <c r="K140" s="134"/>
      <c r="L140" s="134"/>
      <c r="M140" s="134"/>
    </row>
    <row r="141" spans="2:27" hidden="1" outlineLevel="1" x14ac:dyDescent="0.25">
      <c r="B141" s="16" t="str">
        <f>B68</f>
        <v>Profil type n°1 de ville : Amérique Latine, Bogota</v>
      </c>
      <c r="I141" s="134"/>
      <c r="J141" s="134"/>
      <c r="K141" s="134"/>
      <c r="L141" s="134"/>
      <c r="M141" s="134"/>
    </row>
    <row r="142" spans="2:27" hidden="1" outlineLevel="1" x14ac:dyDescent="0.25">
      <c r="B142" s="16" t="s">
        <v>223</v>
      </c>
      <c r="C142" s="47">
        <f>C71</f>
        <v>19</v>
      </c>
      <c r="E142" s="15" t="s">
        <v>1</v>
      </c>
      <c r="I142" s="25"/>
    </row>
    <row r="143" spans="2:27" hidden="1" outlineLevel="1" x14ac:dyDescent="0.25">
      <c r="B143" s="16" t="s">
        <v>224</v>
      </c>
      <c r="C143" s="47">
        <f>C72</f>
        <v>64</v>
      </c>
      <c r="E143" s="15" t="s">
        <v>1</v>
      </c>
      <c r="I143" s="25"/>
    </row>
    <row r="144" spans="2:27" hidden="1" outlineLevel="1" x14ac:dyDescent="0.25">
      <c r="B144" s="15" t="s">
        <v>211</v>
      </c>
      <c r="C144" s="55">
        <f>C75</f>
        <v>0.153</v>
      </c>
      <c r="E144" s="15" t="s">
        <v>140</v>
      </c>
      <c r="F144" s="25"/>
      <c r="G144" s="25"/>
      <c r="H144" s="25"/>
      <c r="I144" s="33" t="s">
        <v>225</v>
      </c>
    </row>
    <row r="145" spans="2:9" hidden="1" outlineLevel="1" x14ac:dyDescent="0.25">
      <c r="B145" s="15" t="s">
        <v>212</v>
      </c>
      <c r="C145" s="55">
        <f>C76</f>
        <v>3.5999999999999997E-2</v>
      </c>
      <c r="E145" s="15" t="s">
        <v>140</v>
      </c>
      <c r="F145" s="25"/>
      <c r="G145" s="25"/>
      <c r="H145" s="25"/>
      <c r="I145" s="33" t="s">
        <v>225</v>
      </c>
    </row>
    <row r="146" spans="2:9" hidden="1" outlineLevel="1" x14ac:dyDescent="0.25">
      <c r="B146" s="16"/>
      <c r="C146" s="16"/>
      <c r="I146" s="25"/>
    </row>
    <row r="147" spans="2:9" hidden="1" outlineLevel="1" x14ac:dyDescent="0.25">
      <c r="B147" s="16" t="str">
        <f>B78</f>
        <v>Profil type n°2 de ville : Lagos, Afrique</v>
      </c>
      <c r="I147" s="25"/>
    </row>
    <row r="148" spans="2:9" hidden="1" outlineLevel="1" x14ac:dyDescent="0.25">
      <c r="B148" s="16" t="s">
        <v>223</v>
      </c>
      <c r="C148" s="47">
        <f>C81</f>
        <v>23</v>
      </c>
      <c r="E148" s="15" t="s">
        <v>1</v>
      </c>
      <c r="I148" s="25"/>
    </row>
    <row r="149" spans="2:9" hidden="1" outlineLevel="1" x14ac:dyDescent="0.25">
      <c r="B149" s="16" t="s">
        <v>224</v>
      </c>
      <c r="C149" s="47">
        <f>C82</f>
        <v>35</v>
      </c>
      <c r="E149" s="15" t="s">
        <v>1</v>
      </c>
      <c r="I149" s="25"/>
    </row>
    <row r="150" spans="2:9" hidden="1" outlineLevel="1" x14ac:dyDescent="0.25">
      <c r="B150" s="15" t="s">
        <v>355</v>
      </c>
      <c r="C150" s="55">
        <f>C85</f>
        <v>0.13</v>
      </c>
      <c r="E150" s="15" t="s">
        <v>140</v>
      </c>
      <c r="F150" s="25"/>
      <c r="G150" s="25"/>
      <c r="H150" s="25"/>
      <c r="I150" s="33" t="s">
        <v>225</v>
      </c>
    </row>
    <row r="151" spans="2:9" hidden="1" outlineLevel="1" x14ac:dyDescent="0.25">
      <c r="B151" s="15" t="s">
        <v>341</v>
      </c>
      <c r="C151" s="55">
        <f>C86</f>
        <v>3.5999999999999997E-2</v>
      </c>
      <c r="E151" s="15" t="s">
        <v>140</v>
      </c>
      <c r="F151" s="25"/>
      <c r="G151" s="25"/>
      <c r="H151" s="25"/>
      <c r="I151" s="33" t="s">
        <v>225</v>
      </c>
    </row>
    <row r="152" spans="2:9" hidden="1" outlineLevel="1" x14ac:dyDescent="0.25">
      <c r="B152" s="16"/>
      <c r="C152" s="16"/>
      <c r="I152" s="25"/>
    </row>
    <row r="153" spans="2:9" hidden="1" outlineLevel="1" x14ac:dyDescent="0.25">
      <c r="B153" s="16" t="str">
        <f>B88</f>
        <v>Profil type n°3 de ville : Minsk, Europe</v>
      </c>
      <c r="I153" s="25"/>
    </row>
    <row r="154" spans="2:9" hidden="1" outlineLevel="1" x14ac:dyDescent="0.25">
      <c r="B154" s="16" t="s">
        <v>223</v>
      </c>
      <c r="C154" s="47">
        <f>C91</f>
        <v>20</v>
      </c>
      <c r="E154" s="15" t="s">
        <v>1</v>
      </c>
      <c r="I154" s="25"/>
    </row>
    <row r="155" spans="2:9" hidden="1" outlineLevel="1" x14ac:dyDescent="0.25">
      <c r="B155" s="16" t="s">
        <v>224</v>
      </c>
      <c r="C155" s="47">
        <f>C92</f>
        <v>63</v>
      </c>
      <c r="E155" s="15" t="s">
        <v>1</v>
      </c>
      <c r="I155" s="25"/>
    </row>
    <row r="156" spans="2:9" hidden="1" outlineLevel="1" x14ac:dyDescent="0.25">
      <c r="B156" s="15" t="s">
        <v>356</v>
      </c>
      <c r="C156" s="55">
        <f>$C95</f>
        <v>0.18</v>
      </c>
      <c r="E156" s="15" t="s">
        <v>140</v>
      </c>
      <c r="F156" s="25"/>
      <c r="G156" s="25"/>
      <c r="H156" s="25"/>
      <c r="I156" s="33" t="s">
        <v>225</v>
      </c>
    </row>
    <row r="157" spans="2:9" hidden="1" outlineLevel="1" x14ac:dyDescent="0.25">
      <c r="B157" s="15" t="s">
        <v>342</v>
      </c>
      <c r="C157" s="55">
        <f>$C96</f>
        <v>3.5999999999999997E-2</v>
      </c>
      <c r="E157" s="15" t="s">
        <v>140</v>
      </c>
      <c r="F157" s="25"/>
      <c r="G157" s="25"/>
      <c r="H157" s="25"/>
      <c r="I157" s="33" t="s">
        <v>225</v>
      </c>
    </row>
    <row r="158" spans="2:9" hidden="1" outlineLevel="1" x14ac:dyDescent="0.25">
      <c r="B158" s="16"/>
      <c r="C158" s="16"/>
      <c r="I158" s="25"/>
    </row>
    <row r="159" spans="2:9" hidden="1" outlineLevel="1" x14ac:dyDescent="0.25">
      <c r="B159" s="16" t="str">
        <f>B98</f>
        <v>Profil type n°4 de ville : Jakarta, Asie du Sud-Est</v>
      </c>
      <c r="I159" s="25"/>
    </row>
    <row r="160" spans="2:9" hidden="1" outlineLevel="1" x14ac:dyDescent="0.25">
      <c r="B160" s="16" t="s">
        <v>223</v>
      </c>
      <c r="C160" s="47">
        <f>C101</f>
        <v>78</v>
      </c>
      <c r="E160" s="15" t="s">
        <v>1</v>
      </c>
      <c r="I160" s="25"/>
    </row>
    <row r="161" spans="2:27" hidden="1" outlineLevel="1" x14ac:dyDescent="0.25">
      <c r="B161" s="16" t="s">
        <v>224</v>
      </c>
      <c r="C161" s="47">
        <f>C102</f>
        <v>20</v>
      </c>
      <c r="E161" s="15" t="s">
        <v>1</v>
      </c>
      <c r="I161" s="25"/>
    </row>
    <row r="162" spans="2:27" hidden="1" outlineLevel="1" x14ac:dyDescent="0.25">
      <c r="B162" s="15" t="s">
        <v>361</v>
      </c>
      <c r="C162" s="55">
        <f>C105</f>
        <v>0.153</v>
      </c>
      <c r="E162" s="15" t="s">
        <v>140</v>
      </c>
      <c r="F162" s="25"/>
      <c r="G162" s="25"/>
      <c r="H162" s="25"/>
      <c r="I162" s="33" t="s">
        <v>225</v>
      </c>
    </row>
    <row r="163" spans="2:27" hidden="1" outlineLevel="1" x14ac:dyDescent="0.25">
      <c r="B163" s="15" t="s">
        <v>362</v>
      </c>
      <c r="C163" s="55">
        <f>C106</f>
        <v>3.5999999999999997E-2</v>
      </c>
      <c r="E163" s="15" t="s">
        <v>140</v>
      </c>
      <c r="F163" s="25"/>
      <c r="G163" s="25"/>
      <c r="H163" s="25"/>
      <c r="I163" s="33" t="s">
        <v>225</v>
      </c>
    </row>
    <row r="164" spans="2:27" hidden="1" outlineLevel="1" x14ac:dyDescent="0.25">
      <c r="C164" s="55"/>
      <c r="F164" s="25"/>
      <c r="G164" s="25"/>
      <c r="H164" s="25"/>
      <c r="I164" s="33"/>
    </row>
    <row r="165" spans="2:27" collapsed="1" x14ac:dyDescent="0.25">
      <c r="B165" s="125"/>
      <c r="C165" s="125"/>
      <c r="D165" s="125"/>
      <c r="E165" s="125"/>
      <c r="F165" s="125"/>
    </row>
    <row r="166" spans="2:27" ht="21.75" x14ac:dyDescent="0.25">
      <c r="B166" s="17" t="s">
        <v>1315</v>
      </c>
      <c r="C166" s="17"/>
      <c r="D166" s="17"/>
      <c r="E166" s="17"/>
      <c r="F166" s="17"/>
    </row>
    <row r="168" spans="2:27" ht="99" customHeight="1" x14ac:dyDescent="0.25">
      <c r="B168" s="78" t="s">
        <v>536</v>
      </c>
      <c r="C168" s="133" t="s">
        <v>530</v>
      </c>
      <c r="D168" s="133"/>
      <c r="E168" s="133"/>
      <c r="F168" s="133"/>
    </row>
    <row r="169" spans="2:27" ht="99" customHeight="1" x14ac:dyDescent="0.25">
      <c r="B169" s="78" t="s">
        <v>547</v>
      </c>
      <c r="C169" s="133" t="s">
        <v>559</v>
      </c>
      <c r="D169" s="133"/>
      <c r="E169" s="133"/>
      <c r="F169" s="133"/>
    </row>
    <row r="170" spans="2:27" ht="82.5" customHeight="1" x14ac:dyDescent="0.25">
      <c r="B170" s="79" t="s">
        <v>549</v>
      </c>
      <c r="C170" s="135" t="s">
        <v>531</v>
      </c>
      <c r="D170" s="135"/>
      <c r="E170" s="135"/>
      <c r="F170" s="135"/>
    </row>
    <row r="171" spans="2:27" x14ac:dyDescent="0.25">
      <c r="C171" s="16"/>
      <c r="D171" s="16"/>
      <c r="E171" s="16"/>
      <c r="F171" s="16"/>
    </row>
    <row r="172" spans="2:27" ht="19.5" x14ac:dyDescent="0.25">
      <c r="B172" s="18" t="s">
        <v>29</v>
      </c>
      <c r="C172" s="18"/>
      <c r="D172" s="18"/>
      <c r="E172" s="18"/>
      <c r="F172" s="18"/>
      <c r="G172" s="18"/>
      <c r="H172" s="18"/>
      <c r="I172" s="18"/>
      <c r="J172" s="18"/>
      <c r="K172" s="18"/>
      <c r="L172" s="18"/>
    </row>
    <row r="173" spans="2:27" x14ac:dyDescent="0.25">
      <c r="B173" s="19" t="s">
        <v>89</v>
      </c>
      <c r="C173" s="20"/>
      <c r="D173" s="20"/>
      <c r="E173" s="20"/>
      <c r="F173" s="20"/>
      <c r="G173" s="20"/>
      <c r="H173" s="20"/>
      <c r="I173" s="20"/>
      <c r="J173" s="20"/>
      <c r="K173" s="20"/>
      <c r="L173" s="20"/>
    </row>
    <row r="174" spans="2:27" x14ac:dyDescent="0.25">
      <c r="B174" s="42" t="s">
        <v>26</v>
      </c>
      <c r="C174" s="42">
        <f>Hypothèses_projet!C3</f>
        <v>2021</v>
      </c>
      <c r="D174" s="42">
        <f>D$48</f>
        <v>2022</v>
      </c>
      <c r="E174" s="42">
        <f t="shared" ref="E174:AA174" si="55">E$48</f>
        <v>2023</v>
      </c>
      <c r="F174" s="42">
        <f t="shared" si="55"/>
        <v>2024</v>
      </c>
      <c r="G174" s="42">
        <f t="shared" si="55"/>
        <v>2025</v>
      </c>
      <c r="H174" s="42">
        <f t="shared" si="55"/>
        <v>2026</v>
      </c>
      <c r="I174" s="42">
        <f t="shared" si="55"/>
        <v>2027</v>
      </c>
      <c r="J174" s="42">
        <f t="shared" si="55"/>
        <v>2028</v>
      </c>
      <c r="K174" s="42">
        <f t="shared" si="55"/>
        <v>2029</v>
      </c>
      <c r="L174" s="42">
        <f t="shared" si="55"/>
        <v>2030</v>
      </c>
      <c r="M174" s="42">
        <f t="shared" si="55"/>
        <v>2031</v>
      </c>
      <c r="N174" s="42">
        <f t="shared" si="55"/>
        <v>2032</v>
      </c>
      <c r="O174" s="42">
        <f t="shared" si="55"/>
        <v>2033</v>
      </c>
      <c r="P174" s="42">
        <f t="shared" si="55"/>
        <v>2034</v>
      </c>
      <c r="Q174" s="42">
        <f t="shared" si="55"/>
        <v>2035</v>
      </c>
      <c r="R174" s="42">
        <f t="shared" si="55"/>
        <v>2036</v>
      </c>
      <c r="S174" s="42">
        <f t="shared" si="55"/>
        <v>2037</v>
      </c>
      <c r="T174" s="42">
        <f t="shared" si="55"/>
        <v>2038</v>
      </c>
      <c r="U174" s="42">
        <f t="shared" si="55"/>
        <v>2039</v>
      </c>
      <c r="V174" s="42">
        <f t="shared" si="55"/>
        <v>2040</v>
      </c>
      <c r="W174" s="42" t="str">
        <f t="shared" si="55"/>
        <v/>
      </c>
      <c r="X174" s="42" t="str">
        <f t="shared" si="55"/>
        <v/>
      </c>
      <c r="Y174" s="42" t="str">
        <f t="shared" si="55"/>
        <v/>
      </c>
      <c r="Z174" s="42" t="str">
        <f t="shared" si="55"/>
        <v/>
      </c>
      <c r="AA174" s="42" t="str">
        <f t="shared" si="55"/>
        <v/>
      </c>
    </row>
    <row r="175" spans="2:27" x14ac:dyDescent="0.25">
      <c r="B175" s="43" t="s">
        <v>91</v>
      </c>
      <c r="C175" s="52">
        <f>IF(C174="","",C178*$C$204*$C$184*$C$206/1000)</f>
        <v>1201200</v>
      </c>
      <c r="D175" s="52">
        <f t="shared" ref="D175:AA175" si="56">IF(D174="","",D178*$C$204*$C$184*$C$206/1000)</f>
        <v>1215614.3999999999</v>
      </c>
      <c r="E175" s="52">
        <f t="shared" si="56"/>
        <v>1230201.7728000002</v>
      </c>
      <c r="F175" s="52">
        <f t="shared" si="56"/>
        <v>1244964.1940736</v>
      </c>
      <c r="G175" s="52">
        <f t="shared" si="56"/>
        <v>1259903.7644024834</v>
      </c>
      <c r="H175" s="52">
        <f t="shared" si="56"/>
        <v>1275022.6095753131</v>
      </c>
      <c r="I175" s="52">
        <f t="shared" si="56"/>
        <v>1290322.8808902171</v>
      </c>
      <c r="J175" s="52">
        <f t="shared" si="56"/>
        <v>1305806.7554608996</v>
      </c>
      <c r="K175" s="52">
        <f t="shared" si="56"/>
        <v>1321476.4365264303</v>
      </c>
      <c r="L175" s="52">
        <f t="shared" si="56"/>
        <v>1337334.1537647475</v>
      </c>
      <c r="M175" s="52">
        <f t="shared" si="56"/>
        <v>1353382.1636099245</v>
      </c>
      <c r="N175" s="52">
        <f t="shared" si="56"/>
        <v>1369622.7495732435</v>
      </c>
      <c r="O175" s="52">
        <f t="shared" si="56"/>
        <v>1386058.2225681227</v>
      </c>
      <c r="P175" s="52">
        <f t="shared" si="56"/>
        <v>1402690.92123894</v>
      </c>
      <c r="Q175" s="52">
        <f t="shared" si="56"/>
        <v>1419523.212293807</v>
      </c>
      <c r="R175" s="52">
        <f t="shared" si="56"/>
        <v>1436557.4908413328</v>
      </c>
      <c r="S175" s="52">
        <f t="shared" si="56"/>
        <v>1453796.1807314288</v>
      </c>
      <c r="T175" s="52">
        <f t="shared" si="56"/>
        <v>1471241.7349002061</v>
      </c>
      <c r="U175" s="52">
        <f t="shared" si="56"/>
        <v>1488896.6357190085</v>
      </c>
      <c r="V175" s="52">
        <f t="shared" si="56"/>
        <v>1506763.3953476367</v>
      </c>
      <c r="W175" s="52" t="str">
        <f t="shared" si="56"/>
        <v/>
      </c>
      <c r="X175" s="52" t="str">
        <f t="shared" si="56"/>
        <v/>
      </c>
      <c r="Y175" s="52" t="str">
        <f t="shared" si="56"/>
        <v/>
      </c>
      <c r="Z175" s="52" t="str">
        <f t="shared" si="56"/>
        <v/>
      </c>
      <c r="AA175" s="52" t="str">
        <f t="shared" si="56"/>
        <v/>
      </c>
    </row>
    <row r="176" spans="2:27" x14ac:dyDescent="0.25">
      <c r="B176" s="43" t="s">
        <v>90</v>
      </c>
      <c r="C176" s="52">
        <f t="shared" ref="C176:AA176" si="57">IF(C174="","",C175*(1-$C$19/100)+C175*$C$19/100*(1-$C$202/5)+$C$202/5*$C$19/100*C178*$C$184*$C$205*$C$207/1000)</f>
        <v>1172262.0000000002</v>
      </c>
      <c r="D176" s="52">
        <f t="shared" si="57"/>
        <v>1186329.1439999999</v>
      </c>
      <c r="E176" s="52">
        <f t="shared" si="57"/>
        <v>1200565.0937280001</v>
      </c>
      <c r="F176" s="52">
        <f t="shared" si="57"/>
        <v>1214971.874852736</v>
      </c>
      <c r="G176" s="52">
        <f t="shared" si="57"/>
        <v>1229551.5373509692</v>
      </c>
      <c r="H176" s="52">
        <f t="shared" si="57"/>
        <v>1244306.1557991805</v>
      </c>
      <c r="I176" s="52">
        <f t="shared" si="57"/>
        <v>1259237.829668771</v>
      </c>
      <c r="J176" s="52">
        <f t="shared" si="57"/>
        <v>1274348.6836247961</v>
      </c>
      <c r="K176" s="52">
        <f t="shared" si="57"/>
        <v>1289640.8678282937</v>
      </c>
      <c r="L176" s="52">
        <f t="shared" si="57"/>
        <v>1305116.5582422332</v>
      </c>
      <c r="M176" s="52">
        <f t="shared" si="57"/>
        <v>1320777.9569411401</v>
      </c>
      <c r="N176" s="52">
        <f t="shared" si="57"/>
        <v>1336627.2924244336</v>
      </c>
      <c r="O176" s="52">
        <f t="shared" si="57"/>
        <v>1352666.8199335271</v>
      </c>
      <c r="P176" s="52">
        <f t="shared" si="57"/>
        <v>1368898.8217727293</v>
      </c>
      <c r="Q176" s="52">
        <f t="shared" si="57"/>
        <v>1385325.6076340014</v>
      </c>
      <c r="R176" s="52">
        <f t="shared" si="57"/>
        <v>1401949.5149256098</v>
      </c>
      <c r="S176" s="52">
        <f t="shared" si="57"/>
        <v>1418772.9091047172</v>
      </c>
      <c r="T176" s="52">
        <f t="shared" si="57"/>
        <v>1435798.1840139739</v>
      </c>
      <c r="U176" s="52">
        <f t="shared" si="57"/>
        <v>1453027.7622221415</v>
      </c>
      <c r="V176" s="52">
        <f t="shared" si="57"/>
        <v>1470464.0953688072</v>
      </c>
      <c r="W176" s="52" t="str">
        <f t="shared" si="57"/>
        <v/>
      </c>
      <c r="X176" s="52" t="str">
        <f t="shared" si="57"/>
        <v/>
      </c>
      <c r="Y176" s="52" t="str">
        <f t="shared" si="57"/>
        <v/>
      </c>
      <c r="Z176" s="52" t="str">
        <f t="shared" si="57"/>
        <v/>
      </c>
      <c r="AA176" s="52" t="str">
        <f t="shared" si="57"/>
        <v/>
      </c>
    </row>
    <row r="177" spans="2:27" x14ac:dyDescent="0.25">
      <c r="B177" s="43" t="s">
        <v>150</v>
      </c>
      <c r="C177" s="52">
        <f>IF(C174="","",(C176-C175))</f>
        <v>-28937.999999999767</v>
      </c>
      <c r="D177" s="52">
        <f t="shared" ref="D177:AA177" si="58">IF(D174="","",(D176-D175))</f>
        <v>-29285.256000000052</v>
      </c>
      <c r="E177" s="52">
        <f t="shared" si="58"/>
        <v>-29636.679072000086</v>
      </c>
      <c r="F177" s="52">
        <f t="shared" si="58"/>
        <v>-29992.319220863981</v>
      </c>
      <c r="G177" s="52">
        <f t="shared" si="58"/>
        <v>-30352.227051514201</v>
      </c>
      <c r="H177" s="52">
        <f t="shared" si="58"/>
        <v>-30716.453776132548</v>
      </c>
      <c r="I177" s="52">
        <f t="shared" si="58"/>
        <v>-31085.051221446134</v>
      </c>
      <c r="J177" s="52">
        <f t="shared" si="58"/>
        <v>-31458.071836103452</v>
      </c>
      <c r="K177" s="52">
        <f t="shared" si="58"/>
        <v>-31835.568698136602</v>
      </c>
      <c r="L177" s="52">
        <f t="shared" si="58"/>
        <v>-32217.595522514312</v>
      </c>
      <c r="M177" s="52">
        <f t="shared" si="58"/>
        <v>-32604.206668784376</v>
      </c>
      <c r="N177" s="52">
        <f t="shared" si="58"/>
        <v>-32995.457148809917</v>
      </c>
      <c r="O177" s="52">
        <f t="shared" si="58"/>
        <v>-33391.402634595521</v>
      </c>
      <c r="P177" s="52">
        <f t="shared" si="58"/>
        <v>-33792.099466210697</v>
      </c>
      <c r="Q177" s="52">
        <f t="shared" si="58"/>
        <v>-34197.60465980554</v>
      </c>
      <c r="R177" s="52">
        <f t="shared" si="58"/>
        <v>-34607.975915723015</v>
      </c>
      <c r="S177" s="52">
        <f t="shared" si="58"/>
        <v>-35023.27162671159</v>
      </c>
      <c r="T177" s="52">
        <f t="shared" si="58"/>
        <v>-35443.550886232173</v>
      </c>
      <c r="U177" s="52">
        <f t="shared" si="58"/>
        <v>-35868.873496867018</v>
      </c>
      <c r="V177" s="52">
        <f t="shared" si="58"/>
        <v>-36299.299978829455</v>
      </c>
      <c r="W177" s="52" t="str">
        <f t="shared" si="58"/>
        <v/>
      </c>
      <c r="X177" s="52" t="str">
        <f t="shared" si="58"/>
        <v/>
      </c>
      <c r="Y177" s="52" t="str">
        <f t="shared" si="58"/>
        <v/>
      </c>
      <c r="Z177" s="52" t="str">
        <f t="shared" si="58"/>
        <v/>
      </c>
      <c r="AA177" s="52" t="str">
        <f t="shared" si="58"/>
        <v/>
      </c>
    </row>
    <row r="178" spans="2:27" x14ac:dyDescent="0.25">
      <c r="B178" s="44" t="s">
        <v>133</v>
      </c>
      <c r="C178" s="52">
        <f>Hypothèses_projet!C11</f>
        <v>700000</v>
      </c>
      <c r="D178" s="52">
        <f>IF(D174="","",C178*(1+Hypothèses_projet!$C$14/100))</f>
        <v>708400</v>
      </c>
      <c r="E178" s="52">
        <f>IF(E174="","",D178*(1+Hypothèses_projet!$C$14/100))</f>
        <v>716900.8</v>
      </c>
      <c r="F178" s="52">
        <f>IF(F174="","",E178*(1+Hypothèses_projet!$C$14/100))</f>
        <v>725503.60960000008</v>
      </c>
      <c r="G178" s="52">
        <f>IF(G174="","",F178*(1+Hypothèses_projet!$C$14/100))</f>
        <v>734209.6529152001</v>
      </c>
      <c r="H178" s="52">
        <f>IF(H174="","",G178*(1+Hypothèses_projet!$C$14/100))</f>
        <v>743020.16875018249</v>
      </c>
      <c r="I178" s="52">
        <f>IF(I174="","",H178*(1+Hypothèses_projet!$C$14/100))</f>
        <v>751936.41077518475</v>
      </c>
      <c r="J178" s="52">
        <f>IF(J174="","",I178*(1+Hypothèses_projet!$C$14/100))</f>
        <v>760959.64770448697</v>
      </c>
      <c r="K178" s="52">
        <f>IF(K174="","",J178*(1+Hypothèses_projet!$C$14/100))</f>
        <v>770091.16347694083</v>
      </c>
      <c r="L178" s="52">
        <f>IF(L174="","",K178*(1+Hypothèses_projet!$C$14/100))</f>
        <v>779332.25743866409</v>
      </c>
      <c r="M178" s="52">
        <f>IF(M174="","",L178*(1+Hypothèses_projet!$C$14/100))</f>
        <v>788684.24452792807</v>
      </c>
      <c r="N178" s="52">
        <f>IF(N174="","",M178*(1+Hypothèses_projet!$C$14/100))</f>
        <v>798148.4554622632</v>
      </c>
      <c r="O178" s="52">
        <f>IF(O174="","",N178*(1+Hypothèses_projet!$C$14/100))</f>
        <v>807726.23692781036</v>
      </c>
      <c r="P178" s="52">
        <f>IF(P174="","",O178*(1+Hypothèses_projet!$C$14/100))</f>
        <v>817418.95177094406</v>
      </c>
      <c r="Q178" s="52">
        <f>IF(Q174="","",P178*(1+Hypothèses_projet!$C$14/100))</f>
        <v>827227.97919219534</v>
      </c>
      <c r="R178" s="52">
        <f>IF(R174="","",Q178*(1+Hypothèses_projet!$C$14/100))</f>
        <v>837154.71494250174</v>
      </c>
      <c r="S178" s="52">
        <f>IF(S174="","",R178*(1+Hypothèses_projet!$C$14/100))</f>
        <v>847200.57152181177</v>
      </c>
      <c r="T178" s="52">
        <f>IF(T174="","",S178*(1+Hypothèses_projet!$C$14/100))</f>
        <v>857366.97838007356</v>
      </c>
      <c r="U178" s="52">
        <f>IF(U174="","",T178*(1+Hypothèses_projet!$C$14/100))</f>
        <v>867655.38212063443</v>
      </c>
      <c r="V178" s="52">
        <f>IF(V174="","",U178*(1+Hypothèses_projet!$C$14/100))</f>
        <v>878067.24670608202</v>
      </c>
      <c r="W178" s="52" t="str">
        <f>IF(W174="","",V178*(1+Hypothèses_projet!$C$14/100))</f>
        <v/>
      </c>
      <c r="X178" s="52" t="str">
        <f>IF(X174="","",W178*(1+Hypothèses_projet!$C$14/100))</f>
        <v/>
      </c>
      <c r="Y178" s="52" t="str">
        <f>IF(Y174="","",X178*(1+Hypothèses_projet!$C$14/100))</f>
        <v/>
      </c>
      <c r="Z178" s="52" t="str">
        <f>IF(Z174="","",Y178*(1+Hypothèses_projet!$C$14/100))</f>
        <v/>
      </c>
      <c r="AA178" s="52" t="str">
        <f>IF(AA174="","",Z178*(1+Hypothèses_projet!$C$14/100))</f>
        <v/>
      </c>
    </row>
    <row r="179" spans="2:27" x14ac:dyDescent="0.25">
      <c r="B179" s="14"/>
      <c r="C179" s="23"/>
    </row>
    <row r="180" spans="2:27" x14ac:dyDescent="0.35">
      <c r="B180" s="3"/>
      <c r="C180" s="3" t="s">
        <v>19</v>
      </c>
      <c r="D180" s="31"/>
      <c r="E180" s="3" t="s">
        <v>4</v>
      </c>
      <c r="F180" s="31"/>
      <c r="G180" s="3"/>
      <c r="H180" s="31"/>
      <c r="I180" s="3" t="s">
        <v>83</v>
      </c>
    </row>
    <row r="182" spans="2:27" x14ac:dyDescent="0.25">
      <c r="B182" s="127" t="s">
        <v>359</v>
      </c>
    </row>
    <row r="184" spans="2:27" x14ac:dyDescent="0.25">
      <c r="B184" s="33" t="s">
        <v>92</v>
      </c>
      <c r="C184" s="57">
        <f>(C199+C193)/C189+C190+C192</f>
        <v>78</v>
      </c>
      <c r="D184" s="33"/>
      <c r="E184" s="33" t="s">
        <v>93</v>
      </c>
      <c r="F184" s="33"/>
      <c r="G184" s="33"/>
      <c r="H184" s="33"/>
      <c r="I184" s="33" t="s">
        <v>243</v>
      </c>
    </row>
    <row r="185" spans="2:27" ht="39.950000000000003" customHeight="1" x14ac:dyDescent="0.25">
      <c r="B185" s="33"/>
      <c r="C185" s="33"/>
      <c r="D185" s="33"/>
      <c r="E185" s="33"/>
      <c r="F185" s="33"/>
      <c r="G185" s="33"/>
      <c r="H185" s="33"/>
      <c r="I185" s="134" t="s">
        <v>244</v>
      </c>
      <c r="J185" s="134"/>
      <c r="K185" s="134"/>
    </row>
    <row r="186" spans="2:27" x14ac:dyDescent="0.25">
      <c r="B186" s="127" t="s">
        <v>360</v>
      </c>
      <c r="C186" s="33"/>
      <c r="D186" s="33"/>
      <c r="E186" s="33"/>
      <c r="F186" s="33"/>
      <c r="G186" s="33"/>
      <c r="H186" s="33"/>
    </row>
    <row r="187" spans="2:27" hidden="1" outlineLevel="1" x14ac:dyDescent="0.25">
      <c r="B187" s="33"/>
      <c r="C187" s="33"/>
      <c r="D187" s="33"/>
      <c r="E187" s="33"/>
      <c r="F187" s="33"/>
      <c r="G187" s="33"/>
      <c r="H187" s="33"/>
      <c r="I187" s="33"/>
    </row>
    <row r="188" spans="2:27" hidden="1" outlineLevel="1" x14ac:dyDescent="0.25">
      <c r="B188" s="33"/>
      <c r="C188" s="33"/>
      <c r="D188" s="33"/>
      <c r="E188" s="33"/>
      <c r="F188" s="33"/>
      <c r="G188" s="33"/>
      <c r="H188" s="33"/>
    </row>
    <row r="189" spans="2:27" hidden="1" outlineLevel="1" x14ac:dyDescent="0.25">
      <c r="B189" s="33" t="s">
        <v>248</v>
      </c>
      <c r="C189" s="36">
        <v>50</v>
      </c>
      <c r="D189" s="33"/>
      <c r="E189" s="33" t="s">
        <v>43</v>
      </c>
      <c r="F189" s="33"/>
      <c r="G189" s="33"/>
      <c r="H189" s="33"/>
      <c r="I189" s="33" t="s">
        <v>249</v>
      </c>
    </row>
    <row r="190" spans="2:27" hidden="1" outlineLevel="1" x14ac:dyDescent="0.25">
      <c r="B190" s="33" t="s">
        <v>245</v>
      </c>
      <c r="C190" s="36">
        <v>18</v>
      </c>
      <c r="D190" s="33"/>
      <c r="E190" s="33" t="s">
        <v>93</v>
      </c>
      <c r="F190" s="33"/>
      <c r="G190" s="33"/>
      <c r="H190" s="33"/>
      <c r="I190" s="33" t="s">
        <v>249</v>
      </c>
    </row>
    <row r="191" spans="2:27" hidden="1" outlineLevel="1" x14ac:dyDescent="0.25">
      <c r="B191" s="33" t="s">
        <v>245</v>
      </c>
      <c r="C191" s="36">
        <v>182</v>
      </c>
      <c r="D191" s="33"/>
      <c r="E191" s="33" t="s">
        <v>247</v>
      </c>
      <c r="F191" s="33"/>
      <c r="G191" s="33"/>
      <c r="H191" s="33"/>
      <c r="I191" s="33" t="s">
        <v>249</v>
      </c>
    </row>
    <row r="192" spans="2:27" hidden="1" outlineLevel="1" x14ac:dyDescent="0.25">
      <c r="B192" s="33" t="s">
        <v>242</v>
      </c>
      <c r="C192" s="36">
        <v>14</v>
      </c>
      <c r="D192" s="33"/>
      <c r="E192" s="33" t="s">
        <v>93</v>
      </c>
      <c r="F192" s="33"/>
      <c r="G192" s="33"/>
      <c r="H192" s="33"/>
      <c r="I192" s="33" t="s">
        <v>249</v>
      </c>
    </row>
    <row r="193" spans="2:12" hidden="1" outlineLevel="1" x14ac:dyDescent="0.25">
      <c r="B193" s="33" t="s">
        <v>241</v>
      </c>
      <c r="C193" s="36">
        <v>900</v>
      </c>
      <c r="D193" s="33"/>
      <c r="E193" s="33" t="s">
        <v>240</v>
      </c>
      <c r="F193" s="33"/>
      <c r="G193" s="33"/>
      <c r="H193" s="33"/>
      <c r="I193" s="33" t="s">
        <v>249</v>
      </c>
    </row>
    <row r="194" spans="2:12" hidden="1" outlineLevel="1" x14ac:dyDescent="0.25">
      <c r="B194" s="33"/>
      <c r="C194" s="33"/>
      <c r="D194" s="33"/>
      <c r="E194" s="33"/>
      <c r="F194" s="33"/>
      <c r="G194" s="33"/>
      <c r="H194" s="33"/>
      <c r="I194" s="134" t="s">
        <v>532</v>
      </c>
      <c r="J194" s="134"/>
      <c r="K194" s="134"/>
      <c r="L194" s="134"/>
    </row>
    <row r="195" spans="2:12" hidden="1" outlineLevel="1" x14ac:dyDescent="0.25">
      <c r="B195" s="33"/>
      <c r="C195" s="33"/>
      <c r="D195" s="33"/>
      <c r="E195" s="33"/>
      <c r="F195" s="33"/>
      <c r="G195" s="33"/>
      <c r="H195" s="33"/>
      <c r="I195" s="134"/>
      <c r="J195" s="134"/>
      <c r="K195" s="134"/>
      <c r="L195" s="134"/>
    </row>
    <row r="196" spans="2:12" hidden="1" outlineLevel="1" x14ac:dyDescent="0.25">
      <c r="B196" s="33"/>
      <c r="C196" s="33"/>
      <c r="D196" s="33"/>
      <c r="E196" s="33"/>
      <c r="F196" s="33"/>
      <c r="G196" s="33"/>
      <c r="H196" s="33"/>
      <c r="I196" s="134"/>
      <c r="J196" s="134"/>
      <c r="K196" s="134"/>
      <c r="L196" s="134"/>
    </row>
    <row r="197" spans="2:12" hidden="1" outlineLevel="1" x14ac:dyDescent="0.25">
      <c r="B197" s="33"/>
      <c r="C197" s="33"/>
      <c r="D197" s="33"/>
      <c r="E197" s="33"/>
      <c r="F197" s="33"/>
      <c r="G197" s="33"/>
      <c r="H197" s="33"/>
      <c r="I197" s="33"/>
    </row>
    <row r="198" spans="2:12" hidden="1" outlineLevel="1" x14ac:dyDescent="0.25">
      <c r="B198" s="33"/>
      <c r="C198" s="33"/>
      <c r="D198" s="33"/>
      <c r="E198" s="33"/>
      <c r="F198" s="33"/>
      <c r="G198" s="33"/>
      <c r="H198" s="33"/>
      <c r="I198" s="33" t="s">
        <v>363</v>
      </c>
    </row>
    <row r="199" spans="2:12" hidden="1" outlineLevel="1" x14ac:dyDescent="0.25">
      <c r="B199" s="33" t="s">
        <v>239</v>
      </c>
      <c r="C199" s="36">
        <v>1400</v>
      </c>
      <c r="D199" s="33"/>
      <c r="E199" s="33" t="s">
        <v>240</v>
      </c>
      <c r="F199" s="33"/>
      <c r="G199" s="33"/>
      <c r="H199" s="33"/>
      <c r="I199" s="33" t="s">
        <v>249</v>
      </c>
    </row>
    <row r="200" spans="2:12" hidden="1" outlineLevel="1" x14ac:dyDescent="0.25">
      <c r="B200" s="33"/>
      <c r="C200" s="33"/>
      <c r="D200" s="33"/>
      <c r="E200" s="33"/>
      <c r="F200" s="33"/>
      <c r="G200" s="33"/>
      <c r="H200" s="33"/>
      <c r="I200" s="33" t="s">
        <v>246</v>
      </c>
    </row>
    <row r="201" spans="2:12" hidden="1" outlineLevel="1" x14ac:dyDescent="0.25">
      <c r="B201" s="33"/>
      <c r="C201" s="33"/>
      <c r="D201" s="33"/>
      <c r="E201" s="33"/>
      <c r="F201" s="33"/>
      <c r="G201" s="33"/>
      <c r="H201" s="33"/>
      <c r="I201" s="33"/>
    </row>
    <row r="202" spans="2:12" hidden="1" outlineLevel="1" x14ac:dyDescent="0.25">
      <c r="B202" s="33" t="s">
        <v>393</v>
      </c>
      <c r="C202" s="61">
        <f>($C$23*$C$20+$C$24*$C$21+$C$22*$C$25)/$C$19</f>
        <v>1.4722222222222223</v>
      </c>
      <c r="D202" s="33"/>
      <c r="E202" s="33"/>
      <c r="F202" s="33"/>
      <c r="G202" s="33"/>
      <c r="H202" s="33"/>
      <c r="I202" s="33" t="s">
        <v>392</v>
      </c>
    </row>
    <row r="203" spans="2:12" hidden="1" outlineLevel="1" x14ac:dyDescent="0.25">
      <c r="B203" s="33"/>
      <c r="C203" s="61"/>
      <c r="D203" s="33"/>
      <c r="E203" s="33"/>
      <c r="F203" s="33"/>
      <c r="G203" s="33"/>
      <c r="H203" s="33"/>
      <c r="I203" s="33"/>
    </row>
    <row r="204" spans="2:12" hidden="1" outlineLevel="1" x14ac:dyDescent="0.25">
      <c r="B204" s="33" t="s">
        <v>94</v>
      </c>
      <c r="C204" s="36">
        <v>22</v>
      </c>
      <c r="D204" s="33"/>
      <c r="E204" s="33" t="s">
        <v>69</v>
      </c>
      <c r="F204" s="33"/>
      <c r="G204" s="33"/>
      <c r="H204" s="33"/>
      <c r="I204" s="33" t="s">
        <v>238</v>
      </c>
    </row>
    <row r="205" spans="2:12" hidden="1" outlineLevel="1" x14ac:dyDescent="0.25">
      <c r="B205" s="33" t="s">
        <v>95</v>
      </c>
      <c r="C205" s="36">
        <v>15</v>
      </c>
      <c r="D205" s="33"/>
      <c r="E205" s="33" t="s">
        <v>69</v>
      </c>
      <c r="F205" s="33"/>
      <c r="G205" s="33"/>
      <c r="H205" s="33"/>
      <c r="I205" s="33" t="s">
        <v>238</v>
      </c>
    </row>
    <row r="206" spans="2:12" hidden="1" outlineLevel="1" x14ac:dyDescent="0.25">
      <c r="B206" s="33" t="s">
        <v>96</v>
      </c>
      <c r="C206" s="36">
        <v>1</v>
      </c>
      <c r="D206" s="33"/>
      <c r="E206" s="33"/>
      <c r="F206" s="33"/>
      <c r="G206" s="33"/>
      <c r="H206" s="33"/>
      <c r="I206" s="33" t="s">
        <v>238</v>
      </c>
    </row>
    <row r="207" spans="2:12" hidden="1" outlineLevel="1" x14ac:dyDescent="0.25">
      <c r="B207" s="33" t="s">
        <v>97</v>
      </c>
      <c r="C207" s="36">
        <v>0.8</v>
      </c>
      <c r="D207" s="33"/>
      <c r="E207" s="33"/>
      <c r="F207" s="33"/>
      <c r="G207" s="33"/>
      <c r="H207" s="33"/>
      <c r="I207" s="33" t="s">
        <v>238</v>
      </c>
    </row>
    <row r="208" spans="2:12" hidden="1" outlineLevel="1" x14ac:dyDescent="0.25">
      <c r="B208" s="33"/>
      <c r="C208" s="33"/>
      <c r="D208" s="33"/>
      <c r="E208" s="33"/>
      <c r="F208" s="33"/>
      <c r="G208" s="33"/>
      <c r="H208" s="33"/>
      <c r="I208" s="33"/>
    </row>
    <row r="209" spans="2:27" collapsed="1" x14ac:dyDescent="0.25"/>
    <row r="210" spans="2:27" x14ac:dyDescent="0.25">
      <c r="B210" s="126"/>
      <c r="C210" s="126"/>
      <c r="D210" s="126"/>
      <c r="E210" s="126"/>
      <c r="F210" s="126"/>
    </row>
    <row r="211" spans="2:27" ht="21.75" x14ac:dyDescent="0.25">
      <c r="B211" s="17" t="s">
        <v>1316</v>
      </c>
      <c r="C211" s="17"/>
      <c r="D211" s="17"/>
      <c r="E211" s="17"/>
      <c r="F211" s="17"/>
    </row>
    <row r="213" spans="2:27" ht="85.5" customHeight="1" x14ac:dyDescent="0.25">
      <c r="B213" s="78" t="s">
        <v>536</v>
      </c>
      <c r="C213" s="132" t="s">
        <v>552</v>
      </c>
      <c r="D213" s="132"/>
      <c r="E213" s="132"/>
      <c r="F213" s="132"/>
    </row>
    <row r="214" spans="2:27" ht="74.45" customHeight="1" x14ac:dyDescent="0.25">
      <c r="B214" s="78" t="s">
        <v>547</v>
      </c>
      <c r="C214" s="132" t="s">
        <v>550</v>
      </c>
      <c r="D214" s="132"/>
      <c r="E214" s="132"/>
      <c r="F214" s="132"/>
    </row>
    <row r="215" spans="2:27" x14ac:dyDescent="0.25">
      <c r="B215" s="16"/>
      <c r="C215" s="16"/>
      <c r="D215" s="16"/>
      <c r="E215" s="16"/>
      <c r="F215" s="16"/>
    </row>
    <row r="216" spans="2:27" ht="19.5" x14ac:dyDescent="0.25">
      <c r="B216" s="18" t="s">
        <v>29</v>
      </c>
      <c r="C216" s="18"/>
      <c r="D216" s="18"/>
      <c r="E216" s="18"/>
      <c r="F216" s="18"/>
      <c r="G216" s="18"/>
      <c r="H216" s="18"/>
      <c r="I216" s="18"/>
      <c r="J216" s="18"/>
      <c r="K216" s="18"/>
      <c r="L216" s="18"/>
    </row>
    <row r="217" spans="2:27" x14ac:dyDescent="0.25">
      <c r="B217" s="19" t="s">
        <v>89</v>
      </c>
      <c r="C217" s="20"/>
      <c r="D217" s="20"/>
      <c r="E217" s="20"/>
      <c r="F217" s="20"/>
      <c r="G217" s="20"/>
      <c r="H217" s="20"/>
      <c r="I217" s="20"/>
      <c r="J217" s="20"/>
      <c r="K217" s="20"/>
      <c r="L217" s="20"/>
    </row>
    <row r="218" spans="2:27" x14ac:dyDescent="0.25">
      <c r="B218" s="42" t="s">
        <v>26</v>
      </c>
      <c r="C218" s="42">
        <f>C174</f>
        <v>2021</v>
      </c>
      <c r="D218" s="42">
        <f>D$48</f>
        <v>2022</v>
      </c>
      <c r="E218" s="42">
        <f t="shared" ref="E218:AA218" si="59">E$48</f>
        <v>2023</v>
      </c>
      <c r="F218" s="42">
        <f t="shared" si="59"/>
        <v>2024</v>
      </c>
      <c r="G218" s="42">
        <f t="shared" si="59"/>
        <v>2025</v>
      </c>
      <c r="H218" s="42">
        <f t="shared" si="59"/>
        <v>2026</v>
      </c>
      <c r="I218" s="42">
        <f t="shared" si="59"/>
        <v>2027</v>
      </c>
      <c r="J218" s="42">
        <f t="shared" si="59"/>
        <v>2028</v>
      </c>
      <c r="K218" s="42">
        <f t="shared" si="59"/>
        <v>2029</v>
      </c>
      <c r="L218" s="42">
        <f t="shared" si="59"/>
        <v>2030</v>
      </c>
      <c r="M218" s="42">
        <f t="shared" si="59"/>
        <v>2031</v>
      </c>
      <c r="N218" s="42">
        <f t="shared" si="59"/>
        <v>2032</v>
      </c>
      <c r="O218" s="42">
        <f t="shared" si="59"/>
        <v>2033</v>
      </c>
      <c r="P218" s="42">
        <f t="shared" si="59"/>
        <v>2034</v>
      </c>
      <c r="Q218" s="42">
        <f t="shared" si="59"/>
        <v>2035</v>
      </c>
      <c r="R218" s="42">
        <f t="shared" si="59"/>
        <v>2036</v>
      </c>
      <c r="S218" s="42">
        <f t="shared" si="59"/>
        <v>2037</v>
      </c>
      <c r="T218" s="42">
        <f t="shared" si="59"/>
        <v>2038</v>
      </c>
      <c r="U218" s="42">
        <f t="shared" si="59"/>
        <v>2039</v>
      </c>
      <c r="V218" s="42">
        <f t="shared" si="59"/>
        <v>2040</v>
      </c>
      <c r="W218" s="42" t="str">
        <f t="shared" si="59"/>
        <v/>
      </c>
      <c r="X218" s="42" t="str">
        <f t="shared" si="59"/>
        <v/>
      </c>
      <c r="Y218" s="42" t="str">
        <f t="shared" si="59"/>
        <v/>
      </c>
      <c r="Z218" s="42" t="str">
        <f t="shared" si="59"/>
        <v/>
      </c>
      <c r="AA218" s="42" t="str">
        <f t="shared" si="59"/>
        <v/>
      </c>
    </row>
    <row r="219" spans="2:27" x14ac:dyDescent="0.25">
      <c r="B219" s="43" t="s">
        <v>91</v>
      </c>
      <c r="C219" s="52">
        <f>IF(C218="","",C222*$C$227*5*52*$C$278/1000000)</f>
        <v>151120.83287671235</v>
      </c>
      <c r="D219" s="52">
        <f t="shared" ref="D219:AA219" si="60">IF(D218="","",D222*$C$227*5*52*$C$278/1000000)</f>
        <v>152934.28287123292</v>
      </c>
      <c r="E219" s="52">
        <f t="shared" si="60"/>
        <v>154769.49426568768</v>
      </c>
      <c r="F219" s="52">
        <f t="shared" si="60"/>
        <v>156626.72819687595</v>
      </c>
      <c r="G219" s="52">
        <f t="shared" si="60"/>
        <v>158506.24893523843</v>
      </c>
      <c r="H219" s="52">
        <f t="shared" si="60"/>
        <v>160408.32392246131</v>
      </c>
      <c r="I219" s="52">
        <f t="shared" si="60"/>
        <v>162333.22380953087</v>
      </c>
      <c r="J219" s="52">
        <f t="shared" si="60"/>
        <v>164281.22249524525</v>
      </c>
      <c r="K219" s="52">
        <f t="shared" si="60"/>
        <v>166252.5971651882</v>
      </c>
      <c r="L219" s="52">
        <f t="shared" si="60"/>
        <v>168247.62833117045</v>
      </c>
      <c r="M219" s="52">
        <f t="shared" si="60"/>
        <v>170266.59987114448</v>
      </c>
      <c r="N219" s="52">
        <f t="shared" si="60"/>
        <v>172309.7990695982</v>
      </c>
      <c r="O219" s="52">
        <f t="shared" si="60"/>
        <v>174377.51665843342</v>
      </c>
      <c r="P219" s="52">
        <f t="shared" si="60"/>
        <v>176470.04685833456</v>
      </c>
      <c r="Q219" s="52">
        <f t="shared" si="60"/>
        <v>178587.68742063461</v>
      </c>
      <c r="R219" s="52">
        <f t="shared" si="60"/>
        <v>180730.73966968223</v>
      </c>
      <c r="S219" s="52">
        <f t="shared" si="60"/>
        <v>182899.50854571842</v>
      </c>
      <c r="T219" s="52">
        <f t="shared" si="60"/>
        <v>185094.30264826707</v>
      </c>
      <c r="U219" s="52">
        <f t="shared" si="60"/>
        <v>187315.4342800462</v>
      </c>
      <c r="V219" s="52">
        <f t="shared" si="60"/>
        <v>189563.21949140678</v>
      </c>
      <c r="W219" s="52" t="str">
        <f t="shared" si="60"/>
        <v/>
      </c>
      <c r="X219" s="52" t="str">
        <f t="shared" si="60"/>
        <v/>
      </c>
      <c r="Y219" s="52" t="str">
        <f t="shared" si="60"/>
        <v/>
      </c>
      <c r="Z219" s="52" t="str">
        <f t="shared" si="60"/>
        <v/>
      </c>
      <c r="AA219" s="52" t="str">
        <f t="shared" si="60"/>
        <v/>
      </c>
    </row>
    <row r="220" spans="2:27" x14ac:dyDescent="0.25">
      <c r="B220" s="43" t="s">
        <v>90</v>
      </c>
      <c r="C220" s="52">
        <f t="shared" ref="C220:AA220" si="61">IF(C218="","",$C$19/100*$C$232*5*52*$C$278*C222/1000000+(1-$C$19/100)*C219)</f>
        <v>152803.48080580181</v>
      </c>
      <c r="D220" s="52">
        <f t="shared" si="61"/>
        <v>154637.12257547144</v>
      </c>
      <c r="E220" s="52">
        <f t="shared" si="61"/>
        <v>156492.76804637705</v>
      </c>
      <c r="F220" s="52">
        <f t="shared" si="61"/>
        <v>158370.68126293362</v>
      </c>
      <c r="G220" s="52">
        <f t="shared" si="61"/>
        <v>160271.12943808877</v>
      </c>
      <c r="H220" s="52">
        <f t="shared" si="61"/>
        <v>162194.38299134583</v>
      </c>
      <c r="I220" s="52">
        <f t="shared" si="61"/>
        <v>164140.71558724204</v>
      </c>
      <c r="J220" s="52">
        <f t="shared" si="61"/>
        <v>166110.40417428894</v>
      </c>
      <c r="K220" s="52">
        <f t="shared" si="61"/>
        <v>168103.72902438045</v>
      </c>
      <c r="L220" s="52">
        <f t="shared" si="61"/>
        <v>170120.97377267299</v>
      </c>
      <c r="M220" s="52">
        <f t="shared" si="61"/>
        <v>172162.42545794504</v>
      </c>
      <c r="N220" s="52">
        <f t="shared" si="61"/>
        <v>174228.37456344036</v>
      </c>
      <c r="O220" s="52">
        <f t="shared" si="61"/>
        <v>176319.11505820169</v>
      </c>
      <c r="P220" s="52">
        <f t="shared" si="61"/>
        <v>178434.94443890007</v>
      </c>
      <c r="Q220" s="52">
        <f t="shared" si="61"/>
        <v>180576.16377216688</v>
      </c>
      <c r="R220" s="52">
        <f t="shared" si="61"/>
        <v>182743.07773743288</v>
      </c>
      <c r="S220" s="52">
        <f t="shared" si="61"/>
        <v>184935.99467028209</v>
      </c>
      <c r="T220" s="52">
        <f t="shared" si="61"/>
        <v>187155.22660632554</v>
      </c>
      <c r="U220" s="52">
        <f t="shared" si="61"/>
        <v>189401.08932560135</v>
      </c>
      <c r="V220" s="52">
        <f t="shared" si="61"/>
        <v>191673.90239750859</v>
      </c>
      <c r="W220" s="52" t="str">
        <f t="shared" si="61"/>
        <v/>
      </c>
      <c r="X220" s="52" t="str">
        <f t="shared" si="61"/>
        <v/>
      </c>
      <c r="Y220" s="52" t="str">
        <f t="shared" si="61"/>
        <v/>
      </c>
      <c r="Z220" s="52" t="str">
        <f t="shared" si="61"/>
        <v/>
      </c>
      <c r="AA220" s="52" t="str">
        <f t="shared" si="61"/>
        <v/>
      </c>
    </row>
    <row r="221" spans="2:27" x14ac:dyDescent="0.25">
      <c r="B221" s="43" t="s">
        <v>150</v>
      </c>
      <c r="C221" s="52">
        <f>IF(C218="","",C220-C219)</f>
        <v>1682.647929089464</v>
      </c>
      <c r="D221" s="52">
        <f t="shared" ref="D221:AA221" si="62">IF(D218="","",D220-D219)</f>
        <v>1702.8397042385186</v>
      </c>
      <c r="E221" s="52">
        <f t="shared" si="62"/>
        <v>1723.2737806893711</v>
      </c>
      <c r="F221" s="52">
        <f t="shared" si="62"/>
        <v>1743.9530660576711</v>
      </c>
      <c r="G221" s="52">
        <f t="shared" si="62"/>
        <v>1764.8805028503411</v>
      </c>
      <c r="H221" s="52">
        <f t="shared" si="62"/>
        <v>1786.0590688845259</v>
      </c>
      <c r="I221" s="52">
        <f t="shared" si="62"/>
        <v>1807.4917777111696</v>
      </c>
      <c r="J221" s="52">
        <f t="shared" si="62"/>
        <v>1829.181679043686</v>
      </c>
      <c r="K221" s="52">
        <f t="shared" si="62"/>
        <v>1851.1318591922463</v>
      </c>
      <c r="L221" s="52">
        <f t="shared" si="62"/>
        <v>1873.3454415025481</v>
      </c>
      <c r="M221" s="52">
        <f t="shared" si="62"/>
        <v>1895.8255868005508</v>
      </c>
      <c r="N221" s="52">
        <f t="shared" si="62"/>
        <v>1918.5754938421596</v>
      </c>
      <c r="O221" s="52">
        <f t="shared" si="62"/>
        <v>1941.5983997682633</v>
      </c>
      <c r="P221" s="52">
        <f t="shared" si="62"/>
        <v>1964.8975805655064</v>
      </c>
      <c r="Q221" s="52">
        <f t="shared" si="62"/>
        <v>1988.4763515322702</v>
      </c>
      <c r="R221" s="52">
        <f t="shared" si="62"/>
        <v>2012.3380677506502</v>
      </c>
      <c r="S221" s="52">
        <f t="shared" si="62"/>
        <v>2036.4861245636712</v>
      </c>
      <c r="T221" s="52">
        <f t="shared" si="62"/>
        <v>2060.923958058469</v>
      </c>
      <c r="U221" s="52">
        <f t="shared" si="62"/>
        <v>2085.6550455551478</v>
      </c>
      <c r="V221" s="52">
        <f t="shared" si="62"/>
        <v>2110.682906101807</v>
      </c>
      <c r="W221" s="52" t="str">
        <f t="shared" si="62"/>
        <v/>
      </c>
      <c r="X221" s="52" t="str">
        <f t="shared" si="62"/>
        <v/>
      </c>
      <c r="Y221" s="52" t="str">
        <f t="shared" si="62"/>
        <v/>
      </c>
      <c r="Z221" s="52" t="str">
        <f t="shared" si="62"/>
        <v/>
      </c>
      <c r="AA221" s="52" t="str">
        <f t="shared" si="62"/>
        <v/>
      </c>
    </row>
    <row r="222" spans="2:27" x14ac:dyDescent="0.25">
      <c r="B222" s="44" t="s">
        <v>133</v>
      </c>
      <c r="C222" s="52">
        <f>Hypothèses_projet!C11</f>
        <v>700000</v>
      </c>
      <c r="D222" s="52">
        <f>IF(D218="","",C222*(1+Hypothèses_projet!$C$14/100))</f>
        <v>708400</v>
      </c>
      <c r="E222" s="52">
        <f>IF(E218="","",D222*(1+Hypothèses_projet!$C$14/100))</f>
        <v>716900.8</v>
      </c>
      <c r="F222" s="52">
        <f>IF(F218="","",E222*(1+Hypothèses_projet!$C$14/100))</f>
        <v>725503.60960000008</v>
      </c>
      <c r="G222" s="52">
        <f>IF(G218="","",F222*(1+Hypothèses_projet!$C$14/100))</f>
        <v>734209.6529152001</v>
      </c>
      <c r="H222" s="52">
        <f>IF(H218="","",G222*(1+Hypothèses_projet!$C$14/100))</f>
        <v>743020.16875018249</v>
      </c>
      <c r="I222" s="52">
        <f>IF(I218="","",H222*(1+Hypothèses_projet!$C$14/100))</f>
        <v>751936.41077518475</v>
      </c>
      <c r="J222" s="52">
        <f>IF(J218="","",I222*(1+Hypothèses_projet!$C$14/100))</f>
        <v>760959.64770448697</v>
      </c>
      <c r="K222" s="52">
        <f>IF(K218="","",J222*(1+Hypothèses_projet!$C$14/100))</f>
        <v>770091.16347694083</v>
      </c>
      <c r="L222" s="52">
        <f>IF(L218="","",K222*(1+Hypothèses_projet!$C$14/100))</f>
        <v>779332.25743866409</v>
      </c>
      <c r="M222" s="52">
        <f>IF(M218="","",L222*(1+Hypothèses_projet!$C$14/100))</f>
        <v>788684.24452792807</v>
      </c>
      <c r="N222" s="52">
        <f>IF(N218="","",M222*(1+Hypothèses_projet!$C$14/100))</f>
        <v>798148.4554622632</v>
      </c>
      <c r="O222" s="52">
        <f>IF(O218="","",N222*(1+Hypothèses_projet!$C$14/100))</f>
        <v>807726.23692781036</v>
      </c>
      <c r="P222" s="52">
        <f>IF(P218="","",O222*(1+Hypothèses_projet!$C$14/100))</f>
        <v>817418.95177094406</v>
      </c>
      <c r="Q222" s="52">
        <f>IF(Q218="","",P222*(1+Hypothèses_projet!$C$14/100))</f>
        <v>827227.97919219534</v>
      </c>
      <c r="R222" s="52">
        <f>IF(R218="","",Q222*(1+Hypothèses_projet!$C$14/100))</f>
        <v>837154.71494250174</v>
      </c>
      <c r="S222" s="52">
        <f>IF(S218="","",R222*(1+Hypothèses_projet!$C$14/100))</f>
        <v>847200.57152181177</v>
      </c>
      <c r="T222" s="52">
        <f>IF(T218="","",S222*(1+Hypothèses_projet!$C$14/100))</f>
        <v>857366.97838007356</v>
      </c>
      <c r="U222" s="52">
        <f>IF(U218="","",T222*(1+Hypothèses_projet!$C$14/100))</f>
        <v>867655.38212063443</v>
      </c>
      <c r="V222" s="52">
        <f>IF(V218="","",U222*(1+Hypothèses_projet!$C$14/100))</f>
        <v>878067.24670608202</v>
      </c>
      <c r="W222" s="52" t="str">
        <f>IF(W218="","",V222*(1+Hypothèses_projet!$C$14/100))</f>
        <v/>
      </c>
      <c r="X222" s="52" t="str">
        <f>IF(X218="","",W222*(1+Hypothèses_projet!$C$14/100))</f>
        <v/>
      </c>
      <c r="Y222" s="52" t="str">
        <f>IF(Y218="","",X222*(1+Hypothèses_projet!$C$14/100))</f>
        <v/>
      </c>
      <c r="Z222" s="52" t="str">
        <f>IF(Z218="","",Y222*(1+Hypothèses_projet!$C$14/100))</f>
        <v/>
      </c>
      <c r="AA222" s="52" t="str">
        <f>IF(AA218="","",Z222*(1+Hypothèses_projet!$C$14/100))</f>
        <v/>
      </c>
    </row>
    <row r="223" spans="2:27" x14ac:dyDescent="0.25">
      <c r="B223" s="22"/>
      <c r="C223" s="45"/>
      <c r="D223" s="45"/>
      <c r="E223" s="45"/>
      <c r="F223" s="45"/>
      <c r="G223" s="45"/>
      <c r="H223" s="45"/>
      <c r="I223" s="45"/>
      <c r="J223" s="45"/>
      <c r="K223" s="45"/>
      <c r="L223" s="45"/>
    </row>
    <row r="224" spans="2:27" x14ac:dyDescent="0.25">
      <c r="B224" s="22"/>
      <c r="C224" s="45"/>
      <c r="D224" s="45"/>
      <c r="E224" s="45"/>
      <c r="F224" s="45"/>
      <c r="G224" s="45"/>
      <c r="H224" s="45"/>
      <c r="I224" s="45"/>
      <c r="J224" s="45"/>
      <c r="K224" s="45"/>
      <c r="L224" s="45"/>
    </row>
    <row r="225" spans="2:12" hidden="1" outlineLevel="1" x14ac:dyDescent="0.35">
      <c r="B225" s="3"/>
      <c r="C225" s="3" t="s">
        <v>19</v>
      </c>
      <c r="D225" s="31"/>
      <c r="E225" s="3" t="s">
        <v>4</v>
      </c>
      <c r="F225" s="31"/>
      <c r="G225" s="3"/>
      <c r="H225" s="31"/>
      <c r="I225" s="3" t="s">
        <v>83</v>
      </c>
      <c r="J225" s="45"/>
      <c r="K225" s="45"/>
      <c r="L225" s="45"/>
    </row>
    <row r="226" spans="2:12" hidden="1" outlineLevel="1" x14ac:dyDescent="0.25">
      <c r="B226" s="21"/>
      <c r="C226" s="14"/>
      <c r="D226" s="14"/>
      <c r="E226" s="14"/>
      <c r="F226" s="14"/>
      <c r="G226" s="14"/>
      <c r="H226" s="14"/>
      <c r="I226" s="14"/>
      <c r="J226" s="14"/>
      <c r="K226" s="14"/>
      <c r="L226" s="14"/>
    </row>
    <row r="227" spans="2:12" hidden="1" outlineLevel="1" x14ac:dyDescent="0.25">
      <c r="B227" s="35" t="s">
        <v>220</v>
      </c>
      <c r="C227" s="60">
        <f>C228/365</f>
        <v>3.5945205479452054</v>
      </c>
      <c r="D227" s="63"/>
      <c r="E227" s="64" t="s">
        <v>82</v>
      </c>
      <c r="F227" s="65"/>
      <c r="G227" s="65"/>
      <c r="H227" s="65"/>
      <c r="I227" s="65"/>
      <c r="J227" s="14"/>
      <c r="K227" s="14"/>
      <c r="L227" s="14"/>
    </row>
    <row r="228" spans="2:12" hidden="1" outlineLevel="1" x14ac:dyDescent="0.25">
      <c r="B228" s="35" t="s">
        <v>217</v>
      </c>
      <c r="C228" s="58">
        <v>1312</v>
      </c>
      <c r="D228" s="63"/>
      <c r="E228" s="64" t="s">
        <v>3</v>
      </c>
      <c r="F228" s="63"/>
      <c r="G228" s="63"/>
      <c r="H228" s="63"/>
      <c r="I228" s="64" t="s">
        <v>260</v>
      </c>
      <c r="J228" s="63"/>
      <c r="K228" s="14"/>
      <c r="L228" s="14"/>
    </row>
    <row r="229" spans="2:12" hidden="1" outlineLevel="1" x14ac:dyDescent="0.25">
      <c r="B229" s="59" t="s">
        <v>221</v>
      </c>
      <c r="C229" s="60">
        <f>C227*(1+7.5/25.5)</f>
        <v>4.6517324738114425</v>
      </c>
      <c r="D229" s="33"/>
      <c r="E229" s="37" t="s">
        <v>82</v>
      </c>
      <c r="F229" s="33"/>
      <c r="G229" s="37"/>
      <c r="H229" s="33"/>
      <c r="I229" s="59" t="s">
        <v>215</v>
      </c>
      <c r="J229" s="33"/>
    </row>
    <row r="230" spans="2:12" hidden="1" outlineLevel="1" x14ac:dyDescent="0.25">
      <c r="B230" s="59"/>
      <c r="C230" s="60"/>
      <c r="D230" s="33"/>
      <c r="E230" s="37"/>
      <c r="F230" s="33"/>
      <c r="G230" s="37"/>
      <c r="H230" s="33"/>
      <c r="I230" s="37" t="s">
        <v>216</v>
      </c>
      <c r="J230" s="33"/>
    </row>
    <row r="231" spans="2:12" hidden="1" outlineLevel="1" x14ac:dyDescent="0.25">
      <c r="B231" s="33"/>
      <c r="C231" s="33"/>
      <c r="D231" s="33"/>
      <c r="E231" s="33"/>
      <c r="F231" s="33"/>
      <c r="G231" s="33"/>
      <c r="H231" s="33"/>
      <c r="I231" s="33"/>
      <c r="J231" s="33"/>
    </row>
    <row r="232" spans="2:12" hidden="1" outlineLevel="1" x14ac:dyDescent="0.25">
      <c r="B232" s="35" t="s">
        <v>551</v>
      </c>
      <c r="C232" s="34">
        <f>$C$233*C23/(C23+C24+C25)+$C$234*C24/(C23+C24+C25)+$C$235*C25/(C23+C24+C25)</f>
        <v>3.8168706752107235</v>
      </c>
      <c r="E232" s="16" t="s">
        <v>82</v>
      </c>
      <c r="G232" s="16"/>
      <c r="I232" s="15" t="s">
        <v>219</v>
      </c>
    </row>
    <row r="233" spans="2:12" hidden="1" outlineLevel="1" x14ac:dyDescent="0.25">
      <c r="B233" s="35" t="s">
        <v>234</v>
      </c>
      <c r="C233" s="34">
        <f>$C$227*(7-C20)/7+$C$229*C20/7</f>
        <v>4.0476113733164496</v>
      </c>
      <c r="E233" s="16" t="s">
        <v>82</v>
      </c>
      <c r="G233" s="16"/>
      <c r="I233" s="16" t="s">
        <v>218</v>
      </c>
    </row>
    <row r="234" spans="2:12" hidden="1" outlineLevel="1" x14ac:dyDescent="0.25">
      <c r="B234" s="35" t="s">
        <v>235</v>
      </c>
      <c r="C234" s="34">
        <f>$C$227*(7-C21)/7+$C$229*C21/7</f>
        <v>3.8210659606308273</v>
      </c>
      <c r="E234" s="16" t="s">
        <v>82</v>
      </c>
      <c r="G234" s="16"/>
      <c r="I234" s="16" t="s">
        <v>218</v>
      </c>
    </row>
    <row r="235" spans="2:12" hidden="1" outlineLevel="1" x14ac:dyDescent="0.25">
      <c r="B235" s="35" t="s">
        <v>236</v>
      </c>
      <c r="C235" s="34">
        <f>$C$227*(7-C22)/7+$C$229*C22/7</f>
        <v>3.7455508230689536</v>
      </c>
      <c r="E235" s="16" t="s">
        <v>82</v>
      </c>
      <c r="G235" s="16"/>
      <c r="I235" s="16" t="s">
        <v>218</v>
      </c>
    </row>
    <row r="236" spans="2:12" hidden="1" outlineLevel="1" x14ac:dyDescent="0.25">
      <c r="B236" s="16"/>
      <c r="C236" s="30"/>
      <c r="E236" s="16"/>
      <c r="G236" s="16"/>
      <c r="I236" s="16"/>
    </row>
    <row r="237" spans="2:12" hidden="1" outlineLevel="1" x14ac:dyDescent="0.25">
      <c r="B237" s="16"/>
      <c r="C237" s="30"/>
      <c r="E237" s="16"/>
      <c r="G237" s="16"/>
      <c r="I237" s="16"/>
    </row>
    <row r="238" spans="2:12" collapsed="1" x14ac:dyDescent="0.25">
      <c r="B238" s="125"/>
      <c r="C238" s="125"/>
      <c r="D238" s="125"/>
      <c r="E238" s="125"/>
      <c r="F238" s="125"/>
      <c r="G238" s="16"/>
    </row>
    <row r="239" spans="2:12" ht="21.75" x14ac:dyDescent="0.25">
      <c r="B239" s="72" t="s">
        <v>1317</v>
      </c>
      <c r="C239" s="72"/>
      <c r="D239" s="72"/>
      <c r="E239" s="72"/>
      <c r="F239" s="72"/>
    </row>
    <row r="240" spans="2:12" x14ac:dyDescent="0.25">
      <c r="B240" s="27"/>
    </row>
    <row r="241" spans="2:27" x14ac:dyDescent="0.25">
      <c r="B241" s="37" t="s">
        <v>554</v>
      </c>
      <c r="C241" s="15" t="s">
        <v>553</v>
      </c>
    </row>
    <row r="242" spans="2:27" x14ac:dyDescent="0.25">
      <c r="B242" s="37"/>
    </row>
    <row r="243" spans="2:27" x14ac:dyDescent="0.25">
      <c r="B243" s="37" t="s">
        <v>547</v>
      </c>
      <c r="C243" s="15" t="s">
        <v>555</v>
      </c>
    </row>
    <row r="244" spans="2:27" x14ac:dyDescent="0.25">
      <c r="B244" s="46"/>
      <c r="C244" s="131" t="s">
        <v>556</v>
      </c>
      <c r="D244" s="131"/>
      <c r="E244" s="131"/>
      <c r="F244" s="131"/>
      <c r="G244" s="131"/>
      <c r="H244" s="131"/>
      <c r="I244" s="131"/>
    </row>
    <row r="245" spans="2:27" x14ac:dyDescent="0.25">
      <c r="B245" s="46"/>
      <c r="C245" s="131"/>
      <c r="D245" s="131"/>
      <c r="E245" s="131"/>
      <c r="F245" s="131"/>
      <c r="G245" s="131"/>
      <c r="H245" s="131"/>
      <c r="I245" s="131"/>
    </row>
    <row r="246" spans="2:27" ht="19.5" x14ac:dyDescent="0.25">
      <c r="B246" s="18" t="s">
        <v>29</v>
      </c>
      <c r="C246" s="18"/>
      <c r="D246" s="18"/>
      <c r="E246" s="18"/>
      <c r="F246" s="18"/>
      <c r="G246" s="18"/>
      <c r="H246" s="18"/>
      <c r="I246" s="18"/>
      <c r="J246" s="18"/>
      <c r="K246" s="18"/>
      <c r="L246" s="18"/>
    </row>
    <row r="247" spans="2:27" x14ac:dyDescent="0.25">
      <c r="B247" s="19" t="s">
        <v>89</v>
      </c>
      <c r="C247" s="20"/>
      <c r="D247" s="20"/>
      <c r="E247" s="20"/>
      <c r="F247" s="20"/>
      <c r="G247" s="20"/>
      <c r="H247" s="20"/>
      <c r="I247" s="20"/>
      <c r="J247" s="20"/>
      <c r="K247" s="20"/>
      <c r="L247" s="20"/>
    </row>
    <row r="248" spans="2:27" x14ac:dyDescent="0.25">
      <c r="B248" s="42" t="s">
        <v>26</v>
      </c>
      <c r="C248" s="42">
        <f>C218</f>
        <v>2021</v>
      </c>
      <c r="D248" s="42">
        <f>D$48</f>
        <v>2022</v>
      </c>
      <c r="E248" s="42">
        <f t="shared" ref="E248:AA248" si="63">E$48</f>
        <v>2023</v>
      </c>
      <c r="F248" s="42">
        <f t="shared" si="63"/>
        <v>2024</v>
      </c>
      <c r="G248" s="42">
        <f t="shared" si="63"/>
        <v>2025</v>
      </c>
      <c r="H248" s="42">
        <f t="shared" si="63"/>
        <v>2026</v>
      </c>
      <c r="I248" s="42">
        <f t="shared" si="63"/>
        <v>2027</v>
      </c>
      <c r="J248" s="42">
        <f t="shared" si="63"/>
        <v>2028</v>
      </c>
      <c r="K248" s="42">
        <f t="shared" si="63"/>
        <v>2029</v>
      </c>
      <c r="L248" s="42">
        <f t="shared" si="63"/>
        <v>2030</v>
      </c>
      <c r="M248" s="42">
        <f t="shared" si="63"/>
        <v>2031</v>
      </c>
      <c r="N248" s="42">
        <f t="shared" si="63"/>
        <v>2032</v>
      </c>
      <c r="O248" s="42">
        <f t="shared" si="63"/>
        <v>2033</v>
      </c>
      <c r="P248" s="42">
        <f t="shared" si="63"/>
        <v>2034</v>
      </c>
      <c r="Q248" s="42">
        <f t="shared" si="63"/>
        <v>2035</v>
      </c>
      <c r="R248" s="42">
        <f t="shared" si="63"/>
        <v>2036</v>
      </c>
      <c r="S248" s="42">
        <f t="shared" si="63"/>
        <v>2037</v>
      </c>
      <c r="T248" s="42">
        <f t="shared" si="63"/>
        <v>2038</v>
      </c>
      <c r="U248" s="42">
        <f t="shared" si="63"/>
        <v>2039</v>
      </c>
      <c r="V248" s="42">
        <f t="shared" si="63"/>
        <v>2040</v>
      </c>
      <c r="W248" s="42" t="str">
        <f t="shared" si="63"/>
        <v/>
      </c>
      <c r="X248" s="42" t="str">
        <f t="shared" si="63"/>
        <v/>
      </c>
      <c r="Y248" s="42" t="str">
        <f t="shared" si="63"/>
        <v/>
      </c>
      <c r="Z248" s="42" t="str">
        <f t="shared" si="63"/>
        <v/>
      </c>
      <c r="AA248" s="42" t="str">
        <f t="shared" si="63"/>
        <v/>
      </c>
    </row>
    <row r="249" spans="2:27" x14ac:dyDescent="0.25">
      <c r="B249" s="43" t="s">
        <v>150</v>
      </c>
      <c r="C249" s="52">
        <f>IF(C248="","",C250*($C$255*$C$259*($C$303+$C$304*$C$305)/$C$263+$C$256*$C$260*($C$307+$C$308*$C$309)/$C$264+$C$257*$C$261*($C$299+$C$300*$C$301)/$C$265+$C$258*$C$262*($C$311+$C$312*$C$313)/$C$266)/100)</f>
        <v>5042.1753538893745</v>
      </c>
      <c r="D249" s="52">
        <f t="shared" ref="D249:AA249" si="64">IF(D248="","",D250*($C$255*$C$259*($C$303+$C$304*$C$305)/$C$263+$C$256*$C$260*($C$307+$C$308*$C$309)/$C$264+$C$257*$C$261*($C$299+$C$300*$C$301)/$C$265+$C$258*$C$262*($C$311+$C$312*$C$313)/$C$266)/100)</f>
        <v>5102.6814581360468</v>
      </c>
      <c r="E249" s="52">
        <f t="shared" si="64"/>
        <v>5163.9136356336794</v>
      </c>
      <c r="F249" s="52">
        <f t="shared" si="64"/>
        <v>5225.8805992612843</v>
      </c>
      <c r="G249" s="52">
        <f t="shared" si="64"/>
        <v>5288.5911664524201</v>
      </c>
      <c r="H249" s="52">
        <f t="shared" si="64"/>
        <v>5352.0542604498487</v>
      </c>
      <c r="I249" s="52">
        <f t="shared" si="64"/>
        <v>5416.2789115752475</v>
      </c>
      <c r="J249" s="52">
        <f t="shared" si="64"/>
        <v>5481.2742585141505</v>
      </c>
      <c r="K249" s="52">
        <f t="shared" si="64"/>
        <v>5547.0495496163203</v>
      </c>
      <c r="L249" s="52">
        <f t="shared" si="64"/>
        <v>5613.6141442117168</v>
      </c>
      <c r="M249" s="52">
        <f t="shared" si="64"/>
        <v>5680.9775139422572</v>
      </c>
      <c r="N249" s="52">
        <f t="shared" si="64"/>
        <v>5749.1492441095643</v>
      </c>
      <c r="O249" s="52">
        <f t="shared" si="64"/>
        <v>5818.1390350388792</v>
      </c>
      <c r="P249" s="52">
        <f t="shared" si="64"/>
        <v>5887.9567034593456</v>
      </c>
      <c r="Q249" s="52">
        <f t="shared" si="64"/>
        <v>5958.6121839008583</v>
      </c>
      <c r="R249" s="52">
        <f t="shared" si="64"/>
        <v>6030.1155301076687</v>
      </c>
      <c r="S249" s="52">
        <f t="shared" si="64"/>
        <v>6102.4769164689606</v>
      </c>
      <c r="T249" s="52">
        <f t="shared" si="64"/>
        <v>6175.7066394665881</v>
      </c>
      <c r="U249" s="52">
        <f t="shared" si="64"/>
        <v>6249.8151191401876</v>
      </c>
      <c r="V249" s="52">
        <f t="shared" si="64"/>
        <v>6324.8129005698693</v>
      </c>
      <c r="W249" s="52" t="str">
        <f t="shared" si="64"/>
        <v/>
      </c>
      <c r="X249" s="52" t="str">
        <f t="shared" si="64"/>
        <v/>
      </c>
      <c r="Y249" s="52" t="str">
        <f t="shared" si="64"/>
        <v/>
      </c>
      <c r="Z249" s="52" t="str">
        <f t="shared" si="64"/>
        <v/>
      </c>
      <c r="AA249" s="52" t="str">
        <f t="shared" si="64"/>
        <v/>
      </c>
    </row>
    <row r="250" spans="2:27" x14ac:dyDescent="0.25">
      <c r="B250" s="43" t="s">
        <v>88</v>
      </c>
      <c r="C250" s="52">
        <f>Hypothèses_projet!C12</f>
        <v>300000</v>
      </c>
      <c r="D250" s="52">
        <f>IF(D248="","",C250*(1+Hypothèses_projet!$C$14/100))</f>
        <v>303600</v>
      </c>
      <c r="E250" s="52">
        <f>IF(E248="","",D250*(1+Hypothèses_projet!$C$14/100))</f>
        <v>307243.2</v>
      </c>
      <c r="F250" s="52">
        <f>IF(F248="","",E250*(1+Hypothèses_projet!$C$14/100))</f>
        <v>310930.11840000004</v>
      </c>
      <c r="G250" s="52">
        <f>IF(G248="","",F250*(1+Hypothèses_projet!$C$14/100))</f>
        <v>314661.27982080006</v>
      </c>
      <c r="H250" s="52">
        <f>IF(H248="","",G250*(1+Hypothèses_projet!$C$14/100))</f>
        <v>318437.21517864964</v>
      </c>
      <c r="I250" s="52">
        <f>IF(I248="","",H250*(1+Hypothèses_projet!$C$14/100))</f>
        <v>322258.46176079346</v>
      </c>
      <c r="J250" s="52">
        <f>IF(J248="","",I250*(1+Hypothèses_projet!$C$14/100))</f>
        <v>326125.56330192299</v>
      </c>
      <c r="K250" s="52">
        <f>IF(K248="","",J250*(1+Hypothèses_projet!$C$14/100))</f>
        <v>330039.07006154605</v>
      </c>
      <c r="L250" s="52">
        <f>IF(L248="","",K250*(1+Hypothèses_projet!$C$14/100))</f>
        <v>333999.53890228464</v>
      </c>
      <c r="M250" s="52">
        <f>IF(M248="","",L250*(1+Hypothèses_projet!$C$14/100))</f>
        <v>338007.53336911206</v>
      </c>
      <c r="N250" s="52">
        <f>IF(N248="","",M250*(1+Hypothèses_projet!$C$14/100))</f>
        <v>342063.62376954139</v>
      </c>
      <c r="O250" s="52">
        <f>IF(O248="","",N250*(1+Hypothèses_projet!$C$14/100))</f>
        <v>346168.38725477591</v>
      </c>
      <c r="P250" s="52">
        <f>IF(P248="","",O250*(1+Hypothèses_projet!$C$14/100))</f>
        <v>350322.40790183324</v>
      </c>
      <c r="Q250" s="52">
        <f>IF(Q248="","",P250*(1+Hypothèses_projet!$C$14/100))</f>
        <v>354526.27679665526</v>
      </c>
      <c r="R250" s="52">
        <f>IF(R248="","",Q250*(1+Hypothèses_projet!$C$14/100))</f>
        <v>358780.59211821511</v>
      </c>
      <c r="S250" s="52">
        <f>IF(S248="","",R250*(1+Hypothèses_projet!$C$14/100))</f>
        <v>363085.95922363369</v>
      </c>
      <c r="T250" s="52">
        <f>IF(T248="","",S250*(1+Hypothèses_projet!$C$14/100))</f>
        <v>367442.99073431728</v>
      </c>
      <c r="U250" s="52">
        <f>IF(U248="","",T250*(1+Hypothèses_projet!$C$14/100))</f>
        <v>371852.30662312912</v>
      </c>
      <c r="V250" s="52">
        <f>IF(V248="","",U250*(1+Hypothèses_projet!$C$14/100))</f>
        <v>376314.53430260665</v>
      </c>
      <c r="W250" s="52" t="str">
        <f>IF(W248="","",V250*(1+Hypothèses_projet!$C$14/100))</f>
        <v/>
      </c>
      <c r="X250" s="52" t="str">
        <f>IF(X248="","",W250*(1+Hypothèses_projet!$C$14/100))</f>
        <v/>
      </c>
      <c r="Y250" s="52" t="str">
        <f>IF(Y248="","",X250*(1+Hypothèses_projet!$C$14/100))</f>
        <v/>
      </c>
      <c r="Z250" s="52" t="str">
        <f>IF(Z248="","",Y250*(1+Hypothèses_projet!$C$14/100))</f>
        <v/>
      </c>
      <c r="AA250" s="52" t="str">
        <f>IF(AA248="","",Z250*(1+Hypothèses_projet!$C$14/100))</f>
        <v/>
      </c>
    </row>
    <row r="251" spans="2:27" x14ac:dyDescent="0.25">
      <c r="B251" s="21"/>
      <c r="C251" s="14"/>
      <c r="D251" s="14"/>
      <c r="E251" s="14"/>
      <c r="F251" s="14"/>
      <c r="G251" s="14"/>
      <c r="H251" s="14"/>
      <c r="I251" s="14"/>
      <c r="J251" s="14"/>
      <c r="K251" s="14"/>
      <c r="L251" s="14"/>
    </row>
    <row r="252" spans="2:27" hidden="1" outlineLevel="1" x14ac:dyDescent="0.35">
      <c r="B252" s="3"/>
      <c r="C252" s="3" t="s">
        <v>19</v>
      </c>
      <c r="D252" s="31"/>
      <c r="E252" s="3" t="s">
        <v>4</v>
      </c>
      <c r="F252" s="31"/>
      <c r="G252" s="3"/>
      <c r="H252" s="31"/>
      <c r="I252" s="3" t="s">
        <v>83</v>
      </c>
      <c r="J252" s="14"/>
      <c r="K252" s="14"/>
      <c r="L252" s="14"/>
    </row>
    <row r="253" spans="2:27" hidden="1" outlineLevel="1" x14ac:dyDescent="0.25">
      <c r="B253" s="21"/>
      <c r="C253" s="14"/>
      <c r="D253" s="14"/>
      <c r="E253" s="14"/>
      <c r="F253" s="14"/>
      <c r="G253" s="14"/>
      <c r="H253" s="14"/>
      <c r="I253" s="14"/>
      <c r="J253" s="14"/>
      <c r="K253" s="14"/>
      <c r="L253" s="14"/>
    </row>
    <row r="254" spans="2:27" hidden="1" outlineLevel="1" x14ac:dyDescent="0.25">
      <c r="J254" s="14"/>
      <c r="K254" s="14"/>
      <c r="L254" s="14"/>
    </row>
    <row r="255" spans="2:27" hidden="1" outlineLevel="1" x14ac:dyDescent="0.25">
      <c r="B255" s="29" t="s">
        <v>298</v>
      </c>
      <c r="C255" s="58">
        <v>1.5</v>
      </c>
      <c r="D255" s="14"/>
      <c r="E255" s="14"/>
      <c r="F255" s="14"/>
      <c r="G255" s="14"/>
      <c r="H255" s="14"/>
      <c r="I255" s="37" t="s">
        <v>166</v>
      </c>
      <c r="J255" s="14"/>
      <c r="K255" s="14"/>
      <c r="L255" s="14"/>
    </row>
    <row r="256" spans="2:27" hidden="1" outlineLevel="1" x14ac:dyDescent="0.25">
      <c r="B256" s="29" t="s">
        <v>151</v>
      </c>
      <c r="C256" s="58">
        <v>2</v>
      </c>
      <c r="D256" s="14"/>
      <c r="E256" s="14"/>
      <c r="F256" s="14"/>
      <c r="G256" s="14"/>
      <c r="H256" s="14"/>
      <c r="I256" s="37" t="s">
        <v>166</v>
      </c>
      <c r="J256" s="14"/>
      <c r="K256" s="14"/>
      <c r="L256" s="14"/>
    </row>
    <row r="257" spans="2:12" hidden="1" outlineLevel="1" x14ac:dyDescent="0.25">
      <c r="B257" s="29" t="s">
        <v>152</v>
      </c>
      <c r="C257" s="58">
        <v>1</v>
      </c>
      <c r="D257" s="14"/>
      <c r="E257" s="14"/>
      <c r="F257" s="14"/>
      <c r="G257" s="14"/>
      <c r="H257" s="14"/>
      <c r="I257" s="37" t="s">
        <v>166</v>
      </c>
      <c r="J257" s="14"/>
      <c r="K257" s="14"/>
      <c r="L257" s="14"/>
    </row>
    <row r="258" spans="2:12" hidden="1" outlineLevel="1" x14ac:dyDescent="0.25">
      <c r="B258" s="29" t="s">
        <v>292</v>
      </c>
      <c r="C258" s="58">
        <v>0.5</v>
      </c>
      <c r="D258" s="14"/>
      <c r="E258" s="14"/>
      <c r="F258" s="14"/>
      <c r="G258" s="14"/>
      <c r="H258" s="14"/>
      <c r="I258" s="37" t="s">
        <v>166</v>
      </c>
      <c r="J258" s="14"/>
      <c r="K258" s="14"/>
      <c r="L258" s="14"/>
    </row>
    <row r="259" spans="2:12" hidden="1" outlineLevel="1" x14ac:dyDescent="0.25">
      <c r="B259" s="16" t="s">
        <v>473</v>
      </c>
      <c r="C259" s="26">
        <v>5</v>
      </c>
      <c r="E259" s="16" t="s">
        <v>1</v>
      </c>
      <c r="F259" s="16"/>
      <c r="G259" s="16"/>
      <c r="H259" s="16"/>
      <c r="I259" s="37" t="s">
        <v>166</v>
      </c>
      <c r="J259" s="14"/>
      <c r="K259" s="14"/>
      <c r="L259" s="14"/>
    </row>
    <row r="260" spans="2:12" hidden="1" outlineLevel="1" x14ac:dyDescent="0.25">
      <c r="B260" s="16" t="s">
        <v>474</v>
      </c>
      <c r="C260" s="26">
        <v>5</v>
      </c>
      <c r="E260" s="16" t="s">
        <v>1</v>
      </c>
      <c r="F260" s="16"/>
      <c r="G260" s="16"/>
      <c r="H260" s="16"/>
      <c r="I260" s="37" t="s">
        <v>166</v>
      </c>
      <c r="J260" s="16"/>
    </row>
    <row r="261" spans="2:12" hidden="1" outlineLevel="1" x14ac:dyDescent="0.25">
      <c r="B261" s="16" t="s">
        <v>475</v>
      </c>
      <c r="C261" s="53">
        <v>5</v>
      </c>
      <c r="D261" s="16"/>
      <c r="E261" s="16" t="s">
        <v>1</v>
      </c>
      <c r="F261" s="16"/>
      <c r="G261" s="16"/>
      <c r="H261" s="16"/>
      <c r="I261" s="37" t="s">
        <v>166</v>
      </c>
      <c r="J261" s="16"/>
    </row>
    <row r="262" spans="2:12" hidden="1" outlineLevel="1" x14ac:dyDescent="0.25">
      <c r="B262" s="16" t="s">
        <v>476</v>
      </c>
      <c r="C262" s="53">
        <v>5</v>
      </c>
      <c r="D262" s="16"/>
      <c r="E262" s="16" t="s">
        <v>1</v>
      </c>
      <c r="F262" s="16"/>
      <c r="G262" s="16"/>
      <c r="H262" s="16"/>
      <c r="I262" s="37" t="s">
        <v>166</v>
      </c>
    </row>
    <row r="263" spans="2:12" hidden="1" outlineLevel="1" x14ac:dyDescent="0.25">
      <c r="B263" s="16" t="s">
        <v>293</v>
      </c>
      <c r="C263" s="16">
        <v>4</v>
      </c>
      <c r="D263" s="16"/>
      <c r="E263" s="16" t="s">
        <v>43</v>
      </c>
      <c r="F263" s="16"/>
      <c r="G263" s="16"/>
      <c r="H263" s="16"/>
      <c r="I263" s="16"/>
    </row>
    <row r="264" spans="2:12" hidden="1" outlineLevel="1" x14ac:dyDescent="0.25">
      <c r="B264" s="16" t="s">
        <v>294</v>
      </c>
      <c r="C264" s="16">
        <v>2</v>
      </c>
      <c r="D264" s="16"/>
      <c r="E264" s="16" t="s">
        <v>43</v>
      </c>
      <c r="F264" s="16"/>
      <c r="G264" s="16"/>
      <c r="H264" s="16"/>
      <c r="I264" s="16"/>
    </row>
    <row r="265" spans="2:12" hidden="1" outlineLevel="1" x14ac:dyDescent="0.25">
      <c r="B265" s="16" t="s">
        <v>296</v>
      </c>
      <c r="C265" s="16">
        <v>6</v>
      </c>
      <c r="D265" s="16"/>
      <c r="E265" s="16" t="s">
        <v>43</v>
      </c>
      <c r="F265" s="16"/>
      <c r="G265" s="16"/>
      <c r="H265" s="16"/>
      <c r="I265" s="16"/>
    </row>
    <row r="266" spans="2:12" hidden="1" outlineLevel="1" x14ac:dyDescent="0.35">
      <c r="B266" s="16" t="s">
        <v>295</v>
      </c>
      <c r="C266" s="16">
        <v>4</v>
      </c>
      <c r="E266" s="16" t="s">
        <v>43</v>
      </c>
      <c r="F266" s="16"/>
      <c r="G266" s="16"/>
      <c r="H266" s="16"/>
      <c r="I266" s="10" t="s">
        <v>297</v>
      </c>
    </row>
    <row r="267" spans="2:12" hidden="1" outlineLevel="1" x14ac:dyDescent="0.25">
      <c r="C267" s="16"/>
      <c r="D267" s="16"/>
      <c r="E267" s="16"/>
      <c r="F267" s="16"/>
      <c r="G267" s="16"/>
    </row>
    <row r="268" spans="2:12" collapsed="1" x14ac:dyDescent="0.25">
      <c r="C268" s="16"/>
      <c r="D268" s="16"/>
      <c r="E268" s="16"/>
      <c r="F268" s="16"/>
      <c r="G268" s="16"/>
    </row>
    <row r="269" spans="2:12" ht="21.75" x14ac:dyDescent="0.25">
      <c r="B269" s="17" t="s">
        <v>67</v>
      </c>
      <c r="C269" s="17"/>
      <c r="D269" s="17"/>
      <c r="E269" s="17"/>
      <c r="F269" s="17"/>
      <c r="G269" s="16"/>
    </row>
    <row r="270" spans="2:12" x14ac:dyDescent="0.25">
      <c r="C270" s="16"/>
      <c r="D270" s="16"/>
      <c r="E270" s="16"/>
      <c r="F270" s="16"/>
      <c r="G270" s="16"/>
    </row>
    <row r="271" spans="2:12" x14ac:dyDescent="0.25">
      <c r="B271" s="15" t="s">
        <v>364</v>
      </c>
      <c r="C271" s="16"/>
      <c r="D271" s="16"/>
      <c r="E271" s="16"/>
      <c r="F271" s="16"/>
      <c r="G271" s="16"/>
    </row>
    <row r="272" spans="2:12" x14ac:dyDescent="0.25">
      <c r="B272" s="37" t="s">
        <v>394</v>
      </c>
      <c r="C272" s="16"/>
      <c r="D272" s="16"/>
      <c r="E272" s="16"/>
      <c r="F272" s="16"/>
      <c r="G272" s="16"/>
    </row>
    <row r="273" spans="2:9" x14ac:dyDescent="0.25">
      <c r="B273" s="16" t="s">
        <v>395</v>
      </c>
      <c r="C273" s="16"/>
      <c r="D273" s="16"/>
      <c r="E273" s="16"/>
      <c r="F273" s="16"/>
      <c r="G273" s="16"/>
    </row>
    <row r="274" spans="2:9" x14ac:dyDescent="0.25">
      <c r="B274" s="16"/>
      <c r="C274" s="16"/>
      <c r="D274" s="16"/>
      <c r="E274" s="16"/>
      <c r="F274" s="16"/>
      <c r="G274" s="16"/>
    </row>
    <row r="276" spans="2:9" ht="21.75" x14ac:dyDescent="0.25">
      <c r="B276" s="68" t="s">
        <v>81</v>
      </c>
      <c r="C276" s="68"/>
      <c r="D276" s="68"/>
      <c r="E276" s="68"/>
      <c r="F276" s="68"/>
    </row>
    <row r="278" spans="2:9" hidden="1" outlineLevel="1" x14ac:dyDescent="0.25">
      <c r="B278" s="15" t="s">
        <v>373</v>
      </c>
      <c r="C278" s="49">
        <v>231</v>
      </c>
      <c r="E278" s="15" t="s">
        <v>159</v>
      </c>
      <c r="I278" s="15" t="s">
        <v>158</v>
      </c>
    </row>
    <row r="279" spans="2:9" hidden="1" outlineLevel="1" x14ac:dyDescent="0.25">
      <c r="C279" s="48"/>
    </row>
    <row r="280" spans="2:9" hidden="1" outlineLevel="1" x14ac:dyDescent="0.25">
      <c r="B280" s="15" t="s">
        <v>351</v>
      </c>
      <c r="C280" s="55">
        <v>0.153</v>
      </c>
      <c r="E280" s="15" t="s">
        <v>140</v>
      </c>
      <c r="I280" s="15" t="s">
        <v>350</v>
      </c>
    </row>
    <row r="281" spans="2:9" hidden="1" outlineLevel="1" x14ac:dyDescent="0.25">
      <c r="B281" s="15" t="s">
        <v>352</v>
      </c>
      <c r="C281" s="55">
        <v>0.13</v>
      </c>
      <c r="E281" s="15" t="s">
        <v>140</v>
      </c>
      <c r="I281" s="15" t="s">
        <v>350</v>
      </c>
    </row>
    <row r="282" spans="2:9" hidden="1" outlineLevel="1" x14ac:dyDescent="0.25">
      <c r="B282" s="15" t="s">
        <v>353</v>
      </c>
      <c r="C282" s="55">
        <v>0.18</v>
      </c>
      <c r="E282" s="15" t="s">
        <v>140</v>
      </c>
      <c r="I282" s="15" t="s">
        <v>350</v>
      </c>
    </row>
    <row r="283" spans="2:9" hidden="1" outlineLevel="1" x14ac:dyDescent="0.25">
      <c r="B283" s="15" t="s">
        <v>354</v>
      </c>
      <c r="C283" s="55">
        <v>0.153</v>
      </c>
      <c r="E283" s="15" t="s">
        <v>140</v>
      </c>
      <c r="I283" s="15" t="s">
        <v>350</v>
      </c>
    </row>
    <row r="284" spans="2:9" hidden="1" outlineLevel="1" x14ac:dyDescent="0.25">
      <c r="B284" s="15" t="s">
        <v>142</v>
      </c>
      <c r="C284" s="55">
        <v>2.2222222222222223E-2</v>
      </c>
      <c r="E284" s="15" t="s">
        <v>140</v>
      </c>
    </row>
    <row r="285" spans="2:9" hidden="1" outlineLevel="1" x14ac:dyDescent="0.25">
      <c r="B285" s="33" t="s">
        <v>366</v>
      </c>
      <c r="C285" s="61">
        <v>1.6</v>
      </c>
      <c r="D285" s="33"/>
      <c r="E285" s="33" t="s">
        <v>144</v>
      </c>
      <c r="F285" s="33"/>
      <c r="G285" s="33"/>
      <c r="H285" s="33"/>
      <c r="I285" s="33" t="s">
        <v>227</v>
      </c>
    </row>
    <row r="286" spans="2:9" hidden="1" outlineLevel="1" x14ac:dyDescent="0.25">
      <c r="B286" s="15" t="s">
        <v>145</v>
      </c>
      <c r="C286" s="55">
        <v>3.6</v>
      </c>
      <c r="E286" s="15" t="s">
        <v>143</v>
      </c>
    </row>
    <row r="287" spans="2:9" hidden="1" outlineLevel="1" x14ac:dyDescent="0.25">
      <c r="B287" s="15" t="s">
        <v>146</v>
      </c>
      <c r="C287" s="55">
        <v>0.29523960132890364</v>
      </c>
      <c r="E287" s="15" t="s">
        <v>141</v>
      </c>
    </row>
    <row r="288" spans="2:9" hidden="1" outlineLevel="1" x14ac:dyDescent="0.25">
      <c r="C288" s="55"/>
    </row>
    <row r="289" spans="2:9" hidden="1" outlineLevel="1" x14ac:dyDescent="0.25">
      <c r="C289" s="55"/>
    </row>
    <row r="290" spans="2:9" hidden="1" outlineLevel="1" x14ac:dyDescent="0.25">
      <c r="B290" s="15" t="s">
        <v>344</v>
      </c>
      <c r="C290" s="55">
        <v>3.5999999999999997E-2</v>
      </c>
      <c r="E290" s="15" t="s">
        <v>140</v>
      </c>
      <c r="I290" s="15" t="s">
        <v>347</v>
      </c>
    </row>
    <row r="291" spans="2:9" hidden="1" outlineLevel="1" x14ac:dyDescent="0.25">
      <c r="B291" s="15" t="s">
        <v>345</v>
      </c>
      <c r="C291" s="55">
        <v>3.5999999999999997E-2</v>
      </c>
      <c r="E291" s="15" t="s">
        <v>140</v>
      </c>
      <c r="I291" s="15" t="s">
        <v>348</v>
      </c>
    </row>
    <row r="292" spans="2:9" hidden="1" outlineLevel="1" x14ac:dyDescent="0.25">
      <c r="B292" s="15" t="s">
        <v>346</v>
      </c>
      <c r="C292" s="55">
        <v>6.9000000000000006E-2</v>
      </c>
      <c r="E292" s="15" t="s">
        <v>140</v>
      </c>
      <c r="I292" s="15" t="s">
        <v>349</v>
      </c>
    </row>
    <row r="293" spans="2:9" hidden="1" outlineLevel="1" x14ac:dyDescent="0.25">
      <c r="B293" s="15" t="s">
        <v>343</v>
      </c>
      <c r="C293" s="55">
        <v>3.5999999999999997E-2</v>
      </c>
      <c r="E293" s="15" t="s">
        <v>140</v>
      </c>
      <c r="I293" s="15" t="s">
        <v>349</v>
      </c>
    </row>
    <row r="294" spans="2:9" hidden="1" outlineLevel="1" x14ac:dyDescent="0.25">
      <c r="B294" s="15" t="s">
        <v>142</v>
      </c>
      <c r="C294" s="55">
        <v>3.0000000000000001E-3</v>
      </c>
      <c r="E294" s="15" t="s">
        <v>140</v>
      </c>
    </row>
    <row r="295" spans="2:9" hidden="1" outlineLevel="1" x14ac:dyDescent="0.25">
      <c r="B295" s="33" t="s">
        <v>365</v>
      </c>
      <c r="C295" s="61">
        <v>0.4</v>
      </c>
      <c r="D295" s="33"/>
      <c r="E295" s="33" t="s">
        <v>144</v>
      </c>
      <c r="F295" s="33"/>
      <c r="G295" s="33"/>
      <c r="H295" s="33"/>
      <c r="I295" s="33" t="s">
        <v>227</v>
      </c>
    </row>
    <row r="296" spans="2:9" hidden="1" outlineLevel="1" x14ac:dyDescent="0.25">
      <c r="B296" s="15" t="s">
        <v>145</v>
      </c>
      <c r="C296" s="55">
        <v>3.6</v>
      </c>
      <c r="E296" s="15" t="s">
        <v>143</v>
      </c>
    </row>
    <row r="297" spans="2:9" hidden="1" outlineLevel="1" x14ac:dyDescent="0.25">
      <c r="B297" s="15" t="s">
        <v>146</v>
      </c>
      <c r="C297" s="55">
        <v>0.29523960132890364</v>
      </c>
      <c r="E297" s="15" t="s">
        <v>141</v>
      </c>
    </row>
    <row r="298" spans="2:9" hidden="1" outlineLevel="1" x14ac:dyDescent="0.25"/>
    <row r="299" spans="2:9" ht="18.75" hidden="1" outlineLevel="1" x14ac:dyDescent="0.35">
      <c r="B299" s="4" t="s">
        <v>100</v>
      </c>
      <c r="C299" s="5">
        <f>441/1000</f>
        <v>0.441</v>
      </c>
      <c r="D299" s="1"/>
      <c r="E299" s="2" t="s">
        <v>183</v>
      </c>
      <c r="F299" s="7"/>
      <c r="I299" s="6" t="s">
        <v>184</v>
      </c>
    </row>
    <row r="300" spans="2:9" ht="18.75" hidden="1" outlineLevel="1" x14ac:dyDescent="0.35">
      <c r="B300" s="4" t="s">
        <v>36</v>
      </c>
      <c r="C300" s="8">
        <f>(21.3538+8.9864)/2000</f>
        <v>1.5170099999999999E-2</v>
      </c>
      <c r="D300" s="1"/>
      <c r="E300" s="2" t="s">
        <v>37</v>
      </c>
      <c r="F300" s="9"/>
      <c r="I300" s="12" t="s">
        <v>38</v>
      </c>
    </row>
    <row r="301" spans="2:9" hidden="1" outlineLevel="1" x14ac:dyDescent="0.35">
      <c r="B301" s="4" t="s">
        <v>46</v>
      </c>
      <c r="C301" s="2">
        <f>10/1000</f>
        <v>0.01</v>
      </c>
      <c r="D301" s="1"/>
      <c r="E301" s="2" t="s">
        <v>40</v>
      </c>
      <c r="F301" s="9"/>
      <c r="I301" s="54" t="s">
        <v>47</v>
      </c>
    </row>
    <row r="302" spans="2:9" hidden="1" outlineLevel="1" x14ac:dyDescent="0.35">
      <c r="B302" s="7"/>
      <c r="C302" s="2"/>
      <c r="D302" s="1"/>
      <c r="E302" s="2"/>
      <c r="F302" s="9"/>
      <c r="I302" s="54"/>
    </row>
    <row r="303" spans="2:9" hidden="1" outlineLevel="1" x14ac:dyDescent="0.35">
      <c r="B303" s="4" t="s">
        <v>101</v>
      </c>
      <c r="C303" s="11">
        <f>0.514</f>
        <v>0.51400000000000001</v>
      </c>
      <c r="D303" s="1"/>
      <c r="E303" s="2" t="s">
        <v>185</v>
      </c>
      <c r="F303" s="7"/>
      <c r="I303" s="6" t="s">
        <v>184</v>
      </c>
    </row>
    <row r="304" spans="2:9" ht="18.75" hidden="1" outlineLevel="1" x14ac:dyDescent="0.35">
      <c r="B304" s="4" t="s">
        <v>48</v>
      </c>
      <c r="C304" s="8">
        <f>(21.3538+8.9864)/2000</f>
        <v>1.5170099999999999E-2</v>
      </c>
      <c r="D304" s="1"/>
      <c r="E304" s="2" t="s">
        <v>37</v>
      </c>
      <c r="F304" s="9"/>
      <c r="I304" s="12" t="s">
        <v>38</v>
      </c>
    </row>
    <row r="305" spans="2:9" hidden="1" outlineLevel="1" x14ac:dyDescent="0.35">
      <c r="B305" s="4" t="s">
        <v>49</v>
      </c>
      <c r="C305" s="2">
        <f>3/1000</f>
        <v>3.0000000000000001E-3</v>
      </c>
      <c r="D305" s="1"/>
      <c r="E305" s="2" t="s">
        <v>50</v>
      </c>
      <c r="F305" s="9"/>
      <c r="I305" s="12" t="s">
        <v>51</v>
      </c>
    </row>
    <row r="306" spans="2:9" hidden="1" outlineLevel="1" x14ac:dyDescent="0.35">
      <c r="B306" s="7"/>
      <c r="C306" s="2"/>
      <c r="D306" s="1"/>
      <c r="E306" s="2"/>
      <c r="F306" s="9"/>
      <c r="I306" s="54"/>
    </row>
    <row r="307" spans="2:9" hidden="1" outlineLevel="1" x14ac:dyDescent="0.35">
      <c r="B307" s="4" t="s">
        <v>102</v>
      </c>
      <c r="C307" s="5">
        <f>61.1/1000</f>
        <v>6.1100000000000002E-2</v>
      </c>
      <c r="D307" s="1"/>
      <c r="E307" s="2" t="s">
        <v>185</v>
      </c>
      <c r="F307" s="9"/>
      <c r="I307" s="6" t="s">
        <v>184</v>
      </c>
    </row>
    <row r="308" spans="2:9" ht="18.75" hidden="1" outlineLevel="1" x14ac:dyDescent="0.35">
      <c r="B308" s="4" t="s">
        <v>36</v>
      </c>
      <c r="C308" s="8">
        <f>(21.3538+8.9864)/2000</f>
        <v>1.5170099999999999E-2</v>
      </c>
      <c r="D308" s="1"/>
      <c r="E308" s="2" t="s">
        <v>37</v>
      </c>
      <c r="F308" s="9"/>
      <c r="I308" s="12" t="s">
        <v>38</v>
      </c>
    </row>
    <row r="309" spans="2:9" hidden="1" outlineLevel="1" x14ac:dyDescent="0.35">
      <c r="B309" s="4" t="s">
        <v>55</v>
      </c>
      <c r="C309" s="5">
        <f>0.12/1000</f>
        <v>1.1999999999999999E-4</v>
      </c>
      <c r="D309" s="1"/>
      <c r="E309" s="2" t="s">
        <v>50</v>
      </c>
      <c r="F309" s="9"/>
      <c r="I309" s="12" t="s">
        <v>51</v>
      </c>
    </row>
    <row r="310" spans="2:9" hidden="1" outlineLevel="1" x14ac:dyDescent="0.25">
      <c r="B310" s="7"/>
      <c r="C310" s="7"/>
      <c r="D310" s="7"/>
      <c r="E310" s="7"/>
      <c r="F310" s="7"/>
      <c r="I310" s="6"/>
    </row>
    <row r="311" spans="2:9" ht="18.75" hidden="1" outlineLevel="1" x14ac:dyDescent="0.35">
      <c r="B311" s="4" t="s">
        <v>52</v>
      </c>
      <c r="C311" s="5">
        <f>70/1000</f>
        <v>7.0000000000000007E-2</v>
      </c>
      <c r="D311" s="1"/>
      <c r="E311" s="2" t="s">
        <v>34</v>
      </c>
      <c r="F311" s="1"/>
      <c r="I311" s="32" t="s">
        <v>35</v>
      </c>
    </row>
    <row r="312" spans="2:9" ht="18.75" hidden="1" outlineLevel="1" x14ac:dyDescent="0.35">
      <c r="B312" s="11" t="s">
        <v>36</v>
      </c>
      <c r="C312" s="8">
        <f>(21.3538+8.9864)/2000</f>
        <v>1.5170099999999999E-2</v>
      </c>
      <c r="D312" s="1"/>
      <c r="E312" s="2" t="s">
        <v>37</v>
      </c>
      <c r="F312" s="9"/>
      <c r="I312" s="12" t="s">
        <v>38</v>
      </c>
    </row>
    <row r="313" spans="2:9" hidden="1" outlineLevel="1" x14ac:dyDescent="0.35">
      <c r="B313" s="11" t="s">
        <v>53</v>
      </c>
      <c r="C313" s="5">
        <f>0.45/1000</f>
        <v>4.4999999999999999E-4</v>
      </c>
      <c r="D313" s="1"/>
      <c r="E313" s="2" t="s">
        <v>50</v>
      </c>
      <c r="F313" s="9"/>
      <c r="I313" s="12" t="s">
        <v>51</v>
      </c>
    </row>
    <row r="314" spans="2:9" hidden="1" outlineLevel="1" x14ac:dyDescent="0.25"/>
    <row r="315" spans="2:9" collapsed="1" x14ac:dyDescent="0.25"/>
  </sheetData>
  <dataConsolidate/>
  <mergeCells count="15">
    <mergeCell ref="C213:F213"/>
    <mergeCell ref="C214:F214"/>
    <mergeCell ref="C244:I245"/>
    <mergeCell ref="C169:F169"/>
    <mergeCell ref="C38:F39"/>
    <mergeCell ref="C112:F115"/>
    <mergeCell ref="C40:F42"/>
    <mergeCell ref="C44:F44"/>
    <mergeCell ref="C120:F120"/>
    <mergeCell ref="C168:F168"/>
    <mergeCell ref="I194:L196"/>
    <mergeCell ref="C117:F119"/>
    <mergeCell ref="C170:F170"/>
    <mergeCell ref="I185:K185"/>
    <mergeCell ref="I139:M141"/>
  </mergeCells>
  <hyperlinks>
    <hyperlink ref="I266" r:id="rId1" display="https://fr.statista.com/statistiques/1014054/distribution-obsolescence-technologique-tablettes-france/"/>
    <hyperlink ref="I301" r:id="rId2"/>
    <hyperlink ref="I300" r:id="rId3"/>
    <hyperlink ref="I305" r:id="rId4"/>
    <hyperlink ref="I304" r:id="rId5"/>
    <hyperlink ref="I309" r:id="rId6"/>
    <hyperlink ref="I308" r:id="rId7"/>
    <hyperlink ref="I311" r:id="rId8"/>
    <hyperlink ref="I313" r:id="rId9"/>
    <hyperlink ref="I312" r:id="rId10"/>
    <hyperlink ref="I70" r:id="rId11"/>
    <hyperlink ref="I71" r:id="rId12" display="https://web.archive.org/web/20140715001906/http:/app.lta.gov.sg/ltaacademy/doc/J11Nov-p60PassengerTransportModeShares.pdf"/>
    <hyperlink ref="I90" r:id="rId13" display="https://en.wikipedia.org/wiki/Modal_share"/>
    <hyperlink ref="I80" r:id="rId14" display="https://www.urbanafrica.net/wp-content/uploads/2016/06/Mobility_ENG.pdf"/>
    <hyperlink ref="I100" r:id="rId15" display="https://en.wikipedia.org/wiki/Modal_share"/>
  </hyperlinks>
  <pageMargins left="0.7" right="0.7" top="0.75" bottom="0.75" header="0.3" footer="0.3"/>
  <pageSetup paperSize="9" orientation="portrait" horizontalDpi="300" verticalDpi="0" r:id="rId16"/>
  <extLst>
    <ext xmlns:x14="http://schemas.microsoft.com/office/spreadsheetml/2009/9/main" uri="{CCE6A557-97BC-4b89-ADB6-D9C93CAAB3DF}">
      <x14:dataValidations xmlns:xm="http://schemas.microsoft.com/office/excel/2006/main" count="2">
        <x14:dataValidation type="list" allowBlank="1" showInputMessage="1" showErrorMessage="1">
          <x14:formula1>
            <xm:f>'Resultats généraux'!$N$2:$N$5</xm:f>
          </x14:formula1>
          <xm:sqref>C17</xm:sqref>
        </x14:dataValidation>
        <x14:dataValidation type="list" allowBlank="1" showInputMessage="1" showErrorMessage="1">
          <x14:formula1>
            <xm:f>FE_par_pays!$A$8:$A$242</xm:f>
          </x14:formula1>
          <xm:sqref>C15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3:AB258"/>
  <sheetViews>
    <sheetView showGridLines="0" zoomScaleNormal="100" workbookViewId="0"/>
  </sheetViews>
  <sheetFormatPr baseColWidth="10" defaultColWidth="8.85546875" defaultRowHeight="15" outlineLevelRow="1" x14ac:dyDescent="0.25"/>
  <cols>
    <col min="1" max="1" width="8.85546875" style="193"/>
    <col min="2" max="2" width="65.28515625" style="193" customWidth="1"/>
    <col min="3" max="3" width="37" style="193" customWidth="1"/>
    <col min="4" max="4" width="14.140625" style="193" customWidth="1"/>
    <col min="5" max="5" width="11.140625" style="193" customWidth="1"/>
    <col min="6" max="7" width="12.85546875" style="193" customWidth="1"/>
    <col min="8" max="8" width="12.42578125" style="193" customWidth="1"/>
    <col min="9" max="9" width="13.5703125" style="193" customWidth="1"/>
    <col min="10" max="10" width="13.42578125" style="193" customWidth="1"/>
    <col min="11" max="11" width="13.85546875" style="193" customWidth="1"/>
    <col min="12" max="12" width="14.85546875" style="193" customWidth="1"/>
    <col min="13" max="13" width="14.140625" style="193" customWidth="1"/>
    <col min="14" max="14" width="12.5703125" style="193" customWidth="1"/>
    <col min="15" max="15" width="15" style="193" customWidth="1"/>
    <col min="16" max="22" width="9.85546875" style="193" bestFit="1" customWidth="1"/>
    <col min="23" max="23" width="9" style="193" bestFit="1" customWidth="1"/>
    <col min="24" max="24" width="11.5703125" style="193" customWidth="1"/>
    <col min="25" max="25" width="10.5703125" style="193" customWidth="1"/>
    <col min="26" max="27" width="9" style="193" bestFit="1" customWidth="1"/>
    <col min="28" max="16384" width="8.85546875" style="193"/>
  </cols>
  <sheetData>
    <row r="3" spans="2:28" x14ac:dyDescent="0.25">
      <c r="B3" s="146" t="s">
        <v>323</v>
      </c>
      <c r="C3" s="391" t="s">
        <v>201</v>
      </c>
      <c r="D3" s="391" t="s">
        <v>322</v>
      </c>
      <c r="E3" s="146"/>
      <c r="F3" s="146"/>
      <c r="G3" s="146"/>
      <c r="H3" s="146"/>
      <c r="I3" s="146"/>
      <c r="J3" s="146"/>
      <c r="K3" s="146"/>
      <c r="L3" s="146"/>
      <c r="M3" s="146"/>
    </row>
    <row r="4" spans="2:28" x14ac:dyDescent="0.25">
      <c r="B4" s="146"/>
      <c r="C4" s="391"/>
      <c r="D4" s="220">
        <f>Hypothèses_projet!$C$3</f>
        <v>2021</v>
      </c>
      <c r="E4" s="146">
        <f>IF(Hypothèses_projet!$C$6&lt;=D4,"",D4+1)</f>
        <v>2022</v>
      </c>
      <c r="F4" s="146">
        <f>IF(Hypothèses_projet!$C$6&lt;=E4,"",E4+1)</f>
        <v>2023</v>
      </c>
      <c r="G4" s="146">
        <f>IF(Hypothèses_projet!$C$6&lt;=F4,"",F4+1)</f>
        <v>2024</v>
      </c>
      <c r="H4" s="146">
        <f>IF(Hypothèses_projet!$C$6&lt;=G4,"",G4+1)</f>
        <v>2025</v>
      </c>
      <c r="I4" s="146">
        <f>IF(Hypothèses_projet!$C$6&lt;=H4,"",H4+1)</f>
        <v>2026</v>
      </c>
      <c r="J4" s="146">
        <f>IF(Hypothèses_projet!$C$6&lt;=I4,"",I4+1)</f>
        <v>2027</v>
      </c>
      <c r="K4" s="146">
        <f>IF(Hypothèses_projet!$C$6&lt;=J4,"",J4+1)</f>
        <v>2028</v>
      </c>
      <c r="L4" s="146">
        <f>IF(Hypothèses_projet!$C$6&lt;=K4,"",K4+1)</f>
        <v>2029</v>
      </c>
      <c r="M4" s="146">
        <f>IF(Hypothèses_projet!$C$6&lt;=L4,"",L4+1)</f>
        <v>2030</v>
      </c>
      <c r="N4" s="146">
        <f>IF(Hypothèses_projet!$C$6&lt;=M4,"",M4+1)</f>
        <v>2031</v>
      </c>
      <c r="O4" s="146">
        <f>IF(Hypothèses_projet!$C$6&lt;=N4,"",N4+1)</f>
        <v>2032</v>
      </c>
      <c r="P4" s="146">
        <f>IF(Hypothèses_projet!$C$6&lt;=O4,"",O4+1)</f>
        <v>2033</v>
      </c>
      <c r="Q4" s="146">
        <f>IF(Hypothèses_projet!$C$6&lt;=P4,"",P4+1)</f>
        <v>2034</v>
      </c>
      <c r="R4" s="146">
        <f>IF(Hypothèses_projet!$C$6&lt;=Q4,"",Q4+1)</f>
        <v>2035</v>
      </c>
      <c r="S4" s="146">
        <f>IF(Hypothèses_projet!$C$6&lt;=R4,"",R4+1)</f>
        <v>2036</v>
      </c>
      <c r="T4" s="146">
        <f>IF(Hypothèses_projet!$C$6&lt;=S4,"",S4+1)</f>
        <v>2037</v>
      </c>
      <c r="U4" s="146">
        <f>IF(Hypothèses_projet!$C$6&lt;=T4,"",T4+1)</f>
        <v>2038</v>
      </c>
      <c r="V4" s="146">
        <f>IF(Hypothèses_projet!$C$6&lt;=U4,"",U4+1)</f>
        <v>2039</v>
      </c>
      <c r="W4" s="146">
        <f>IF(Hypothèses_projet!$C$6&lt;=V4,"",V4+1)</f>
        <v>2040</v>
      </c>
      <c r="X4" s="146" t="str">
        <f>IF(Hypothèses_projet!$C$6&lt;=W4,"",W4+1)</f>
        <v/>
      </c>
      <c r="Y4" s="146" t="str">
        <f>IF(Hypothèses_projet!$C$6&lt;=X4,"",X4+1)</f>
        <v/>
      </c>
      <c r="Z4" s="146" t="str">
        <f>IF(Hypothèses_projet!$C$6&lt;=Y4,"",Y4+1)</f>
        <v/>
      </c>
      <c r="AA4" s="146" t="str">
        <f>IF(Hypothèses_projet!$C$6&lt;=Z4,"",Z4+1)</f>
        <v/>
      </c>
      <c r="AB4" s="146" t="str">
        <f>IF(Hypothèses_projet!$C$6&lt;=AA4,"",AA4+1)</f>
        <v/>
      </c>
    </row>
    <row r="5" spans="2:28" x14ac:dyDescent="0.25">
      <c r="B5" s="204" t="str">
        <f>'Resultats généraux'!A39</f>
        <v>OUI</v>
      </c>
      <c r="C5" s="205" t="s">
        <v>302</v>
      </c>
      <c r="D5" s="206">
        <f ca="1">IF(D4="","",IF($B5="OUI",SUM(D8:D12),0))</f>
        <v>3384.6799997993635</v>
      </c>
      <c r="E5" s="206">
        <f t="shared" ref="E5:AB5" ca="1" si="0">IF(E4="","",IF($B5="OUI",SUM(E8:E12),0))</f>
        <v>110.41890121695994</v>
      </c>
      <c r="F5" s="206">
        <f t="shared" ca="1" si="0"/>
        <v>223.2338573127239</v>
      </c>
      <c r="G5" s="206">
        <f t="shared" ca="1" si="0"/>
        <v>338.48647328260984</v>
      </c>
      <c r="H5" s="206">
        <f t="shared" ca="1" si="0"/>
        <v>456.21900760991434</v>
      </c>
      <c r="I5" s="206">
        <f t="shared" ca="1" si="0"/>
        <v>576.4743819585168</v>
      </c>
      <c r="J5" s="206">
        <f t="shared" ca="1" si="0"/>
        <v>699.29619100398941</v>
      </c>
      <c r="K5" s="206">
        <f t="shared" ca="1" si="0"/>
        <v>824.72871240514633</v>
      </c>
      <c r="L5" s="206">
        <f t="shared" ca="1" si="0"/>
        <v>952.81691691802348</v>
      </c>
      <c r="M5" s="206">
        <f t="shared" ca="1" si="0"/>
        <v>1083.6064786542224</v>
      </c>
      <c r="N5" s="206">
        <f t="shared" ca="1" si="0"/>
        <v>1217.143785485647</v>
      </c>
      <c r="O5" s="206">
        <f t="shared" ca="1" si="0"/>
        <v>1353.4759495977019</v>
      </c>
      <c r="P5" s="206">
        <f t="shared" ca="1" si="0"/>
        <v>1492.6508181929262</v>
      </c>
      <c r="Q5" s="206">
        <f t="shared" ca="1" si="0"/>
        <v>1634.7169843472952</v>
      </c>
      <c r="R5" s="206">
        <f t="shared" ca="1" si="0"/>
        <v>1779.7237980211439</v>
      </c>
      <c r="S5" s="206">
        <f t="shared" ca="1" si="0"/>
        <v>1927.7213772270138</v>
      </c>
      <c r="T5" s="206">
        <f t="shared" ca="1" si="0"/>
        <v>2078.760619356508</v>
      </c>
      <c r="U5" s="206">
        <f t="shared" ca="1" si="0"/>
        <v>2232.8932126683867</v>
      </c>
      <c r="V5" s="206">
        <f t="shared" ca="1" si="0"/>
        <v>2390.1716479401621</v>
      </c>
      <c r="W5" s="206">
        <f t="shared" ca="1" si="0"/>
        <v>2661.2781903218183</v>
      </c>
      <c r="X5" s="206" t="str">
        <f t="shared" si="0"/>
        <v/>
      </c>
      <c r="Y5" s="206" t="str">
        <f t="shared" si="0"/>
        <v/>
      </c>
      <c r="Z5" s="206" t="str">
        <f t="shared" si="0"/>
        <v/>
      </c>
      <c r="AA5" s="206" t="str">
        <f t="shared" si="0"/>
        <v/>
      </c>
      <c r="AB5" s="206" t="str">
        <f t="shared" si="0"/>
        <v/>
      </c>
    </row>
    <row r="6" spans="2:28" x14ac:dyDescent="0.25">
      <c r="B6" s="146"/>
      <c r="C6" s="146"/>
      <c r="D6" s="146"/>
      <c r="E6" s="146"/>
      <c r="F6" s="146"/>
      <c r="G6" s="146"/>
      <c r="H6" s="146"/>
      <c r="I6" s="146"/>
      <c r="J6" s="146"/>
      <c r="K6" s="146"/>
      <c r="L6" s="146"/>
      <c r="M6" s="146"/>
    </row>
    <row r="7" spans="2:28" x14ac:dyDescent="0.25">
      <c r="B7" s="207" t="s">
        <v>1310</v>
      </c>
      <c r="C7" s="146"/>
      <c r="D7" s="146"/>
      <c r="E7" s="146"/>
      <c r="F7" s="146"/>
      <c r="G7" s="146"/>
      <c r="H7" s="146"/>
      <c r="I7" s="146"/>
      <c r="J7" s="146"/>
      <c r="K7" s="146"/>
      <c r="L7" s="146"/>
      <c r="M7" s="146"/>
    </row>
    <row r="8" spans="2:28" ht="30" x14ac:dyDescent="0.25">
      <c r="B8" s="204" t="str">
        <f>'Resultats généraux'!A42</f>
        <v>OUI</v>
      </c>
      <c r="C8" s="392" t="str">
        <f>'Fibre optique'!$B$25</f>
        <v>Remplacer l'usage de la 3G/4G par le wifi sur fibre optique</v>
      </c>
      <c r="D8" s="360">
        <f ca="1">IF($B8="OUI",'Fibre optique'!C34,0)</f>
        <v>0</v>
      </c>
      <c r="E8" s="360">
        <f ca="1">IF($B8="OUI",'Fibre optique'!D34,0)</f>
        <v>-309.91393976843972</v>
      </c>
      <c r="F8" s="360">
        <f ca="1">IF($B8="OUI",'Fibre optique'!E34,0)</f>
        <v>-626.55291301581462</v>
      </c>
      <c r="G8" s="360">
        <f ca="1">IF($B8="OUI",'Fibre optique'!F34,0)</f>
        <v>-950.03369293829451</v>
      </c>
      <c r="H8" s="360">
        <f ca="1">IF($B8="OUI",'Fibre optique'!G34,0)</f>
        <v>-1280.4748868839351</v>
      </c>
      <c r="I8" s="360">
        <f ca="1">IF($B8="OUI",'Fibre optique'!H34,0)</f>
        <v>-1617.9969635569819</v>
      </c>
      <c r="J8" s="360">
        <f ca="1">IF($B8="OUI",'Fibre optique'!I34,0)</f>
        <v>-1962.7222806109644</v>
      </c>
      <c r="K8" s="360">
        <f ca="1">IF($B8="OUI",'Fibre optique'!J34,0)</f>
        <v>-2314.7751126359854</v>
      </c>
      <c r="L8" s="360">
        <f ca="1">IF($B8="OUI",'Fibre optique'!K34,0)</f>
        <v>-2674.2816795456938</v>
      </c>
      <c r="M8" s="360">
        <f ca="1">IF($B8="OUI",'Fibre optique'!L34,0)</f>
        <v>-3041.3701753695082</v>
      </c>
      <c r="N8" s="360">
        <f ca="1">IF($B8="OUI",'Fibre optique'!M34,0)</f>
        <v>-3416.1707974557362</v>
      </c>
      <c r="O8" s="360">
        <f ca="1">IF($B8="OUI",'Fibre optique'!N34,0)</f>
        <v>-3798.8157760912713</v>
      </c>
      <c r="P8" s="360">
        <f ca="1">IF($B8="OUI",'Fibre optique'!O34,0)</f>
        <v>-4189.4394045437239</v>
      </c>
      <c r="Q8" s="360">
        <f ca="1">IF($B8="OUI",'Fibre optique'!P34,0)</f>
        <v>-4588.1780695317684</v>
      </c>
      <c r="R8" s="360">
        <f ca="1">IF($B8="OUI",'Fibre optique'!Q34,0)</f>
        <v>-4995.1702821297704</v>
      </c>
      <c r="S8" s="360">
        <f ca="1">IF($B8="OUI",'Fibre optique'!R34,0)</f>
        <v>-5410.5567091126031</v>
      </c>
      <c r="T8" s="360">
        <f ca="1">IF($B8="OUI",'Fibre optique'!S34,0)</f>
        <v>-5834.4802047468929</v>
      </c>
      <c r="U8" s="360">
        <f ca="1">IF($B8="OUI",'Fibre optique'!T34,0)</f>
        <v>-6267.0858430347871</v>
      </c>
      <c r="V8" s="360">
        <f ca="1">IF($B8="OUI",'Fibre optique'!U34,0)</f>
        <v>-6708.5209504166014</v>
      </c>
      <c r="W8" s="360">
        <f ca="1">IF($B8="OUI",'Fibre optique'!V34,0)</f>
        <v>-7469.438653096945</v>
      </c>
      <c r="X8" s="360" t="str">
        <f>IF($B8="OUI",'Fibre optique'!W34,0)</f>
        <v/>
      </c>
      <c r="Y8" s="360" t="str">
        <f>IF($B8="OUI",'Fibre optique'!X34,0)</f>
        <v/>
      </c>
      <c r="Z8" s="360" t="str">
        <f>IF($B8="OUI",'Fibre optique'!Y34,0)</f>
        <v/>
      </c>
      <c r="AA8" s="360" t="str">
        <f>IF($B8="OUI",'Fibre optique'!Z34,0)</f>
        <v/>
      </c>
      <c r="AB8" s="360" t="str">
        <f>IF($B8="OUI",'Fibre optique'!AA34,0)</f>
        <v/>
      </c>
    </row>
    <row r="9" spans="2:28" ht="30" x14ac:dyDescent="0.25">
      <c r="B9" s="204" t="str">
        <f>'Resultats généraux'!A43</f>
        <v>OUI</v>
      </c>
      <c r="C9" s="392" t="str">
        <f>'Fibre optique'!$B$50</f>
        <v>Remplacer le réseau cuivre (DSL) par le réseau fibre</v>
      </c>
      <c r="D9" s="360">
        <f ca="1">IF($B9="OUI",'Fibre optique'!C58,0)</f>
        <v>0</v>
      </c>
      <c r="E9" s="360">
        <f ca="1">IF($B9="OUI",'Fibre optique'!D58,0)</f>
        <v>-19.425105730325917</v>
      </c>
      <c r="F9" s="360">
        <f ca="1">IF($B9="OUI",'Fibre optique'!E58,0)</f>
        <v>-39.271730048895769</v>
      </c>
      <c r="G9" s="360">
        <f ca="1">IF($B9="OUI",'Fibre optique'!F58,0)</f>
        <v>-59.54719218660243</v>
      </c>
      <c r="H9" s="360">
        <f ca="1">IF($B9="OUI",'Fibre optique'!G58,0)</f>
        <v>-80.25892633720315</v>
      </c>
      <c r="I9" s="360">
        <f ca="1">IF($B9="OUI",'Fibre optique'!H58,0)</f>
        <v>-101.41448336245946</v>
      </c>
      <c r="J9" s="360">
        <f ca="1">IF($B9="OUI",'Fibre optique'!I58,0)</f>
        <v>-123.02153252164571</v>
      </c>
      <c r="K9" s="360">
        <f ca="1">IF($B9="OUI",'Fibre optique'!J58,0)</f>
        <v>-145.08786322576438</v>
      </c>
      <c r="L9" s="360">
        <f ca="1">IF($B9="OUI",'Fibre optique'!K58,0)</f>
        <v>-167.62138681681492</v>
      </c>
      <c r="M9" s="360">
        <f ca="1">IF($B9="OUI",'Fibre optique'!L58,0)</f>
        <v>-190.63013837246251</v>
      </c>
      <c r="N9" s="360">
        <f ca="1">IF($B9="OUI",'Fibre optique'!M58,0)</f>
        <v>-214.12227853646007</v>
      </c>
      <c r="O9" s="360">
        <f ca="1">IF($B9="OUI",'Fibre optique'!N58,0)</f>
        <v>-238.10609537518408</v>
      </c>
      <c r="P9" s="360">
        <f ca="1">IF($B9="OUI",'Fibre optique'!O58,0)</f>
        <v>-262.59000626064449</v>
      </c>
      <c r="Q9" s="360">
        <f ca="1">IF($B9="OUI",'Fibre optique'!P58,0)</f>
        <v>-287.58255978033804</v>
      </c>
      <c r="R9" s="360">
        <f ca="1">IF($B9="OUI",'Fibre optique'!Q58,0)</f>
        <v>-313.09243767431889</v>
      </c>
      <c r="S9" s="360">
        <f ca="1">IF($B9="OUI",'Fibre optique'!R58,0)</f>
        <v>-339.12845679986299</v>
      </c>
      <c r="T9" s="360">
        <f ca="1">IF($B9="OUI",'Fibre optique'!S58,0)</f>
        <v>-365.69957112411134</v>
      </c>
      <c r="U9" s="360">
        <f ca="1">IF($B9="OUI",'Fibre optique'!T58,0)</f>
        <v>-392.81487374507861</v>
      </c>
      <c r="V9" s="360">
        <f ca="1">IF($B9="OUI",'Fibre optique'!U58,0)</f>
        <v>-420.48359894142351</v>
      </c>
      <c r="W9" s="360">
        <f ca="1">IF($B9="OUI",'Fibre optique'!V58,0)</f>
        <v>-468.17718393371655</v>
      </c>
      <c r="X9" s="360" t="str">
        <f>IF($B9="OUI",'Fibre optique'!W58,0)</f>
        <v/>
      </c>
      <c r="Y9" s="360" t="str">
        <f>IF($B9="OUI",'Fibre optique'!X58,0)</f>
        <v/>
      </c>
      <c r="Z9" s="360" t="str">
        <f>IF($B9="OUI",'Fibre optique'!Y58,0)</f>
        <v/>
      </c>
      <c r="AA9" s="360" t="str">
        <f>IF($B9="OUI",'Fibre optique'!Z58,0)</f>
        <v/>
      </c>
      <c r="AB9" s="360" t="str">
        <f>IF($B9="OUI",'Fibre optique'!AA58,0)</f>
        <v/>
      </c>
    </row>
    <row r="10" spans="2:28" ht="30" x14ac:dyDescent="0.25">
      <c r="B10" s="204" t="str">
        <f>'Resultats généraux'!A44</f>
        <v>OUI</v>
      </c>
      <c r="C10" s="392" t="str">
        <f>'Fibre optique'!$B$72</f>
        <v>Chantier et production associés à la pose du réseau</v>
      </c>
      <c r="D10" s="360">
        <f ca="1">IF($B10="OUI",'Fibre optique'!C85,0)</f>
        <v>3384.6799997993635</v>
      </c>
      <c r="E10" s="360">
        <f ca="1">IF($B10="OUI",'Fibre optique'!D85,0)</f>
        <v>34.558846649318468</v>
      </c>
      <c r="F10" s="360">
        <f ca="1">IF($B10="OUI",'Fibre optique'!E85,0)</f>
        <v>69.867609229761953</v>
      </c>
      <c r="G10" s="360">
        <f ca="1">IF($B10="OUI",'Fibre optique'!F85,0)</f>
        <v>105.9393092497603</v>
      </c>
      <c r="H10" s="360">
        <f ca="1">IF($B10="OUI",'Fibre optique'!G85,0)</f>
        <v>142.78717274605091</v>
      </c>
      <c r="I10" s="360">
        <f ca="1">IF($B10="OUI",'Fibre optique'!H85,0)</f>
        <v>180.42463331726191</v>
      </c>
      <c r="J10" s="360">
        <f ca="1">IF($B10="OUI",'Fibre optique'!I85,0)</f>
        <v>218.86533520084822</v>
      </c>
      <c r="K10" s="360">
        <f ca="1">IF($B10="OUI",'Fibre optique'!J85,0)</f>
        <v>258.12313639398428</v>
      </c>
      <c r="L10" s="360">
        <f ca="1">IF($B10="OUI",'Fibre optique'!K85,0)</f>
        <v>298.21211181902828</v>
      </c>
      <c r="M10" s="360">
        <f ca="1">IF($B10="OUI",'Fibre optique'!L85,0)</f>
        <v>339.14655653417424</v>
      </c>
      <c r="N10" s="360">
        <f ca="1">IF($B10="OUI",'Fibre optique'!M85,0)</f>
        <v>380.94098898992308</v>
      </c>
      <c r="O10" s="360">
        <f ca="1">IF($B10="OUI",'Fibre optique'!N85,0)</f>
        <v>423.61015433201067</v>
      </c>
      <c r="P10" s="360">
        <f ca="1">IF($B10="OUI",'Fibre optique'!O85,0)</f>
        <v>467.16902775143501</v>
      </c>
      <c r="Q10" s="360">
        <f ca="1">IF($B10="OUI",'Fibre optique'!P85,0)</f>
        <v>511.63281788224333</v>
      </c>
      <c r="R10" s="360">
        <f ca="1">IF($B10="OUI",'Fibre optique'!Q85,0)</f>
        <v>557.01697024773648</v>
      </c>
      <c r="S10" s="360">
        <f ca="1">IF($B10="OUI",'Fibre optique'!R85,0)</f>
        <v>603.3371707557676</v>
      </c>
      <c r="T10" s="360">
        <f ca="1">IF($B10="OUI",'Fibre optique'!S85,0)</f>
        <v>650.60934924381752</v>
      </c>
      <c r="U10" s="360">
        <f ca="1">IF($B10="OUI",'Fibre optique'!T85,0)</f>
        <v>698.84968307453335</v>
      </c>
      <c r="V10" s="360">
        <f ca="1">IF($B10="OUI",'Fibre optique'!U85,0)</f>
        <v>748.07460078243685</v>
      </c>
      <c r="W10" s="360">
        <f ca="1">IF($B10="OUI",'Fibre optique'!V85,0)</f>
        <v>832.92537651498355</v>
      </c>
      <c r="X10" s="360" t="str">
        <f>IF($B10="OUI",'Fibre optique'!W85,0)</f>
        <v/>
      </c>
      <c r="Y10" s="360" t="str">
        <f>IF($B10="OUI",'Fibre optique'!X85,0)</f>
        <v/>
      </c>
      <c r="Z10" s="360" t="str">
        <f>IF($B10="OUI",'Fibre optique'!Y85,0)</f>
        <v/>
      </c>
      <c r="AA10" s="360" t="str">
        <f>IF($B10="OUI",'Fibre optique'!Z85,0)</f>
        <v/>
      </c>
      <c r="AB10" s="360" t="str">
        <f>IF($B10="OUI",'Fibre optique'!AA85,0)</f>
        <v/>
      </c>
    </row>
    <row r="11" spans="2:28" x14ac:dyDescent="0.25">
      <c r="B11" s="204" t="str">
        <f>'Resultats généraux'!A45</f>
        <v>OUI</v>
      </c>
      <c r="C11" s="392" t="str">
        <f>'Fibre optique'!$B$128</f>
        <v>Production de nouveaux terminaux</v>
      </c>
      <c r="D11" s="360">
        <f ca="1">IF($B11="OUI",'Fibre optique'!C142,0)</f>
        <v>0</v>
      </c>
      <c r="E11" s="360">
        <f ca="1">IF($B11="OUI",'Fibre optique'!D142,0)</f>
        <v>226.21062583697542</v>
      </c>
      <c r="F11" s="360">
        <f ca="1">IF($B11="OUI",'Fibre optique'!E142,0)</f>
        <v>457.32994998284698</v>
      </c>
      <c r="G11" s="360">
        <f ca="1">IF($B11="OUI",'Fibre optique'!F142,0)</f>
        <v>693.44320686690969</v>
      </c>
      <c r="H11" s="360">
        <f ca="1">IF($B11="OUI",'Fibre optique'!G142,0)</f>
        <v>934.63696969220132</v>
      </c>
      <c r="I11" s="360">
        <f ca="1">IF($B11="OUI",'Fibre optique'!H142,0)</f>
        <v>1180.9991702923196</v>
      </c>
      <c r="J11" s="360">
        <f ca="1">IF($B11="OUI",'Fibre optique'!I142,0)</f>
        <v>1432.6191192720157</v>
      </c>
      <c r="K11" s="360">
        <f ca="1">IF($B11="OUI",'Fibre optique'!J142,0)</f>
        <v>1689.5875264355116</v>
      </c>
      <c r="L11" s="360">
        <f ca="1">IF($B11="OUI",'Fibre optique'!K142,0)</f>
        <v>1951.9965215065658</v>
      </c>
      <c r="M11" s="360">
        <f ca="1">IF($B11="OUI",'Fibre optique'!L142,0)</f>
        <v>2219.9396751443287</v>
      </c>
      <c r="N11" s="360">
        <f ca="1">IF($B11="OUI",'Fibre optique'!M142,0)</f>
        <v>2493.5120202591097</v>
      </c>
      <c r="O11" s="360">
        <f ca="1">IF($B11="OUI",'Fibre optique'!N142,0)</f>
        <v>2772.8100736322353</v>
      </c>
      <c r="P11" s="360">
        <f ca="1">IF($B11="OUI",'Fibre optique'!O142,0)</f>
        <v>3057.9318578442067</v>
      </c>
      <c r="Q11" s="360">
        <f ca="1">IF($B11="OUI",'Fibre optique'!P142,0)</f>
        <v>3348.9769235154722</v>
      </c>
      <c r="R11" s="360">
        <f ca="1">IF($B11="OUI",'Fibre optique'!Q142,0)</f>
        <v>3646.0463718641286</v>
      </c>
      <c r="S11" s="360">
        <f ca="1">IF($B11="OUI",'Fibre optique'!R142,0)</f>
        <v>3949.2428775849744</v>
      </c>
      <c r="T11" s="360">
        <f ca="1">IF($B11="OUI",'Fibre optique'!S142,0)</f>
        <v>4258.6707120543824</v>
      </c>
      <c r="U11" s="360">
        <f ca="1">IF($B11="OUI",'Fibre optique'!T142,0)</f>
        <v>4574.4357668654939</v>
      </c>
      <c r="V11" s="360">
        <f ca="1">IF($B11="OUI",'Fibre optique'!U142,0)</f>
        <v>4896.6455776983466</v>
      </c>
      <c r="W11" s="360">
        <f ca="1">IF($B11="OUI",'Fibre optique'!V142,0)</f>
        <v>5452.0503131625355</v>
      </c>
      <c r="X11" s="360" t="str">
        <f>IF($B11="OUI",'Fibre optique'!W142,0)</f>
        <v/>
      </c>
      <c r="Y11" s="360" t="str">
        <f>IF($B11="OUI",'Fibre optique'!X142,0)</f>
        <v/>
      </c>
      <c r="Z11" s="360" t="str">
        <f>IF($B11="OUI",'Fibre optique'!Y142,0)</f>
        <v/>
      </c>
      <c r="AA11" s="360" t="str">
        <f>IF($B11="OUI",'Fibre optique'!Z142,0)</f>
        <v/>
      </c>
      <c r="AB11" s="360" t="str">
        <f>IF($B11="OUI",'Fibre optique'!AA142,0)</f>
        <v/>
      </c>
    </row>
    <row r="12" spans="2:28" ht="45" x14ac:dyDescent="0.25">
      <c r="B12" s="204" t="str">
        <f>'Resultats généraux'!A46</f>
        <v>OUI</v>
      </c>
      <c r="C12" s="392" t="str">
        <f>'Fibre optique'!$B$190</f>
        <v>Augmentation de la consommation de données 
dans les data-centers</v>
      </c>
      <c r="D12" s="360">
        <f ca="1">IF($B12="OUI",'Fibre optique'!C202,0)</f>
        <v>0</v>
      </c>
      <c r="E12" s="360">
        <f ca="1">IF($B12="OUI",'Fibre optique'!D202,0)</f>
        <v>178.98847422943169</v>
      </c>
      <c r="F12" s="360">
        <f ca="1">IF($B12="OUI",'Fibre optique'!E202,0)</f>
        <v>361.86094116482536</v>
      </c>
      <c r="G12" s="360">
        <f ca="1">IF($B12="OUI",'Fibre optique'!F202,0)</f>
        <v>548.68484229083674</v>
      </c>
      <c r="H12" s="360">
        <f ca="1">IF($B12="OUI",'Fibre optique'!G202,0)</f>
        <v>739.52867839280043</v>
      </c>
      <c r="I12" s="360">
        <f ca="1">IF($B12="OUI",'Fibre optique'!H202,0)</f>
        <v>934.46202526837681</v>
      </c>
      <c r="J12" s="360">
        <f ca="1">IF($B12="OUI",'Fibre optique'!I202,0)</f>
        <v>1133.5555496637357</v>
      </c>
      <c r="K12" s="360">
        <f ca="1">IF($B12="OUI",'Fibre optique'!J202,0)</f>
        <v>1336.8810254374005</v>
      </c>
      <c r="L12" s="360">
        <f ca="1">IF($B12="OUI",'Fibre optique'!K202,0)</f>
        <v>1544.5113499549377</v>
      </c>
      <c r="M12" s="360">
        <f ca="1">IF($B12="OUI",'Fibre optique'!L202,0)</f>
        <v>1756.5205607176904</v>
      </c>
      <c r="N12" s="360">
        <f ca="1">IF($B12="OUI",'Fibre optique'!M202,0)</f>
        <v>1972.9838522288107</v>
      </c>
      <c r="O12" s="360">
        <f ca="1">IF($B12="OUI",'Fibre optique'!N202,0)</f>
        <v>2193.9775930999112</v>
      </c>
      <c r="P12" s="360">
        <f ca="1">IF($B12="OUI",'Fibre optique'!O202,0)</f>
        <v>2419.5793434016527</v>
      </c>
      <c r="Q12" s="360">
        <f ca="1">IF($B12="OUI",'Fibre optique'!P202,0)</f>
        <v>2649.867872261686</v>
      </c>
      <c r="R12" s="360">
        <f ca="1">IF($B12="OUI",'Fibre optique'!Q202,0)</f>
        <v>2884.9231757133675</v>
      </c>
      <c r="S12" s="360">
        <f ca="1">IF($B12="OUI",'Fibre optique'!R202,0)</f>
        <v>3124.8264947987382</v>
      </c>
      <c r="T12" s="360">
        <f ca="1">IF($B12="OUI",'Fibre optique'!S202,0)</f>
        <v>3369.6603339293124</v>
      </c>
      <c r="U12" s="360">
        <f ca="1">IF($B12="OUI",'Fibre optique'!T202,0)</f>
        <v>3619.5084795082248</v>
      </c>
      <c r="V12" s="360">
        <f ca="1">IF($B12="OUI",'Fibre optique'!U202,0)</f>
        <v>3874.4560188174028</v>
      </c>
      <c r="W12" s="360">
        <f ca="1">IF($B12="OUI",'Fibre optique'!V202,0)</f>
        <v>4313.9183376749606</v>
      </c>
      <c r="X12" s="360" t="str">
        <f>IF($B12="OUI",'Fibre optique'!W202,0)</f>
        <v/>
      </c>
      <c r="Y12" s="360" t="str">
        <f>IF($B12="OUI",'Fibre optique'!X202,0)</f>
        <v/>
      </c>
      <c r="Z12" s="360" t="str">
        <f>IF($B12="OUI",'Fibre optique'!Y202,0)</f>
        <v/>
      </c>
      <c r="AA12" s="360" t="str">
        <f>IF($B12="OUI",'Fibre optique'!Z202,0)</f>
        <v/>
      </c>
      <c r="AB12" s="360" t="str">
        <f>IF($B12="OUI",'Fibre optique'!AA202,0)</f>
        <v/>
      </c>
    </row>
    <row r="14" spans="2:28" ht="30" x14ac:dyDescent="0.25">
      <c r="B14" s="393" t="s">
        <v>1200</v>
      </c>
    </row>
    <row r="15" spans="2:28" x14ac:dyDescent="0.25">
      <c r="B15" s="173" t="s">
        <v>60</v>
      </c>
      <c r="C15" s="164">
        <f>Hypothèses_projet!C3</f>
        <v>2021</v>
      </c>
    </row>
    <row r="16" spans="2:28" x14ac:dyDescent="0.25">
      <c r="B16" s="172" t="s">
        <v>833</v>
      </c>
      <c r="C16" s="164" t="str">
        <f>Hypothèses_projet!C2</f>
        <v>Colombia</v>
      </c>
    </row>
    <row r="17" spans="2:27" x14ac:dyDescent="0.25">
      <c r="B17" s="394" t="s">
        <v>237</v>
      </c>
      <c r="C17" s="395">
        <f>INDEX(FE_par_pays!$A$8:$F$242,MATCH(C16,FE_par_pays!$A$8:$A$242,0),5)</f>
        <v>230.88184773797497</v>
      </c>
      <c r="D17" s="396" t="s">
        <v>834</v>
      </c>
      <c r="E17" s="149"/>
      <c r="F17" s="149"/>
    </row>
    <row r="18" spans="2:27" x14ac:dyDescent="0.25">
      <c r="B18" s="394"/>
      <c r="C18" s="395"/>
      <c r="D18" s="396"/>
      <c r="E18" s="149"/>
      <c r="F18" s="149"/>
    </row>
    <row r="19" spans="2:27" x14ac:dyDescent="0.25">
      <c r="B19" s="173" t="s">
        <v>316</v>
      </c>
      <c r="C19" s="163">
        <v>40</v>
      </c>
      <c r="D19" s="343" t="s">
        <v>319</v>
      </c>
    </row>
    <row r="20" spans="2:27" x14ac:dyDescent="0.25">
      <c r="B20" s="173" t="s">
        <v>317</v>
      </c>
      <c r="C20" s="163">
        <v>80</v>
      </c>
      <c r="D20" s="344" t="s">
        <v>319</v>
      </c>
    </row>
    <row r="21" spans="2:27" x14ac:dyDescent="0.25">
      <c r="B21" s="173" t="s">
        <v>1257</v>
      </c>
      <c r="C21" s="163">
        <v>70</v>
      </c>
      <c r="D21" s="344" t="s">
        <v>319</v>
      </c>
    </row>
    <row r="22" spans="2:27" x14ac:dyDescent="0.25">
      <c r="B22" s="173" t="s">
        <v>1258</v>
      </c>
      <c r="C22" s="163">
        <v>80</v>
      </c>
      <c r="D22" s="344" t="s">
        <v>319</v>
      </c>
    </row>
    <row r="24" spans="2:27" x14ac:dyDescent="0.25">
      <c r="B24" s="397"/>
      <c r="C24" s="398"/>
      <c r="D24" s="398"/>
      <c r="E24" s="398"/>
      <c r="F24" s="398"/>
      <c r="G24" s="398"/>
      <c r="H24" s="398"/>
      <c r="I24" s="398"/>
      <c r="J24" s="398"/>
      <c r="K24" s="398"/>
      <c r="L24" s="398"/>
    </row>
    <row r="25" spans="2:27" x14ac:dyDescent="0.25">
      <c r="B25" s="209" t="s">
        <v>1312</v>
      </c>
      <c r="C25" s="209"/>
      <c r="D25" s="209"/>
      <c r="E25" s="209"/>
      <c r="F25" s="209"/>
    </row>
    <row r="26" spans="2:27" ht="113.1" customHeight="1" x14ac:dyDescent="0.25">
      <c r="B26" s="399" t="s">
        <v>525</v>
      </c>
      <c r="C26" s="332" t="s">
        <v>561</v>
      </c>
      <c r="D26" s="332"/>
      <c r="E26" s="332"/>
      <c r="F26" s="332"/>
    </row>
    <row r="27" spans="2:27" ht="113.1" customHeight="1" x14ac:dyDescent="0.25">
      <c r="B27" s="399" t="s">
        <v>547</v>
      </c>
      <c r="C27" s="332" t="s">
        <v>562</v>
      </c>
      <c r="D27" s="332"/>
      <c r="E27" s="332"/>
      <c r="F27" s="332"/>
    </row>
    <row r="28" spans="2:27" x14ac:dyDescent="0.25">
      <c r="B28" s="266"/>
    </row>
    <row r="29" spans="2:27" x14ac:dyDescent="0.25">
      <c r="B29" s="291" t="s">
        <v>29</v>
      </c>
      <c r="C29" s="291"/>
      <c r="D29" s="291"/>
      <c r="E29" s="291"/>
      <c r="F29" s="291"/>
      <c r="G29" s="291"/>
      <c r="H29" s="291"/>
      <c r="I29" s="291"/>
      <c r="J29" s="291"/>
      <c r="K29" s="291"/>
      <c r="L29" s="291"/>
    </row>
    <row r="30" spans="2:27" x14ac:dyDescent="0.25">
      <c r="B30" s="238" t="s">
        <v>89</v>
      </c>
      <c r="C30" s="293"/>
      <c r="D30" s="293"/>
      <c r="E30" s="293"/>
      <c r="F30" s="293"/>
      <c r="G30" s="293"/>
      <c r="H30" s="293"/>
      <c r="I30" s="293"/>
      <c r="J30" s="293"/>
      <c r="K30" s="293"/>
      <c r="L30" s="293"/>
    </row>
    <row r="31" spans="2:27" x14ac:dyDescent="0.25">
      <c r="B31" s="307" t="s">
        <v>26</v>
      </c>
      <c r="C31" s="307">
        <f>Hypothèses_projet!$C$3</f>
        <v>2021</v>
      </c>
      <c r="D31" s="307">
        <f>IF(Hypothèses_projet!$C$6&lt;=C31,"",C31+1)</f>
        <v>2022</v>
      </c>
      <c r="E31" s="307">
        <f>IF(Hypothèses_projet!$C$6&lt;=D31,"",D31+1)</f>
        <v>2023</v>
      </c>
      <c r="F31" s="307">
        <f>IF(Hypothèses_projet!$C$6&lt;=E31,"",E31+1)</f>
        <v>2024</v>
      </c>
      <c r="G31" s="307">
        <f>IF(Hypothèses_projet!$C$6&lt;=F31,"",F31+1)</f>
        <v>2025</v>
      </c>
      <c r="H31" s="307">
        <f>IF(Hypothèses_projet!$C$6&lt;=G31,"",G31+1)</f>
        <v>2026</v>
      </c>
      <c r="I31" s="307">
        <f>IF(Hypothèses_projet!$C$6&lt;=H31,"",H31+1)</f>
        <v>2027</v>
      </c>
      <c r="J31" s="307">
        <f>IF(Hypothèses_projet!$C$6&lt;=I31,"",I31+1)</f>
        <v>2028</v>
      </c>
      <c r="K31" s="307">
        <f>IF(Hypothèses_projet!$C$6&lt;=J31,"",J31+1)</f>
        <v>2029</v>
      </c>
      <c r="L31" s="307">
        <f>IF(Hypothèses_projet!$C$6&lt;=K31,"",K31+1)</f>
        <v>2030</v>
      </c>
      <c r="M31" s="307">
        <f>IF(Hypothèses_projet!$C$6&lt;=L31,"",L31+1)</f>
        <v>2031</v>
      </c>
      <c r="N31" s="307">
        <f>IF(Hypothèses_projet!$C$6&lt;=M31,"",M31+1)</f>
        <v>2032</v>
      </c>
      <c r="O31" s="307">
        <f>IF(Hypothèses_projet!$C$6&lt;=N31,"",N31+1)</f>
        <v>2033</v>
      </c>
      <c r="P31" s="307">
        <f>IF(Hypothèses_projet!$C$6&lt;=O31,"",O31+1)</f>
        <v>2034</v>
      </c>
      <c r="Q31" s="307">
        <f>IF(Hypothèses_projet!$C$6&lt;=P31,"",P31+1)</f>
        <v>2035</v>
      </c>
      <c r="R31" s="307">
        <f>IF(Hypothèses_projet!$C$6&lt;=Q31,"",Q31+1)</f>
        <v>2036</v>
      </c>
      <c r="S31" s="307">
        <f>IF(Hypothèses_projet!$C$6&lt;=R31,"",R31+1)</f>
        <v>2037</v>
      </c>
      <c r="T31" s="307">
        <f>IF(Hypothèses_projet!$C$6&lt;=S31,"",S31+1)</f>
        <v>2038</v>
      </c>
      <c r="U31" s="307">
        <f>IF(Hypothèses_projet!$C$6&lt;=T31,"",T31+1)</f>
        <v>2039</v>
      </c>
      <c r="V31" s="307">
        <f>IF(Hypothèses_projet!$C$6&lt;=U31,"",U31+1)</f>
        <v>2040</v>
      </c>
      <c r="W31" s="307" t="str">
        <f>IF(Hypothèses_projet!$C$6&lt;=V31,"",V31+1)</f>
        <v/>
      </c>
      <c r="X31" s="307" t="str">
        <f>IF(Hypothèses_projet!$C$6&lt;=W31,"",W31+1)</f>
        <v/>
      </c>
      <c r="Y31" s="307" t="str">
        <f>IF(Hypothèses_projet!$C$6&lt;=X31,"",X31+1)</f>
        <v/>
      </c>
      <c r="Z31" s="307" t="str">
        <f>IF(Hypothèses_projet!$C$6&lt;=Y31,"",Y31+1)</f>
        <v/>
      </c>
      <c r="AA31" s="307" t="str">
        <f>IF(Hypothèses_projet!$C$6&lt;=Z31,"",Z31+1)</f>
        <v/>
      </c>
    </row>
    <row r="32" spans="2:27" x14ac:dyDescent="0.25">
      <c r="B32" s="364" t="s">
        <v>157</v>
      </c>
      <c r="C32" s="400">
        <f t="shared" ref="C32:AA32" ca="1" si="1">IF(C$31="","",$E$44*$E$42*C35*(1+$E$46/100)^($D31-$C$31)*$C$17/1000000)</f>
        <v>0</v>
      </c>
      <c r="D32" s="400">
        <f t="shared" ca="1" si="1"/>
        <v>489.20906040795535</v>
      </c>
      <c r="E32" s="400">
        <f t="shared" ca="1" si="1"/>
        <v>989.03380112993636</v>
      </c>
      <c r="F32" s="400">
        <f t="shared" ca="1" si="1"/>
        <v>1499.6585523887838</v>
      </c>
      <c r="G32" s="400">
        <f t="shared" ca="1" si="1"/>
        <v>2021.2705396747199</v>
      </c>
      <c r="H32" s="400">
        <f t="shared" ca="1" si="1"/>
        <v>2554.0599266882114</v>
      </c>
      <c r="I32" s="400">
        <f t="shared" ca="1" si="1"/>
        <v>3098.2198588965502</v>
      </c>
      <c r="J32" s="400">
        <f t="shared" ca="1" si="1"/>
        <v>3653.9465077126847</v>
      </c>
      <c r="K32" s="400">
        <f t="shared" ca="1" si="1"/>
        <v>4221.4391153049628</v>
      </c>
      <c r="L32" s="400">
        <f t="shared" ca="1" si="1"/>
        <v>4800.9000400465802</v>
      </c>
      <c r="M32" s="400">
        <f t="shared" ca="1" si="1"/>
        <v>5392.5348026136326</v>
      </c>
      <c r="N32" s="400">
        <f t="shared" ca="1" si="1"/>
        <v>5996.5521327407605</v>
      </c>
      <c r="O32" s="400">
        <f t="shared" ca="1" si="1"/>
        <v>6613.1640166436046</v>
      </c>
      <c r="P32" s="400">
        <f t="shared" ca="1" si="1"/>
        <v>7242.585745117236</v>
      </c>
      <c r="Q32" s="400">
        <f t="shared" ca="1" si="1"/>
        <v>7885.0359623200802</v>
      </c>
      <c r="R32" s="400">
        <f t="shared" ca="1" si="1"/>
        <v>8540.7367152527277</v>
      </c>
      <c r="S32" s="400">
        <f t="shared" ca="1" si="1"/>
        <v>9209.913503941425</v>
      </c>
      <c r="T32" s="400">
        <f t="shared" ca="1" si="1"/>
        <v>9892.7953323358925</v>
      </c>
      <c r="U32" s="400">
        <f t="shared" ca="1" si="1"/>
        <v>10589.614759931494</v>
      </c>
      <c r="V32" s="400">
        <f t="shared" ca="1" si="1"/>
        <v>11790.74767655398</v>
      </c>
      <c r="W32" s="400" t="str">
        <f t="shared" si="1"/>
        <v/>
      </c>
      <c r="X32" s="400" t="str">
        <f t="shared" si="1"/>
        <v/>
      </c>
      <c r="Y32" s="400" t="str">
        <f t="shared" si="1"/>
        <v/>
      </c>
      <c r="Z32" s="400" t="str">
        <f t="shared" si="1"/>
        <v/>
      </c>
      <c r="AA32" s="400" t="str">
        <f t="shared" si="1"/>
        <v/>
      </c>
    </row>
    <row r="33" spans="2:27" x14ac:dyDescent="0.25">
      <c r="B33" s="364" t="s">
        <v>163</v>
      </c>
      <c r="C33" s="400">
        <f t="shared" ref="C33:AA33" ca="1" si="2">IF(C$31="","",(1-$E$40/100)*C32+$E$40/100*$E$42*$E$45*C35*(1+$E$47/100)^(C31-$C$31)*$C$17/1000000)</f>
        <v>0</v>
      </c>
      <c r="D33" s="400">
        <f t="shared" ca="1" si="2"/>
        <v>179.29512063951566</v>
      </c>
      <c r="E33" s="400">
        <f t="shared" ca="1" si="2"/>
        <v>362.48088811412174</v>
      </c>
      <c r="F33" s="400">
        <f t="shared" ca="1" si="2"/>
        <v>549.62485945048934</v>
      </c>
      <c r="G33" s="400">
        <f t="shared" ca="1" si="2"/>
        <v>740.79565279078486</v>
      </c>
      <c r="H33" s="400">
        <f t="shared" ca="1" si="2"/>
        <v>936.06296313122959</v>
      </c>
      <c r="I33" s="400">
        <f t="shared" ca="1" si="2"/>
        <v>1135.4975782855859</v>
      </c>
      <c r="J33" s="400">
        <f t="shared" ca="1" si="2"/>
        <v>1339.1713950766991</v>
      </c>
      <c r="K33" s="400">
        <f t="shared" ca="1" si="2"/>
        <v>1547.157435759269</v>
      </c>
      <c r="L33" s="400">
        <f t="shared" ca="1" si="2"/>
        <v>1759.5298646770721</v>
      </c>
      <c r="M33" s="400">
        <f t="shared" ca="1" si="2"/>
        <v>1976.3640051578964</v>
      </c>
      <c r="N33" s="400">
        <f t="shared" ca="1" si="2"/>
        <v>2197.7363566494892</v>
      </c>
      <c r="O33" s="400">
        <f t="shared" ca="1" si="2"/>
        <v>2423.7246120998811</v>
      </c>
      <c r="P33" s="400">
        <f t="shared" ca="1" si="2"/>
        <v>2654.4076755854671</v>
      </c>
      <c r="Q33" s="400">
        <f t="shared" ca="1" si="2"/>
        <v>2889.8656801903098</v>
      </c>
      <c r="R33" s="400">
        <f t="shared" ca="1" si="2"/>
        <v>3130.180006140125</v>
      </c>
      <c r="S33" s="400">
        <f t="shared" ca="1" si="2"/>
        <v>3375.4332991945325</v>
      </c>
      <c r="T33" s="400">
        <f t="shared" ca="1" si="2"/>
        <v>3625.7094893011049</v>
      </c>
      <c r="U33" s="400">
        <f t="shared" ca="1" si="2"/>
        <v>3881.0938095148927</v>
      </c>
      <c r="V33" s="400">
        <f t="shared" ca="1" si="2"/>
        <v>4321.3090234570345</v>
      </c>
      <c r="W33" s="400" t="str">
        <f t="shared" si="2"/>
        <v/>
      </c>
      <c r="X33" s="400" t="str">
        <f t="shared" si="2"/>
        <v/>
      </c>
      <c r="Y33" s="400" t="str">
        <f t="shared" si="2"/>
        <v/>
      </c>
      <c r="Z33" s="400" t="str">
        <f t="shared" si="2"/>
        <v/>
      </c>
      <c r="AA33" s="400" t="str">
        <f t="shared" si="2"/>
        <v/>
      </c>
    </row>
    <row r="34" spans="2:27" x14ac:dyDescent="0.25">
      <c r="B34" s="248" t="s">
        <v>150</v>
      </c>
      <c r="C34" s="400">
        <f ca="1">IF(C$31="","",C33-C32)</f>
        <v>0</v>
      </c>
      <c r="D34" s="400">
        <f t="shared" ref="D34:AA34" ca="1" si="3">IF(D$31="","",D33-D32)</f>
        <v>-309.91393976843972</v>
      </c>
      <c r="E34" s="400">
        <f t="shared" ca="1" si="3"/>
        <v>-626.55291301581462</v>
      </c>
      <c r="F34" s="400">
        <f t="shared" ca="1" si="3"/>
        <v>-950.03369293829451</v>
      </c>
      <c r="G34" s="400">
        <f t="shared" ca="1" si="3"/>
        <v>-1280.4748868839351</v>
      </c>
      <c r="H34" s="400">
        <f t="shared" ca="1" si="3"/>
        <v>-1617.9969635569819</v>
      </c>
      <c r="I34" s="400">
        <f t="shared" ca="1" si="3"/>
        <v>-1962.7222806109644</v>
      </c>
      <c r="J34" s="400">
        <f t="shared" ca="1" si="3"/>
        <v>-2314.7751126359854</v>
      </c>
      <c r="K34" s="400">
        <f t="shared" ca="1" si="3"/>
        <v>-2674.2816795456938</v>
      </c>
      <c r="L34" s="400">
        <f t="shared" ca="1" si="3"/>
        <v>-3041.3701753695082</v>
      </c>
      <c r="M34" s="400">
        <f t="shared" ca="1" si="3"/>
        <v>-3416.1707974557362</v>
      </c>
      <c r="N34" s="400">
        <f t="shared" ca="1" si="3"/>
        <v>-3798.8157760912713</v>
      </c>
      <c r="O34" s="400">
        <f t="shared" ca="1" si="3"/>
        <v>-4189.4394045437239</v>
      </c>
      <c r="P34" s="400">
        <f t="shared" ca="1" si="3"/>
        <v>-4588.1780695317684</v>
      </c>
      <c r="Q34" s="400">
        <f t="shared" ca="1" si="3"/>
        <v>-4995.1702821297704</v>
      </c>
      <c r="R34" s="400">
        <f t="shared" ca="1" si="3"/>
        <v>-5410.5567091126031</v>
      </c>
      <c r="S34" s="400">
        <f t="shared" ca="1" si="3"/>
        <v>-5834.4802047468929</v>
      </c>
      <c r="T34" s="400">
        <f t="shared" ca="1" si="3"/>
        <v>-6267.0858430347871</v>
      </c>
      <c r="U34" s="400">
        <f t="shared" ca="1" si="3"/>
        <v>-6708.5209504166014</v>
      </c>
      <c r="V34" s="400">
        <f t="shared" ca="1" si="3"/>
        <v>-7469.438653096945</v>
      </c>
      <c r="W34" s="400" t="str">
        <f t="shared" si="3"/>
        <v/>
      </c>
      <c r="X34" s="400" t="str">
        <f t="shared" si="3"/>
        <v/>
      </c>
      <c r="Y34" s="400" t="str">
        <f t="shared" si="3"/>
        <v/>
      </c>
      <c r="Z34" s="400" t="str">
        <f t="shared" si="3"/>
        <v/>
      </c>
      <c r="AA34" s="400" t="str">
        <f t="shared" si="3"/>
        <v/>
      </c>
    </row>
    <row r="35" spans="2:27" x14ac:dyDescent="0.25">
      <c r="B35" s="248" t="s">
        <v>165</v>
      </c>
      <c r="C35" s="400" cm="1">
        <f t="array" aca="1" ref="C35" ca="1">IF(C$31="","",INDIRECT("E"&amp;C36))</f>
        <v>0</v>
      </c>
      <c r="D35" s="400" cm="1">
        <f t="array" aca="1" ref="D35" ca="1">IF(D$31="","",INDIRECT("E"&amp;D36))</f>
        <v>37560.000000000116</v>
      </c>
      <c r="E35" s="400" cm="1">
        <f t="array" aca="1" ref="E35" ca="1">IF(E$31="","",INDIRECT("E"&amp;E36))</f>
        <v>75935.040000000037</v>
      </c>
      <c r="F35" s="400" cm="1">
        <f t="array" aca="1" ref="F35" ca="1">IF(F$31="","",INDIRECT("E"&amp;F36))</f>
        <v>115139.27231999999</v>
      </c>
      <c r="G35" s="400" cm="1">
        <f t="array" aca="1" ref="G35" ca="1">IF(G$31="","",INDIRECT("E"&amp;G36))</f>
        <v>155187.07156992005</v>
      </c>
      <c r="H35" s="400" cm="1">
        <f t="array" aca="1" ref="H35" ca="1">IF(H$31="","",INDIRECT("E"&amp;H36))</f>
        <v>196093.0379466241</v>
      </c>
      <c r="I35" s="400" cm="1">
        <f t="array" aca="1" ref="I35" ca="1">IF(I$31="","",INDIRECT("E"&amp;I36))</f>
        <v>237872.00057806296</v>
      </c>
      <c r="J35" s="400" cm="1">
        <f t="array" aca="1" ref="J35" ca="1">IF(J$31="","",INDIRECT("E"&amp;J36))</f>
        <v>280539.02091519209</v>
      </c>
      <c r="K35" s="400" cm="1">
        <f t="array" aca="1" ref="K35" ca="1">IF(K$31="","",INDIRECT("E"&amp;K36))</f>
        <v>324109.39617232908</v>
      </c>
      <c r="L35" s="400" cm="1">
        <f t="array" aca="1" ref="L35" ca="1">IF(L$31="","",INDIRECT("E"&amp;L36))</f>
        <v>368598.66281662555</v>
      </c>
      <c r="M35" s="400" cm="1">
        <f t="array" aca="1" ref="M35" ca="1">IF(M$31="","",INDIRECT("E"&amp;M36))</f>
        <v>414022.6001073363</v>
      </c>
      <c r="N35" s="400" cm="1">
        <f t="array" aca="1" ref="N35" ca="1">IF(N$31="","",INDIRECT("E"&amp;N36))</f>
        <v>460397.23368557845</v>
      </c>
      <c r="O35" s="400" cm="1">
        <f t="array" aca="1" ref="O35" ca="1">IF(O$31="","",INDIRECT("E"&amp;O36))</f>
        <v>507738.83921528305</v>
      </c>
      <c r="P35" s="400" cm="1">
        <f t="array" aca="1" ref="P35" ca="1">IF(P$31="","",INDIRECT("E"&amp;P36))</f>
        <v>556063.9460760497</v>
      </c>
      <c r="Q35" s="400" cm="1">
        <f t="array" aca="1" ref="Q35" ca="1">IF(Q$31="","",INDIRECT("E"&amp;Q36))</f>
        <v>605389.34110862808</v>
      </c>
      <c r="R35" s="400" cm="1">
        <f t="array" aca="1" ref="R35" ca="1">IF(R$31="","",INDIRECT("E"&amp;R36))</f>
        <v>655732.07241375302</v>
      </c>
      <c r="S35" s="400" cm="1">
        <f t="array" aca="1" ref="S35" ca="1">IF(S$31="","",INDIRECT("E"&amp;S36))</f>
        <v>707109.4532050814</v>
      </c>
      <c r="T35" s="400" cm="1">
        <f t="array" aca="1" ref="T35" ca="1">IF(T$31="","",INDIRECT("E"&amp;T36))</f>
        <v>759539.0657169742</v>
      </c>
      <c r="U35" s="400" cm="1">
        <f t="array" aca="1" ref="U35" ca="1">IF(U$31="","",INDIRECT("E"&amp;U36))</f>
        <v>813038.76516789082</v>
      </c>
      <c r="V35" s="400" cm="1">
        <f t="array" aca="1" ref="V35" ca="1">IF(V$31="","",INDIRECT("E"&amp;V36))</f>
        <v>905258.13721042685</v>
      </c>
      <c r="W35" s="400" t="str" cm="1">
        <f t="array" aca="1" ref="W35" ca="1">IF(W$31="","",INDIRECT("E"&amp;W36))</f>
        <v/>
      </c>
      <c r="X35" s="400" t="str" cm="1">
        <f t="array" aca="1" ref="X35" ca="1">IF(X$31="","",INDIRECT("E"&amp;X36))</f>
        <v/>
      </c>
      <c r="Y35" s="400" t="str" cm="1">
        <f t="array" aca="1" ref="Y35" ca="1">IF(Y$31="","",INDIRECT("E"&amp;Y36))</f>
        <v/>
      </c>
      <c r="Z35" s="400" t="str" cm="1">
        <f t="array" aca="1" ref="Z35" ca="1">IF(Z$31="","",INDIRECT("E"&amp;Z36))</f>
        <v/>
      </c>
      <c r="AA35" s="400" t="str" cm="1">
        <f t="array" aca="1" ref="AA35" ca="1">IF(AA$31="","",INDIRECT("E"&amp;AA36))</f>
        <v/>
      </c>
    </row>
    <row r="36" spans="2:27" hidden="1" x14ac:dyDescent="0.25">
      <c r="B36" s="368"/>
      <c r="C36" s="401">
        <f>ROW(D230)</f>
        <v>230</v>
      </c>
      <c r="D36" s="401">
        <f>C36+1</f>
        <v>231</v>
      </c>
      <c r="E36" s="401">
        <f t="shared" ref="E36:AA36" si="4">D36+1</f>
        <v>232</v>
      </c>
      <c r="F36" s="401">
        <f t="shared" si="4"/>
        <v>233</v>
      </c>
      <c r="G36" s="401">
        <f t="shared" si="4"/>
        <v>234</v>
      </c>
      <c r="H36" s="401">
        <f t="shared" si="4"/>
        <v>235</v>
      </c>
      <c r="I36" s="401">
        <f t="shared" si="4"/>
        <v>236</v>
      </c>
      <c r="J36" s="401">
        <f t="shared" si="4"/>
        <v>237</v>
      </c>
      <c r="K36" s="401">
        <f t="shared" si="4"/>
        <v>238</v>
      </c>
      <c r="L36" s="401">
        <f t="shared" si="4"/>
        <v>239</v>
      </c>
      <c r="M36" s="401">
        <f t="shared" si="4"/>
        <v>240</v>
      </c>
      <c r="N36" s="401">
        <f t="shared" si="4"/>
        <v>241</v>
      </c>
      <c r="O36" s="401">
        <f t="shared" si="4"/>
        <v>242</v>
      </c>
      <c r="P36" s="401">
        <f t="shared" si="4"/>
        <v>243</v>
      </c>
      <c r="Q36" s="401">
        <f t="shared" si="4"/>
        <v>244</v>
      </c>
      <c r="R36" s="401">
        <f t="shared" si="4"/>
        <v>245</v>
      </c>
      <c r="S36" s="401">
        <f t="shared" si="4"/>
        <v>246</v>
      </c>
      <c r="T36" s="401">
        <f t="shared" si="4"/>
        <v>247</v>
      </c>
      <c r="U36" s="401">
        <f t="shared" si="4"/>
        <v>248</v>
      </c>
      <c r="V36" s="401">
        <f t="shared" si="4"/>
        <v>249</v>
      </c>
      <c r="W36" s="401">
        <f t="shared" si="4"/>
        <v>250</v>
      </c>
      <c r="X36" s="401">
        <f t="shared" si="4"/>
        <v>251</v>
      </c>
      <c r="Y36" s="401">
        <f t="shared" si="4"/>
        <v>252</v>
      </c>
      <c r="Z36" s="401">
        <f t="shared" si="4"/>
        <v>253</v>
      </c>
      <c r="AA36" s="401">
        <f t="shared" si="4"/>
        <v>254</v>
      </c>
    </row>
    <row r="38" spans="2:27" outlineLevel="1" x14ac:dyDescent="0.25">
      <c r="B38" s="249"/>
      <c r="C38" s="249"/>
      <c r="D38" s="205"/>
      <c r="E38" s="249" t="s">
        <v>19</v>
      </c>
      <c r="F38" s="205"/>
      <c r="G38" s="249" t="s">
        <v>4</v>
      </c>
      <c r="H38" s="205"/>
      <c r="I38" s="249" t="s">
        <v>83</v>
      </c>
      <c r="O38" s="254"/>
    </row>
    <row r="39" spans="2:27" outlineLevel="1" x14ac:dyDescent="0.25">
      <c r="O39" s="254"/>
    </row>
    <row r="40" spans="2:27" outlineLevel="1" x14ac:dyDescent="0.25">
      <c r="B40" s="266" t="s">
        <v>59</v>
      </c>
      <c r="E40" s="402">
        <f>C21</f>
        <v>70</v>
      </c>
      <c r="G40" s="193" t="s">
        <v>1</v>
      </c>
      <c r="I40" s="267" t="s">
        <v>560</v>
      </c>
    </row>
    <row r="41" spans="2:27" outlineLevel="1" x14ac:dyDescent="0.25">
      <c r="B41" s="266"/>
      <c r="E41" s="402"/>
      <c r="I41" s="403"/>
    </row>
    <row r="42" spans="2:27" ht="48.95" customHeight="1" outlineLevel="1" x14ac:dyDescent="0.25">
      <c r="B42" s="252" t="s">
        <v>194</v>
      </c>
      <c r="C42" s="254"/>
      <c r="D42" s="254"/>
      <c r="E42" s="404">
        <f>56.5*1.29^(C15-2019)</f>
        <v>94.021650000000008</v>
      </c>
      <c r="G42" s="405" t="s">
        <v>32</v>
      </c>
      <c r="I42" s="406" t="s">
        <v>174</v>
      </c>
      <c r="J42" s="406"/>
      <c r="K42" s="406"/>
      <c r="L42" s="406"/>
    </row>
    <row r="43" spans="2:27" ht="21" customHeight="1" outlineLevel="1" x14ac:dyDescent="0.25">
      <c r="B43" s="252"/>
      <c r="C43" s="254"/>
      <c r="D43" s="254"/>
      <c r="E43" s="254"/>
      <c r="G43" s="405"/>
      <c r="I43" s="406"/>
      <c r="J43" s="406"/>
      <c r="K43" s="406"/>
      <c r="L43" s="406"/>
    </row>
    <row r="44" spans="2:27" outlineLevel="1" x14ac:dyDescent="0.25">
      <c r="B44" s="334" t="s">
        <v>30</v>
      </c>
      <c r="C44" s="254"/>
      <c r="D44" s="254"/>
      <c r="E44" s="407">
        <v>0.6</v>
      </c>
      <c r="G44" s="255" t="s">
        <v>2</v>
      </c>
      <c r="I44" s="255" t="s">
        <v>168</v>
      </c>
      <c r="J44" s="254"/>
    </row>
    <row r="45" spans="2:27" outlineLevel="1" x14ac:dyDescent="0.25">
      <c r="B45" s="263" t="s">
        <v>31</v>
      </c>
      <c r="C45" s="254"/>
      <c r="D45" s="254"/>
      <c r="E45" s="264">
        <v>5.7000000000000002E-2</v>
      </c>
      <c r="G45" s="263" t="s">
        <v>2</v>
      </c>
      <c r="I45" s="255" t="s">
        <v>168</v>
      </c>
      <c r="J45" s="254"/>
    </row>
    <row r="46" spans="2:27" outlineLevel="1" x14ac:dyDescent="0.25">
      <c r="B46" s="266" t="s">
        <v>71</v>
      </c>
      <c r="E46" s="402">
        <v>0</v>
      </c>
      <c r="G46" s="193" t="s">
        <v>1</v>
      </c>
      <c r="I46" s="267" t="s">
        <v>520</v>
      </c>
    </row>
    <row r="47" spans="2:27" outlineLevel="1" x14ac:dyDescent="0.25">
      <c r="B47" s="266" t="s">
        <v>164</v>
      </c>
      <c r="E47" s="408">
        <v>0</v>
      </c>
      <c r="G47" s="193" t="s">
        <v>1</v>
      </c>
      <c r="I47" s="267" t="s">
        <v>521</v>
      </c>
    </row>
    <row r="50" spans="2:27" x14ac:dyDescent="0.25">
      <c r="B50" s="209" t="s">
        <v>1311</v>
      </c>
      <c r="C50" s="209"/>
      <c r="D50" s="209"/>
      <c r="E50" s="209"/>
      <c r="F50" s="209"/>
    </row>
    <row r="52" spans="2:27" ht="57.95" customHeight="1" x14ac:dyDescent="0.25">
      <c r="B52" s="399" t="s">
        <v>525</v>
      </c>
      <c r="C52" s="332" t="s">
        <v>561</v>
      </c>
      <c r="D52" s="332"/>
      <c r="E52" s="332"/>
      <c r="F52" s="332"/>
    </row>
    <row r="53" spans="2:27" ht="80.099999999999994" customHeight="1" x14ac:dyDescent="0.25">
      <c r="B53" s="399" t="s">
        <v>547</v>
      </c>
      <c r="C53" s="332" t="s">
        <v>563</v>
      </c>
      <c r="D53" s="332"/>
      <c r="E53" s="332"/>
      <c r="F53" s="332"/>
    </row>
    <row r="54" spans="2:27" x14ac:dyDescent="0.25">
      <c r="B54" s="343"/>
    </row>
    <row r="55" spans="2:27" x14ac:dyDescent="0.25">
      <c r="B55" s="291" t="s">
        <v>29</v>
      </c>
      <c r="C55" s="291"/>
      <c r="D55" s="291"/>
      <c r="E55" s="291"/>
      <c r="F55" s="291"/>
      <c r="G55" s="291"/>
      <c r="H55" s="291"/>
      <c r="I55" s="291"/>
      <c r="J55" s="291"/>
      <c r="K55" s="291"/>
      <c r="L55" s="291"/>
    </row>
    <row r="56" spans="2:27" x14ac:dyDescent="0.25">
      <c r="B56" s="292" t="s">
        <v>171</v>
      </c>
      <c r="C56" s="293"/>
      <c r="D56" s="293"/>
      <c r="E56" s="293"/>
      <c r="F56" s="293"/>
      <c r="G56" s="293"/>
      <c r="H56" s="293"/>
      <c r="I56" s="293"/>
      <c r="J56" s="293"/>
      <c r="K56" s="293"/>
      <c r="L56" s="293"/>
    </row>
    <row r="57" spans="2:27" x14ac:dyDescent="0.25">
      <c r="B57" s="307" t="s">
        <v>26</v>
      </c>
      <c r="C57" s="307">
        <f>Hypothèses_projet!$C$3</f>
        <v>2021</v>
      </c>
      <c r="D57" s="307">
        <f>IF(Hypothèses_projet!$C$6&lt;=C57,"",C57+1)</f>
        <v>2022</v>
      </c>
      <c r="E57" s="307">
        <f>IF(Hypothèses_projet!$C$6&lt;=D57,"",D57+1)</f>
        <v>2023</v>
      </c>
      <c r="F57" s="307">
        <f>IF(Hypothèses_projet!$C$6&lt;=E57,"",E57+1)</f>
        <v>2024</v>
      </c>
      <c r="G57" s="307">
        <f>IF(Hypothèses_projet!$C$6&lt;=F57,"",F57+1)</f>
        <v>2025</v>
      </c>
      <c r="H57" s="307">
        <f>IF(Hypothèses_projet!$C$6&lt;=G57,"",G57+1)</f>
        <v>2026</v>
      </c>
      <c r="I57" s="307">
        <f>IF(Hypothèses_projet!$C$6&lt;=H57,"",H57+1)</f>
        <v>2027</v>
      </c>
      <c r="J57" s="307">
        <f>IF(Hypothèses_projet!$C$6&lt;=I57,"",I57+1)</f>
        <v>2028</v>
      </c>
      <c r="K57" s="307">
        <f>IF(Hypothèses_projet!$C$6&lt;=J57,"",J57+1)</f>
        <v>2029</v>
      </c>
      <c r="L57" s="307">
        <f>IF(Hypothèses_projet!$C$6&lt;=K57,"",K57+1)</f>
        <v>2030</v>
      </c>
      <c r="M57" s="307">
        <f>IF(Hypothèses_projet!$C$6&lt;=L57,"",L57+1)</f>
        <v>2031</v>
      </c>
      <c r="N57" s="307">
        <f>IF(Hypothèses_projet!$C$6&lt;=M57,"",M57+1)</f>
        <v>2032</v>
      </c>
      <c r="O57" s="307">
        <f>IF(Hypothèses_projet!$C$6&lt;=N57,"",N57+1)</f>
        <v>2033</v>
      </c>
      <c r="P57" s="307">
        <f>IF(Hypothèses_projet!$C$6&lt;=O57,"",O57+1)</f>
        <v>2034</v>
      </c>
      <c r="Q57" s="307">
        <f>IF(Hypothèses_projet!$C$6&lt;=P57,"",P57+1)</f>
        <v>2035</v>
      </c>
      <c r="R57" s="307">
        <f>IF(Hypothèses_projet!$C$6&lt;=Q57,"",Q57+1)</f>
        <v>2036</v>
      </c>
      <c r="S57" s="307">
        <f>IF(Hypothèses_projet!$C$6&lt;=R57,"",R57+1)</f>
        <v>2037</v>
      </c>
      <c r="T57" s="307">
        <f>IF(Hypothèses_projet!$C$6&lt;=S57,"",S57+1)</f>
        <v>2038</v>
      </c>
      <c r="U57" s="307">
        <f>IF(Hypothèses_projet!$C$6&lt;=T57,"",T57+1)</f>
        <v>2039</v>
      </c>
      <c r="V57" s="307">
        <f>IF(Hypothèses_projet!$C$6&lt;=U57,"",U57+1)</f>
        <v>2040</v>
      </c>
      <c r="W57" s="307" t="str">
        <f>IF(Hypothèses_projet!$C$6&lt;=V57,"",V57+1)</f>
        <v/>
      </c>
      <c r="X57" s="307" t="str">
        <f>IF(Hypothèses_projet!$C$6&lt;=W57,"",W57+1)</f>
        <v/>
      </c>
      <c r="Y57" s="307" t="str">
        <f>IF(Hypothèses_projet!$C$6&lt;=X57,"",X57+1)</f>
        <v/>
      </c>
      <c r="Z57" s="307" t="str">
        <f>IF(Hypothèses_projet!$C$6&lt;=Y57,"",Y57+1)</f>
        <v/>
      </c>
      <c r="AA57" s="307" t="str">
        <f>IF(Hypothèses_projet!$C$6&lt;=Z57,"",Z57+1)</f>
        <v/>
      </c>
    </row>
    <row r="58" spans="2:27" x14ac:dyDescent="0.25">
      <c r="B58" s="364" t="s">
        <v>150</v>
      </c>
      <c r="C58" s="290">
        <f t="shared" ref="C58:AA58" ca="1" si="5">IF(C57="","",C59*($E$66-$E$68)*$E$64/100*$E$69/1000000)</f>
        <v>0</v>
      </c>
      <c r="D58" s="290">
        <f t="shared" ca="1" si="5"/>
        <v>-19.425105730325917</v>
      </c>
      <c r="E58" s="290">
        <f t="shared" ca="1" si="5"/>
        <v>-39.271730048895769</v>
      </c>
      <c r="F58" s="290">
        <f t="shared" ca="1" si="5"/>
        <v>-59.54719218660243</v>
      </c>
      <c r="G58" s="290">
        <f t="shared" ca="1" si="5"/>
        <v>-80.25892633720315</v>
      </c>
      <c r="H58" s="290">
        <f t="shared" ca="1" si="5"/>
        <v>-101.41448336245946</v>
      </c>
      <c r="I58" s="290">
        <f t="shared" ca="1" si="5"/>
        <v>-123.02153252164571</v>
      </c>
      <c r="J58" s="290">
        <f t="shared" ca="1" si="5"/>
        <v>-145.08786322576438</v>
      </c>
      <c r="K58" s="290">
        <f t="shared" ca="1" si="5"/>
        <v>-167.62138681681492</v>
      </c>
      <c r="L58" s="290">
        <f t="shared" ca="1" si="5"/>
        <v>-190.63013837246251</v>
      </c>
      <c r="M58" s="290">
        <f t="shared" ca="1" si="5"/>
        <v>-214.12227853646007</v>
      </c>
      <c r="N58" s="290">
        <f t="shared" ca="1" si="5"/>
        <v>-238.10609537518408</v>
      </c>
      <c r="O58" s="290">
        <f t="shared" ca="1" si="5"/>
        <v>-262.59000626064449</v>
      </c>
      <c r="P58" s="290">
        <f t="shared" ca="1" si="5"/>
        <v>-287.58255978033804</v>
      </c>
      <c r="Q58" s="290">
        <f t="shared" ca="1" si="5"/>
        <v>-313.09243767431889</v>
      </c>
      <c r="R58" s="290">
        <f t="shared" ca="1" si="5"/>
        <v>-339.12845679986299</v>
      </c>
      <c r="S58" s="290">
        <f t="shared" ca="1" si="5"/>
        <v>-365.69957112411134</v>
      </c>
      <c r="T58" s="290">
        <f t="shared" ca="1" si="5"/>
        <v>-392.81487374507861</v>
      </c>
      <c r="U58" s="290">
        <f t="shared" ca="1" si="5"/>
        <v>-420.48359894142351</v>
      </c>
      <c r="V58" s="290">
        <f t="shared" ca="1" si="5"/>
        <v>-468.17718393371655</v>
      </c>
      <c r="W58" s="290" t="str">
        <f t="shared" si="5"/>
        <v/>
      </c>
      <c r="X58" s="290" t="str">
        <f t="shared" si="5"/>
        <v/>
      </c>
      <c r="Y58" s="290" t="str">
        <f t="shared" si="5"/>
        <v/>
      </c>
      <c r="Z58" s="290" t="str">
        <f t="shared" si="5"/>
        <v/>
      </c>
      <c r="AA58" s="290" t="str">
        <f t="shared" si="5"/>
        <v/>
      </c>
    </row>
    <row r="59" spans="2:27" x14ac:dyDescent="0.25">
      <c r="B59" s="248" t="s">
        <v>169</v>
      </c>
      <c r="C59" s="290" cm="1">
        <f t="array" aca="1" ref="C59" ca="1">IF(C57="","",INDIRECT("I"&amp;C60))</f>
        <v>0</v>
      </c>
      <c r="D59" s="290" cm="1">
        <f t="array" aca="1" ref="D59" ca="1">IF(D57="","",INDIRECT("I"&amp;D60))</f>
        <v>7512.0000000000146</v>
      </c>
      <c r="E59" s="290" cm="1">
        <f t="array" aca="1" ref="E59" ca="1">IF(E57="","",INDIRECT("I"&amp;E60))</f>
        <v>15187.008000000002</v>
      </c>
      <c r="F59" s="290" cm="1">
        <f t="array" aca="1" ref="F59" ca="1">IF(F57="","",INDIRECT("I"&amp;F60))</f>
        <v>23027.854464000033</v>
      </c>
      <c r="G59" s="290" cm="1">
        <f t="array" aca="1" ref="G59" ca="1">IF(G57="","",INDIRECT("I"&amp;G60))</f>
        <v>31037.414313984045</v>
      </c>
      <c r="H59" s="290" cm="1">
        <f t="array" aca="1" ref="H59" ca="1">IF(H57="","",INDIRECT("I"&amp;H60))</f>
        <v>39218.60758932482</v>
      </c>
      <c r="I59" s="290" cm="1">
        <f t="array" aca="1" ref="I59" ca="1">IF(I57="","",INDIRECT("I"&amp;I60))</f>
        <v>47574.400115612603</v>
      </c>
      <c r="J59" s="290" cm="1">
        <f t="array" aca="1" ref="J59" ca="1">IF(J57="","",INDIRECT("I"&amp;J60))</f>
        <v>56107.804183038417</v>
      </c>
      <c r="K59" s="290" cm="1">
        <f t="array" aca="1" ref="K59" ca="1">IF(K57="","",INDIRECT("I"&amp;K60))</f>
        <v>64821.8792344658</v>
      </c>
      <c r="L59" s="290" cm="1">
        <f t="array" aca="1" ref="L59" ca="1">IF(L57="","",INDIRECT("I"&amp;L60))</f>
        <v>73719.732563325117</v>
      </c>
      <c r="M59" s="290" cm="1">
        <f t="array" aca="1" ref="M59" ca="1">IF(M57="","",INDIRECT("I"&amp;M60))</f>
        <v>82804.520021467266</v>
      </c>
      <c r="N59" s="290" cm="1">
        <f t="array" aca="1" ref="N59" ca="1">IF(N57="","",INDIRECT("I"&amp;N60))</f>
        <v>92079.446737115708</v>
      </c>
      <c r="O59" s="290" cm="1">
        <f t="array" aca="1" ref="O59" ca="1">IF(O57="","",INDIRECT("I"&amp;O60))</f>
        <v>101547.76784305662</v>
      </c>
      <c r="P59" s="290" cm="1">
        <f t="array" aca="1" ref="P59" ca="1">IF(P57="","",INDIRECT("I"&amp;P60))</f>
        <v>111212.78921520995</v>
      </c>
      <c r="Q59" s="290" cm="1">
        <f t="array" aca="1" ref="Q59" ca="1">IF(Q57="","",INDIRECT("I"&amp;Q60))</f>
        <v>121077.8682217256</v>
      </c>
      <c r="R59" s="290" cm="1">
        <f t="array" aca="1" ref="R59" ca="1">IF(R57="","",INDIRECT("I"&amp;R60))</f>
        <v>131146.41448275055</v>
      </c>
      <c r="S59" s="290" cm="1">
        <f t="array" aca="1" ref="S59" ca="1">IF(S57="","",INDIRECT("I"&amp;S60))</f>
        <v>141421.89064101625</v>
      </c>
      <c r="T59" s="290" cm="1">
        <f t="array" aca="1" ref="T59" ca="1">IF(T57="","",INDIRECT("I"&amp;T60))</f>
        <v>151907.81314339477</v>
      </c>
      <c r="U59" s="290" cm="1">
        <f t="array" aca="1" ref="U59" ca="1">IF(U57="","",INDIRECT("I"&amp;U60))</f>
        <v>162607.7530335781</v>
      </c>
      <c r="V59" s="290" cm="1">
        <f t="array" aca="1" ref="V59" ca="1">IF(V57="","",INDIRECT("I"&amp;V60))</f>
        <v>181051.62744208536</v>
      </c>
      <c r="W59" s="290" t="str" cm="1">
        <f t="array" aca="1" ref="W59" ca="1">IF(W57="","",INDIRECT("I"&amp;W60))</f>
        <v/>
      </c>
      <c r="X59" s="290" t="str" cm="1">
        <f t="array" aca="1" ref="X59" ca="1">IF(X57="","",INDIRECT("I"&amp;X60))</f>
        <v/>
      </c>
      <c r="Y59" s="290" t="str" cm="1">
        <f t="array" aca="1" ref="Y59" ca="1">IF(Y57="","",INDIRECT("I"&amp;Y60))</f>
        <v/>
      </c>
      <c r="Z59" s="290" t="str" cm="1">
        <f t="array" aca="1" ref="Z59" ca="1">IF(Z57="","",INDIRECT("I"&amp;Z60))</f>
        <v/>
      </c>
      <c r="AA59" s="290" t="str" cm="1">
        <f t="array" aca="1" ref="AA59" ca="1">IF(AA57="","",INDIRECT("I"&amp;AA60))</f>
        <v/>
      </c>
    </row>
    <row r="60" spans="2:27" hidden="1" x14ac:dyDescent="0.25">
      <c r="B60" s="368"/>
      <c r="C60" s="98">
        <f>ROW(D230)</f>
        <v>230</v>
      </c>
      <c r="D60" s="98">
        <f>C60+1</f>
        <v>231</v>
      </c>
      <c r="E60" s="98">
        <f t="shared" ref="E60:AA60" si="6">D60+1</f>
        <v>232</v>
      </c>
      <c r="F60" s="98">
        <f t="shared" si="6"/>
        <v>233</v>
      </c>
      <c r="G60" s="98">
        <f t="shared" si="6"/>
        <v>234</v>
      </c>
      <c r="H60" s="98">
        <f t="shared" si="6"/>
        <v>235</v>
      </c>
      <c r="I60" s="98">
        <f t="shared" si="6"/>
        <v>236</v>
      </c>
      <c r="J60" s="98">
        <f t="shared" si="6"/>
        <v>237</v>
      </c>
      <c r="K60" s="98">
        <f t="shared" si="6"/>
        <v>238</v>
      </c>
      <c r="L60" s="98">
        <f t="shared" si="6"/>
        <v>239</v>
      </c>
      <c r="M60" s="98">
        <f t="shared" si="6"/>
        <v>240</v>
      </c>
      <c r="N60" s="98">
        <f t="shared" si="6"/>
        <v>241</v>
      </c>
      <c r="O60" s="98">
        <f t="shared" si="6"/>
        <v>242</v>
      </c>
      <c r="P60" s="98">
        <f t="shared" si="6"/>
        <v>243</v>
      </c>
      <c r="Q60" s="98">
        <f t="shared" si="6"/>
        <v>244</v>
      </c>
      <c r="R60" s="98">
        <f t="shared" si="6"/>
        <v>245</v>
      </c>
      <c r="S60" s="98">
        <f t="shared" si="6"/>
        <v>246</v>
      </c>
      <c r="T60" s="98">
        <f t="shared" si="6"/>
        <v>247</v>
      </c>
      <c r="U60" s="98">
        <f t="shared" si="6"/>
        <v>248</v>
      </c>
      <c r="V60" s="98">
        <f t="shared" si="6"/>
        <v>249</v>
      </c>
      <c r="W60" s="98">
        <f t="shared" si="6"/>
        <v>250</v>
      </c>
      <c r="X60" s="98">
        <f t="shared" si="6"/>
        <v>251</v>
      </c>
      <c r="Y60" s="98">
        <f t="shared" si="6"/>
        <v>252</v>
      </c>
      <c r="Z60" s="98">
        <f t="shared" si="6"/>
        <v>253</v>
      </c>
      <c r="AA60" s="98">
        <f t="shared" si="6"/>
        <v>254</v>
      </c>
    </row>
    <row r="62" spans="2:27" outlineLevel="1" x14ac:dyDescent="0.25">
      <c r="B62" s="249"/>
      <c r="C62" s="249"/>
      <c r="D62" s="205"/>
      <c r="E62" s="249" t="s">
        <v>19</v>
      </c>
      <c r="F62" s="205"/>
      <c r="G62" s="249" t="s">
        <v>4</v>
      </c>
      <c r="H62" s="205"/>
      <c r="I62" s="249" t="s">
        <v>83</v>
      </c>
    </row>
    <row r="63" spans="2:27" outlineLevel="1" x14ac:dyDescent="0.25"/>
    <row r="64" spans="2:27" outlineLevel="1" x14ac:dyDescent="0.25">
      <c r="B64" s="252" t="s">
        <v>6</v>
      </c>
      <c r="E64" s="164">
        <f>C22</f>
        <v>80</v>
      </c>
      <c r="G64" s="193" t="s">
        <v>1</v>
      </c>
      <c r="I64" s="267" t="s">
        <v>1259</v>
      </c>
    </row>
    <row r="65" spans="2:12" outlineLevel="1" x14ac:dyDescent="0.25">
      <c r="B65" s="409"/>
      <c r="I65" s="266"/>
    </row>
    <row r="66" spans="2:12" outlineLevel="1" x14ac:dyDescent="0.25">
      <c r="B66" s="252" t="s">
        <v>27</v>
      </c>
      <c r="C66" s="254"/>
      <c r="D66" s="254"/>
      <c r="E66" s="410">
        <v>5</v>
      </c>
      <c r="F66" s="254"/>
      <c r="G66" s="254" t="s">
        <v>28</v>
      </c>
      <c r="H66" s="254"/>
      <c r="I66" s="254" t="s">
        <v>172</v>
      </c>
      <c r="J66" s="254"/>
    </row>
    <row r="67" spans="2:12" outlineLevel="1" x14ac:dyDescent="0.25">
      <c r="B67" s="252" t="s">
        <v>56</v>
      </c>
      <c r="C67" s="254"/>
      <c r="D67" s="254"/>
      <c r="E67" s="410">
        <f>1.8*8760/1000</f>
        <v>15.768000000000001</v>
      </c>
      <c r="F67" s="254"/>
      <c r="G67" s="254" t="s">
        <v>28</v>
      </c>
      <c r="H67" s="254"/>
      <c r="I67" s="254" t="s">
        <v>172</v>
      </c>
      <c r="J67" s="254"/>
    </row>
    <row r="68" spans="2:12" outlineLevel="1" x14ac:dyDescent="0.25">
      <c r="B68" s="252" t="s">
        <v>57</v>
      </c>
      <c r="C68" s="254"/>
      <c r="D68" s="254"/>
      <c r="E68" s="410">
        <v>19</v>
      </c>
      <c r="F68" s="254"/>
      <c r="G68" s="254" t="s">
        <v>28</v>
      </c>
      <c r="H68" s="254"/>
      <c r="I68" s="254" t="s">
        <v>172</v>
      </c>
      <c r="J68" s="254"/>
    </row>
    <row r="69" spans="2:12" outlineLevel="1" x14ac:dyDescent="0.25">
      <c r="B69" s="266" t="s">
        <v>84</v>
      </c>
      <c r="E69" s="219">
        <f>C17</f>
        <v>230.88184773797497</v>
      </c>
      <c r="G69" s="193" t="s">
        <v>159</v>
      </c>
      <c r="I69" s="199" t="s">
        <v>383</v>
      </c>
    </row>
    <row r="70" spans="2:12" outlineLevel="1" x14ac:dyDescent="0.25">
      <c r="B70" s="266"/>
      <c r="I70" s="199"/>
    </row>
    <row r="71" spans="2:12" x14ac:dyDescent="0.25">
      <c r="B71" s="397"/>
      <c r="I71" s="266"/>
    </row>
    <row r="72" spans="2:12" x14ac:dyDescent="0.25">
      <c r="B72" s="411" t="s">
        <v>1234</v>
      </c>
      <c r="C72" s="412"/>
      <c r="D72" s="412"/>
      <c r="E72" s="412"/>
      <c r="F72" s="412"/>
      <c r="I72" s="266"/>
    </row>
    <row r="73" spans="2:12" x14ac:dyDescent="0.25">
      <c r="I73" s="266"/>
    </row>
    <row r="74" spans="2:12" x14ac:dyDescent="0.25">
      <c r="B74" s="343"/>
      <c r="I74" s="266"/>
    </row>
    <row r="75" spans="2:12" ht="174" customHeight="1" x14ac:dyDescent="0.25">
      <c r="B75" s="403" t="s">
        <v>525</v>
      </c>
      <c r="C75" s="413" t="s">
        <v>1336</v>
      </c>
      <c r="D75" s="413"/>
      <c r="E75" s="413"/>
      <c r="F75" s="413"/>
      <c r="I75" s="266"/>
    </row>
    <row r="76" spans="2:12" x14ac:dyDescent="0.25">
      <c r="B76" s="193" t="s">
        <v>564</v>
      </c>
      <c r="C76" s="414" t="s">
        <v>1268</v>
      </c>
      <c r="D76" s="414"/>
      <c r="E76" s="414"/>
      <c r="F76" s="414"/>
      <c r="I76" s="266"/>
    </row>
    <row r="77" spans="2:12" x14ac:dyDescent="0.25">
      <c r="C77" s="414"/>
      <c r="D77" s="414"/>
      <c r="E77" s="414"/>
      <c r="F77" s="414"/>
      <c r="I77" s="266"/>
    </row>
    <row r="78" spans="2:12" x14ac:dyDescent="0.25">
      <c r="C78" s="414"/>
      <c r="D78" s="414"/>
      <c r="E78" s="414"/>
      <c r="F78" s="414"/>
      <c r="I78" s="266"/>
      <c r="K78" s="193">
        <v>236</v>
      </c>
    </row>
    <row r="80" spans="2:12" x14ac:dyDescent="0.25">
      <c r="B80" s="291" t="s">
        <v>29</v>
      </c>
      <c r="C80" s="291"/>
      <c r="D80" s="291"/>
      <c r="E80" s="291"/>
      <c r="F80" s="291"/>
      <c r="G80" s="291"/>
      <c r="H80" s="291"/>
      <c r="I80" s="291"/>
      <c r="J80" s="291"/>
      <c r="K80" s="291"/>
      <c r="L80" s="291"/>
    </row>
    <row r="81" spans="2:27" x14ac:dyDescent="0.25">
      <c r="B81" s="292" t="s">
        <v>171</v>
      </c>
      <c r="C81" s="293"/>
      <c r="D81" s="293"/>
      <c r="E81" s="293"/>
      <c r="F81" s="293"/>
      <c r="G81" s="293"/>
      <c r="H81" s="293"/>
      <c r="I81" s="293"/>
      <c r="J81" s="293"/>
      <c r="K81" s="293"/>
      <c r="L81" s="293"/>
    </row>
    <row r="82" spans="2:27" x14ac:dyDescent="0.25">
      <c r="B82" s="307" t="s">
        <v>26</v>
      </c>
      <c r="C82" s="307">
        <f>Hypothèses_projet!$C$3</f>
        <v>2021</v>
      </c>
      <c r="D82" s="307">
        <f>IF(Hypothèses_projet!$C$6&lt;=C82,"",C82+1)</f>
        <v>2022</v>
      </c>
      <c r="E82" s="307">
        <f>IF(Hypothèses_projet!$C$6&lt;=D82,"",D82+1)</f>
        <v>2023</v>
      </c>
      <c r="F82" s="307">
        <f>IF(Hypothèses_projet!$C$6&lt;=E82,"",E82+1)</f>
        <v>2024</v>
      </c>
      <c r="G82" s="307">
        <f>IF(Hypothèses_projet!$C$6&lt;=F82,"",F82+1)</f>
        <v>2025</v>
      </c>
      <c r="H82" s="307">
        <f>IF(Hypothèses_projet!$C$6&lt;=G82,"",G82+1)</f>
        <v>2026</v>
      </c>
      <c r="I82" s="307">
        <f>IF(Hypothèses_projet!$C$6&lt;=H82,"",H82+1)</f>
        <v>2027</v>
      </c>
      <c r="J82" s="307">
        <f>IF(Hypothèses_projet!$C$6&lt;=I82,"",I82+1)</f>
        <v>2028</v>
      </c>
      <c r="K82" s="307">
        <f>IF(Hypothèses_projet!$C$6&lt;=J82,"",J82+1)</f>
        <v>2029</v>
      </c>
      <c r="L82" s="307">
        <f>IF(Hypothèses_projet!$C$6&lt;=K82,"",K82+1)</f>
        <v>2030</v>
      </c>
      <c r="M82" s="307">
        <f>IF(Hypothèses_projet!$C$6&lt;=L82,"",L82+1)</f>
        <v>2031</v>
      </c>
      <c r="N82" s="307">
        <f>IF(Hypothèses_projet!$C$6&lt;=M82,"",M82+1)</f>
        <v>2032</v>
      </c>
      <c r="O82" s="307">
        <f>IF(Hypothèses_projet!$C$6&lt;=N82,"",N82+1)</f>
        <v>2033</v>
      </c>
      <c r="P82" s="307">
        <f>IF(Hypothèses_projet!$C$6&lt;=O82,"",O82+1)</f>
        <v>2034</v>
      </c>
      <c r="Q82" s="307">
        <f>IF(Hypothèses_projet!$C$6&lt;=P82,"",P82+1)</f>
        <v>2035</v>
      </c>
      <c r="R82" s="307">
        <f>IF(Hypothèses_projet!$C$6&lt;=Q82,"",Q82+1)</f>
        <v>2036</v>
      </c>
      <c r="S82" s="307">
        <f>IF(Hypothèses_projet!$C$6&lt;=R82,"",R82+1)</f>
        <v>2037</v>
      </c>
      <c r="T82" s="307">
        <f>IF(Hypothèses_projet!$C$6&lt;=S82,"",S82+1)</f>
        <v>2038</v>
      </c>
      <c r="U82" s="307">
        <f>IF(Hypothèses_projet!$C$6&lt;=T82,"",T82+1)</f>
        <v>2039</v>
      </c>
      <c r="V82" s="307">
        <f>IF(Hypothèses_projet!$C$6&lt;=U82,"",U82+1)</f>
        <v>2040</v>
      </c>
      <c r="W82" s="307" t="str">
        <f>IF(Hypothèses_projet!$C$6&lt;=V82,"",V82+1)</f>
        <v/>
      </c>
      <c r="X82" s="307" t="str">
        <f>IF(Hypothèses_projet!$C$6&lt;=W82,"",W82+1)</f>
        <v/>
      </c>
      <c r="Y82" s="307" t="str">
        <f>IF(Hypothèses_projet!$C$6&lt;=X82,"",X82+1)</f>
        <v/>
      </c>
      <c r="Z82" s="307" t="str">
        <f>IF(Hypothèses_projet!$C$6&lt;=Y82,"",Y82+1)</f>
        <v/>
      </c>
      <c r="AA82" s="307" t="str">
        <f>IF(Hypothèses_projet!$C$6&lt;=Z82,"",Z82+1)</f>
        <v/>
      </c>
    </row>
    <row r="83" spans="2:27" x14ac:dyDescent="0.25">
      <c r="B83" s="364" t="s">
        <v>170</v>
      </c>
      <c r="C83" s="290">
        <f t="shared" ref="C83:AA83" ca="1" si="7">IF(C82="","",C86*$E$64/100*($E$122+$E$123*$E$124)/$E$125)</f>
        <v>0</v>
      </c>
      <c r="D83" s="290">
        <f t="shared" ca="1" si="7"/>
        <v>34.558846649318468</v>
      </c>
      <c r="E83" s="290">
        <f t="shared" ca="1" si="7"/>
        <v>69.867609229761953</v>
      </c>
      <c r="F83" s="290">
        <f t="shared" ca="1" si="7"/>
        <v>105.9393092497603</v>
      </c>
      <c r="G83" s="290">
        <f t="shared" ca="1" si="7"/>
        <v>142.78717274605091</v>
      </c>
      <c r="H83" s="290">
        <f t="shared" ca="1" si="7"/>
        <v>180.42463331726191</v>
      </c>
      <c r="I83" s="290">
        <f t="shared" ca="1" si="7"/>
        <v>218.86533520084822</v>
      </c>
      <c r="J83" s="290">
        <f t="shared" ca="1" si="7"/>
        <v>258.12313639398428</v>
      </c>
      <c r="K83" s="290">
        <f t="shared" ca="1" si="7"/>
        <v>298.21211181902828</v>
      </c>
      <c r="L83" s="290">
        <f t="shared" ca="1" si="7"/>
        <v>339.14655653417424</v>
      </c>
      <c r="M83" s="290">
        <f t="shared" ca="1" si="7"/>
        <v>380.94098898992308</v>
      </c>
      <c r="N83" s="290">
        <f t="shared" ca="1" si="7"/>
        <v>423.61015433201067</v>
      </c>
      <c r="O83" s="290">
        <f t="shared" ca="1" si="7"/>
        <v>467.16902775143501</v>
      </c>
      <c r="P83" s="290">
        <f t="shared" ca="1" si="7"/>
        <v>511.63281788224333</v>
      </c>
      <c r="Q83" s="290">
        <f t="shared" ca="1" si="7"/>
        <v>557.01697024773648</v>
      </c>
      <c r="R83" s="290">
        <f t="shared" ca="1" si="7"/>
        <v>603.3371707557676</v>
      </c>
      <c r="S83" s="290">
        <f t="shared" ca="1" si="7"/>
        <v>650.60934924381752</v>
      </c>
      <c r="T83" s="290">
        <f t="shared" ca="1" si="7"/>
        <v>698.84968307453335</v>
      </c>
      <c r="U83" s="290">
        <f t="shared" ca="1" si="7"/>
        <v>748.07460078243685</v>
      </c>
      <c r="V83" s="290">
        <f t="shared" ca="1" si="7"/>
        <v>832.92537651498355</v>
      </c>
      <c r="W83" s="290" t="str">
        <f t="shared" si="7"/>
        <v/>
      </c>
      <c r="X83" s="290" t="str">
        <f t="shared" si="7"/>
        <v/>
      </c>
      <c r="Y83" s="290" t="str">
        <f t="shared" si="7"/>
        <v/>
      </c>
      <c r="Z83" s="290" t="str">
        <f t="shared" si="7"/>
        <v/>
      </c>
      <c r="AA83" s="290" t="str">
        <f t="shared" si="7"/>
        <v/>
      </c>
    </row>
    <row r="84" spans="2:27" x14ac:dyDescent="0.25">
      <c r="B84" s="364" t="s">
        <v>257</v>
      </c>
      <c r="C84" s="290">
        <f>IF(C82="","",IF(C82=$C$15,$E$100+$E$101+$E$91,0))</f>
        <v>3384.6799997993635</v>
      </c>
      <c r="D84" s="290">
        <f t="shared" ref="D84:AA84" si="8">IF(D82="","",IF(D82=$C$15,$E$100+$E$101,0))</f>
        <v>0</v>
      </c>
      <c r="E84" s="290">
        <f t="shared" si="8"/>
        <v>0</v>
      </c>
      <c r="F84" s="290">
        <f t="shared" si="8"/>
        <v>0</v>
      </c>
      <c r="G84" s="290">
        <f t="shared" si="8"/>
        <v>0</v>
      </c>
      <c r="H84" s="290">
        <f t="shared" si="8"/>
        <v>0</v>
      </c>
      <c r="I84" s="290">
        <f t="shared" si="8"/>
        <v>0</v>
      </c>
      <c r="J84" s="290">
        <f t="shared" si="8"/>
        <v>0</v>
      </c>
      <c r="K84" s="290">
        <f t="shared" si="8"/>
        <v>0</v>
      </c>
      <c r="L84" s="290">
        <f t="shared" si="8"/>
        <v>0</v>
      </c>
      <c r="M84" s="290">
        <f t="shared" si="8"/>
        <v>0</v>
      </c>
      <c r="N84" s="290">
        <f t="shared" si="8"/>
        <v>0</v>
      </c>
      <c r="O84" s="290">
        <f t="shared" si="8"/>
        <v>0</v>
      </c>
      <c r="P84" s="290">
        <f t="shared" si="8"/>
        <v>0</v>
      </c>
      <c r="Q84" s="290">
        <f t="shared" si="8"/>
        <v>0</v>
      </c>
      <c r="R84" s="290">
        <f t="shared" si="8"/>
        <v>0</v>
      </c>
      <c r="S84" s="290">
        <f t="shared" si="8"/>
        <v>0</v>
      </c>
      <c r="T84" s="290">
        <f t="shared" si="8"/>
        <v>0</v>
      </c>
      <c r="U84" s="290">
        <f t="shared" si="8"/>
        <v>0</v>
      </c>
      <c r="V84" s="290">
        <f t="shared" si="8"/>
        <v>0</v>
      </c>
      <c r="W84" s="290" t="str">
        <f t="shared" si="8"/>
        <v/>
      </c>
      <c r="X84" s="290" t="str">
        <f t="shared" si="8"/>
        <v/>
      </c>
      <c r="Y84" s="290" t="str">
        <f t="shared" si="8"/>
        <v/>
      </c>
      <c r="Z84" s="290" t="str">
        <f t="shared" si="8"/>
        <v/>
      </c>
      <c r="AA84" s="290" t="str">
        <f t="shared" si="8"/>
        <v/>
      </c>
    </row>
    <row r="85" spans="2:27" ht="14.45" customHeight="1" x14ac:dyDescent="0.25">
      <c r="B85" s="248" t="s">
        <v>173</v>
      </c>
      <c r="C85" s="415">
        <f ca="1">IF(C82="","",C83+C84)</f>
        <v>3384.6799997993635</v>
      </c>
      <c r="D85" s="415">
        <f t="shared" ref="D85:AA85" ca="1" si="9">IF(D82="","",D83+D84)</f>
        <v>34.558846649318468</v>
      </c>
      <c r="E85" s="415">
        <f t="shared" ca="1" si="9"/>
        <v>69.867609229761953</v>
      </c>
      <c r="F85" s="415">
        <f t="shared" ca="1" si="9"/>
        <v>105.9393092497603</v>
      </c>
      <c r="G85" s="415">
        <f t="shared" ca="1" si="9"/>
        <v>142.78717274605091</v>
      </c>
      <c r="H85" s="415">
        <f t="shared" ca="1" si="9"/>
        <v>180.42463331726191</v>
      </c>
      <c r="I85" s="415">
        <f t="shared" ca="1" si="9"/>
        <v>218.86533520084822</v>
      </c>
      <c r="J85" s="415">
        <f t="shared" ca="1" si="9"/>
        <v>258.12313639398428</v>
      </c>
      <c r="K85" s="415">
        <f t="shared" ca="1" si="9"/>
        <v>298.21211181902828</v>
      </c>
      <c r="L85" s="415">
        <f t="shared" ca="1" si="9"/>
        <v>339.14655653417424</v>
      </c>
      <c r="M85" s="415">
        <f t="shared" ca="1" si="9"/>
        <v>380.94098898992308</v>
      </c>
      <c r="N85" s="415">
        <f t="shared" ca="1" si="9"/>
        <v>423.61015433201067</v>
      </c>
      <c r="O85" s="415">
        <f t="shared" ca="1" si="9"/>
        <v>467.16902775143501</v>
      </c>
      <c r="P85" s="415">
        <f t="shared" ca="1" si="9"/>
        <v>511.63281788224333</v>
      </c>
      <c r="Q85" s="415">
        <f t="shared" ca="1" si="9"/>
        <v>557.01697024773648</v>
      </c>
      <c r="R85" s="415">
        <f t="shared" ca="1" si="9"/>
        <v>603.3371707557676</v>
      </c>
      <c r="S85" s="415">
        <f t="shared" ca="1" si="9"/>
        <v>650.60934924381752</v>
      </c>
      <c r="T85" s="415">
        <f t="shared" ca="1" si="9"/>
        <v>698.84968307453335</v>
      </c>
      <c r="U85" s="415">
        <f t="shared" ca="1" si="9"/>
        <v>748.07460078243685</v>
      </c>
      <c r="V85" s="415">
        <f t="shared" ca="1" si="9"/>
        <v>832.92537651498355</v>
      </c>
      <c r="W85" s="415" t="str">
        <f t="shared" si="9"/>
        <v/>
      </c>
      <c r="X85" s="415" t="str">
        <f t="shared" si="9"/>
        <v/>
      </c>
      <c r="Y85" s="415" t="str">
        <f t="shared" si="9"/>
        <v/>
      </c>
      <c r="Z85" s="415" t="str">
        <f t="shared" si="9"/>
        <v/>
      </c>
      <c r="AA85" s="415" t="str">
        <f t="shared" si="9"/>
        <v/>
      </c>
    </row>
    <row r="86" spans="2:27" x14ac:dyDescent="0.25">
      <c r="B86" s="248" t="s">
        <v>169</v>
      </c>
      <c r="C86" s="290" cm="1">
        <f t="array" aca="1" ref="C86" ca="1">IF(C82="","",INDIRECT("I"&amp;C87))</f>
        <v>0</v>
      </c>
      <c r="D86" s="290" cm="1">
        <f t="array" aca="1" ref="D86" ca="1">IF(D82="","",INDIRECT("I"&amp;D87))</f>
        <v>7512.0000000000146</v>
      </c>
      <c r="E86" s="290" cm="1">
        <f t="array" aca="1" ref="E86" ca="1">IF(E82="","",INDIRECT("I"&amp;E87))</f>
        <v>15187.008000000002</v>
      </c>
      <c r="F86" s="290" cm="1">
        <f t="array" aca="1" ref="F86" ca="1">IF(F82="","",INDIRECT("I"&amp;F87))</f>
        <v>23027.854464000033</v>
      </c>
      <c r="G86" s="290" cm="1">
        <f t="array" aca="1" ref="G86" ca="1">IF(G82="","",INDIRECT("I"&amp;G87))</f>
        <v>31037.414313984045</v>
      </c>
      <c r="H86" s="290" cm="1">
        <f t="array" aca="1" ref="H86" ca="1">IF(H82="","",INDIRECT("I"&amp;H87))</f>
        <v>39218.60758932482</v>
      </c>
      <c r="I86" s="290" cm="1">
        <f t="array" aca="1" ref="I86" ca="1">IF(I82="","",INDIRECT("I"&amp;I87))</f>
        <v>47574.400115612603</v>
      </c>
      <c r="J86" s="290" cm="1">
        <f t="array" aca="1" ref="J86" ca="1">IF(J82="","",INDIRECT("I"&amp;J87))</f>
        <v>56107.804183038417</v>
      </c>
      <c r="K86" s="290" cm="1">
        <f t="array" aca="1" ref="K86" ca="1">IF(K82="","",INDIRECT("I"&amp;K87))</f>
        <v>64821.8792344658</v>
      </c>
      <c r="L86" s="290" cm="1">
        <f t="array" aca="1" ref="L86" ca="1">IF(L82="","",INDIRECT("I"&amp;L87))</f>
        <v>73719.732563325117</v>
      </c>
      <c r="M86" s="290" cm="1">
        <f t="array" aca="1" ref="M86" ca="1">IF(M82="","",INDIRECT("I"&amp;M87))</f>
        <v>82804.520021467266</v>
      </c>
      <c r="N86" s="290" cm="1">
        <f t="array" aca="1" ref="N86" ca="1">IF(N82="","",INDIRECT("I"&amp;N87))</f>
        <v>92079.446737115708</v>
      </c>
      <c r="O86" s="290" cm="1">
        <f t="array" aca="1" ref="O86" ca="1">IF(O82="","",INDIRECT("I"&amp;O87))</f>
        <v>101547.76784305662</v>
      </c>
      <c r="P86" s="290" cm="1">
        <f t="array" aca="1" ref="P86" ca="1">IF(P82="","",INDIRECT("I"&amp;P87))</f>
        <v>111212.78921520995</v>
      </c>
      <c r="Q86" s="290" cm="1">
        <f t="array" aca="1" ref="Q86" ca="1">IF(Q82="","",INDIRECT("I"&amp;Q87))</f>
        <v>121077.8682217256</v>
      </c>
      <c r="R86" s="290" cm="1">
        <f t="array" aca="1" ref="R86" ca="1">IF(R82="","",INDIRECT("I"&amp;R87))</f>
        <v>131146.41448275055</v>
      </c>
      <c r="S86" s="290" cm="1">
        <f t="array" aca="1" ref="S86" ca="1">IF(S82="","",INDIRECT("I"&amp;S87))</f>
        <v>141421.89064101625</v>
      </c>
      <c r="T86" s="290" cm="1">
        <f t="array" aca="1" ref="T86" ca="1">IF(T82="","",INDIRECT("I"&amp;T87))</f>
        <v>151907.81314339477</v>
      </c>
      <c r="U86" s="290" cm="1">
        <f t="array" aca="1" ref="U86" ca="1">IF(U82="","",INDIRECT("I"&amp;U87))</f>
        <v>162607.7530335781</v>
      </c>
      <c r="V86" s="290" cm="1">
        <f t="array" aca="1" ref="V86" ca="1">IF(V82="","",INDIRECT("I"&amp;V87))</f>
        <v>181051.62744208536</v>
      </c>
      <c r="W86" s="290" t="str" cm="1">
        <f t="array" aca="1" ref="W86" ca="1">IF(W82="","",INDIRECT("I"&amp;W87))</f>
        <v/>
      </c>
      <c r="X86" s="290" t="str" cm="1">
        <f t="array" aca="1" ref="X86" ca="1">IF(X82="","",INDIRECT("I"&amp;X87))</f>
        <v/>
      </c>
      <c r="Y86" s="290" t="str" cm="1">
        <f t="array" aca="1" ref="Y86" ca="1">IF(Y82="","",INDIRECT("I"&amp;Y87))</f>
        <v/>
      </c>
      <c r="Z86" s="290" t="str" cm="1">
        <f t="array" aca="1" ref="Z86" ca="1">IF(Z82="","",INDIRECT("I"&amp;Z87))</f>
        <v/>
      </c>
      <c r="AA86" s="290" t="str" cm="1">
        <f t="array" aca="1" ref="AA86" ca="1">IF(AA82="","",INDIRECT("I"&amp;AA87))</f>
        <v/>
      </c>
    </row>
    <row r="87" spans="2:27" hidden="1" x14ac:dyDescent="0.25">
      <c r="B87" s="368"/>
      <c r="C87" s="98">
        <f>ROW(D230)</f>
        <v>230</v>
      </c>
      <c r="D87" s="98">
        <f>C87+1</f>
        <v>231</v>
      </c>
      <c r="E87" s="98">
        <f t="shared" ref="E87:AA87" si="10">D87+1</f>
        <v>232</v>
      </c>
      <c r="F87" s="98">
        <f t="shared" si="10"/>
        <v>233</v>
      </c>
      <c r="G87" s="98">
        <f t="shared" si="10"/>
        <v>234</v>
      </c>
      <c r="H87" s="98">
        <f t="shared" si="10"/>
        <v>235</v>
      </c>
      <c r="I87" s="98">
        <f t="shared" si="10"/>
        <v>236</v>
      </c>
      <c r="J87" s="98">
        <f t="shared" si="10"/>
        <v>237</v>
      </c>
      <c r="K87" s="98">
        <f t="shared" si="10"/>
        <v>238</v>
      </c>
      <c r="L87" s="98">
        <f t="shared" si="10"/>
        <v>239</v>
      </c>
      <c r="M87" s="98">
        <f t="shared" si="10"/>
        <v>240</v>
      </c>
      <c r="N87" s="98">
        <f t="shared" si="10"/>
        <v>241</v>
      </c>
      <c r="O87" s="98">
        <f t="shared" si="10"/>
        <v>242</v>
      </c>
      <c r="P87" s="98">
        <f t="shared" si="10"/>
        <v>243</v>
      </c>
      <c r="Q87" s="98">
        <f t="shared" si="10"/>
        <v>244</v>
      </c>
      <c r="R87" s="98">
        <f t="shared" si="10"/>
        <v>245</v>
      </c>
      <c r="S87" s="98">
        <f t="shared" si="10"/>
        <v>246</v>
      </c>
      <c r="T87" s="98">
        <f t="shared" si="10"/>
        <v>247</v>
      </c>
      <c r="U87" s="98">
        <f t="shared" si="10"/>
        <v>248</v>
      </c>
      <c r="V87" s="98">
        <f t="shared" si="10"/>
        <v>249</v>
      </c>
      <c r="W87" s="98">
        <f t="shared" si="10"/>
        <v>250</v>
      </c>
      <c r="X87" s="98">
        <f t="shared" si="10"/>
        <v>251</v>
      </c>
      <c r="Y87" s="98">
        <f t="shared" si="10"/>
        <v>252</v>
      </c>
      <c r="Z87" s="98">
        <f t="shared" si="10"/>
        <v>253</v>
      </c>
      <c r="AA87" s="98">
        <f t="shared" si="10"/>
        <v>254</v>
      </c>
    </row>
    <row r="88" spans="2:27" x14ac:dyDescent="0.25">
      <c r="I88" s="266"/>
    </row>
    <row r="89" spans="2:27" x14ac:dyDescent="0.25">
      <c r="B89" s="249"/>
      <c r="C89" s="249"/>
      <c r="D89" s="205"/>
      <c r="E89" s="249" t="s">
        <v>19</v>
      </c>
      <c r="F89" s="205"/>
      <c r="G89" s="249" t="s">
        <v>4</v>
      </c>
      <c r="H89" s="205"/>
      <c r="I89" s="249" t="s">
        <v>83</v>
      </c>
    </row>
    <row r="90" spans="2:27" x14ac:dyDescent="0.25">
      <c r="B90" s="231" t="s">
        <v>1267</v>
      </c>
    </row>
    <row r="91" spans="2:27" x14ac:dyDescent="0.25">
      <c r="B91" s="266" t="s">
        <v>1269</v>
      </c>
      <c r="E91" s="416">
        <f>E92*E107/1000+E95*E96*E94/1000</f>
        <v>2037.5097428984805</v>
      </c>
      <c r="G91" s="193" t="s">
        <v>99</v>
      </c>
    </row>
    <row r="92" spans="2:27" x14ac:dyDescent="0.25">
      <c r="B92" s="405" t="s">
        <v>1266</v>
      </c>
      <c r="E92" s="417">
        <v>17317.194857969607</v>
      </c>
      <c r="G92" s="405" t="s">
        <v>324</v>
      </c>
      <c r="I92" s="266" t="s">
        <v>1236</v>
      </c>
    </row>
    <row r="93" spans="2:27" x14ac:dyDescent="0.25">
      <c r="I93" s="266" t="s">
        <v>1237</v>
      </c>
    </row>
    <row r="94" spans="2:27" ht="55.5" customHeight="1" x14ac:dyDescent="0.25">
      <c r="B94" s="405" t="s">
        <v>1261</v>
      </c>
      <c r="C94" s="418"/>
      <c r="D94" s="405"/>
      <c r="E94" s="419">
        <v>642</v>
      </c>
      <c r="F94" s="405"/>
      <c r="G94" s="149" t="s">
        <v>1264</v>
      </c>
      <c r="H94" s="266"/>
      <c r="I94" s="414" t="s">
        <v>1262</v>
      </c>
      <c r="J94" s="414"/>
      <c r="K94" s="414"/>
      <c r="L94" s="414"/>
      <c r="M94" s="414"/>
      <c r="N94" s="414"/>
      <c r="O94" s="414"/>
      <c r="P94" s="414"/>
      <c r="Q94" s="414"/>
      <c r="R94" s="414"/>
      <c r="S94" s="414"/>
      <c r="T94" s="414"/>
    </row>
    <row r="95" spans="2:27" x14ac:dyDescent="0.25">
      <c r="B95" s="266" t="s">
        <v>1260</v>
      </c>
      <c r="E95" s="163">
        <v>5</v>
      </c>
      <c r="G95" s="193" t="s">
        <v>1265</v>
      </c>
      <c r="I95" s="343" t="s">
        <v>256</v>
      </c>
    </row>
    <row r="96" spans="2:27" x14ac:dyDescent="0.25">
      <c r="B96" s="266" t="s">
        <v>1238</v>
      </c>
      <c r="E96" s="163">
        <v>365</v>
      </c>
      <c r="G96" s="193" t="s">
        <v>1263</v>
      </c>
      <c r="I96" s="343" t="s">
        <v>256</v>
      </c>
    </row>
    <row r="98" spans="1:12" x14ac:dyDescent="0.25">
      <c r="B98" s="231" t="s">
        <v>1235</v>
      </c>
      <c r="I98" s="266"/>
    </row>
    <row r="99" spans="1:12" x14ac:dyDescent="0.25">
      <c r="I99" s="266"/>
    </row>
    <row r="100" spans="1:12" ht="16.5" customHeight="1" x14ac:dyDescent="0.25">
      <c r="B100" s="420" t="s">
        <v>385</v>
      </c>
      <c r="E100" s="416">
        <f>E107*E111/1000</f>
        <v>1251.2401025955003</v>
      </c>
      <c r="G100" s="266" t="s">
        <v>99</v>
      </c>
      <c r="I100" s="149" t="s">
        <v>386</v>
      </c>
      <c r="J100" s="149"/>
      <c r="K100" s="149"/>
      <c r="L100" s="149"/>
    </row>
    <row r="101" spans="1:12" x14ac:dyDescent="0.25">
      <c r="B101" s="420" t="s">
        <v>384</v>
      </c>
      <c r="E101" s="342">
        <f>(E103*E113+E104*E114+E105*E115)/1000</f>
        <v>95.930154305382686</v>
      </c>
      <c r="G101" s="266" t="s">
        <v>99</v>
      </c>
      <c r="I101" s="149"/>
      <c r="J101" s="149"/>
      <c r="K101" s="149"/>
      <c r="L101" s="149"/>
    </row>
    <row r="102" spans="1:12" x14ac:dyDescent="0.25">
      <c r="B102" s="420"/>
      <c r="I102" s="266"/>
    </row>
    <row r="103" spans="1:12" x14ac:dyDescent="0.25">
      <c r="B103" s="420" t="s">
        <v>332</v>
      </c>
      <c r="E103" s="421">
        <v>300</v>
      </c>
      <c r="I103" s="343" t="s">
        <v>256</v>
      </c>
    </row>
    <row r="104" spans="1:12" x14ac:dyDescent="0.25">
      <c r="B104" s="420" t="s">
        <v>333</v>
      </c>
      <c r="E104" s="421">
        <v>0</v>
      </c>
      <c r="I104" s="343" t="s">
        <v>256</v>
      </c>
    </row>
    <row r="105" spans="1:12" x14ac:dyDescent="0.25">
      <c r="B105" s="420" t="s">
        <v>334</v>
      </c>
      <c r="E105" s="421">
        <v>0</v>
      </c>
      <c r="I105" s="343" t="s">
        <v>256</v>
      </c>
    </row>
    <row r="106" spans="1:12" x14ac:dyDescent="0.25">
      <c r="B106" s="420"/>
      <c r="I106" s="343"/>
    </row>
    <row r="107" spans="1:12" x14ac:dyDescent="0.25">
      <c r="A107" s="422"/>
      <c r="B107" s="420" t="s">
        <v>62</v>
      </c>
      <c r="E107" s="421">
        <v>50</v>
      </c>
      <c r="F107" s="422"/>
      <c r="G107" s="423" t="s">
        <v>0</v>
      </c>
      <c r="I107" s="343" t="s">
        <v>256</v>
      </c>
    </row>
    <row r="108" spans="1:12" x14ac:dyDescent="0.25">
      <c r="A108" s="422"/>
      <c r="B108" s="420"/>
      <c r="F108" s="422"/>
      <c r="G108" s="423"/>
      <c r="I108" s="343"/>
    </row>
    <row r="109" spans="1:12" x14ac:dyDescent="0.25">
      <c r="A109" s="422"/>
      <c r="B109" s="266" t="s">
        <v>329</v>
      </c>
      <c r="E109" s="416">
        <v>6573.1077278699968</v>
      </c>
      <c r="F109" s="422"/>
      <c r="G109" s="424" t="s">
        <v>324</v>
      </c>
      <c r="I109" s="267" t="s">
        <v>335</v>
      </c>
    </row>
    <row r="110" spans="1:12" x14ac:dyDescent="0.25">
      <c r="A110" s="422"/>
      <c r="B110" s="266" t="s">
        <v>330</v>
      </c>
      <c r="E110" s="416">
        <v>16522.60772787</v>
      </c>
      <c r="F110" s="422"/>
      <c r="G110" s="424" t="s">
        <v>324</v>
      </c>
      <c r="I110" s="267" t="s">
        <v>335</v>
      </c>
    </row>
    <row r="111" spans="1:12" x14ac:dyDescent="0.25">
      <c r="A111" s="422"/>
      <c r="B111" s="266" t="s">
        <v>331</v>
      </c>
      <c r="E111" s="416">
        <v>25024.802051910003</v>
      </c>
      <c r="F111" s="422"/>
      <c r="G111" s="424" t="s">
        <v>324</v>
      </c>
      <c r="I111" s="267" t="s">
        <v>335</v>
      </c>
    </row>
    <row r="112" spans="1:12" x14ac:dyDescent="0.25">
      <c r="A112" s="422"/>
      <c r="B112" s="266"/>
      <c r="F112" s="422"/>
      <c r="G112" s="424"/>
      <c r="I112" s="343"/>
    </row>
    <row r="113" spans="1:17" x14ac:dyDescent="0.25">
      <c r="A113" s="422"/>
      <c r="B113" s="266" t="s">
        <v>326</v>
      </c>
      <c r="E113" s="416">
        <v>319.76718101794228</v>
      </c>
      <c r="F113" s="422"/>
      <c r="G113" s="424" t="s">
        <v>325</v>
      </c>
      <c r="I113" s="267" t="s">
        <v>335</v>
      </c>
    </row>
    <row r="114" spans="1:17" x14ac:dyDescent="0.25">
      <c r="A114" s="422"/>
      <c r="B114" s="266" t="s">
        <v>327</v>
      </c>
      <c r="E114" s="416">
        <v>2871</v>
      </c>
      <c r="F114" s="422"/>
      <c r="G114" s="424" t="s">
        <v>325</v>
      </c>
      <c r="I114" s="267" t="s">
        <v>335</v>
      </c>
    </row>
    <row r="115" spans="1:17" x14ac:dyDescent="0.25">
      <c r="A115" s="422"/>
      <c r="B115" s="266" t="s">
        <v>328</v>
      </c>
      <c r="E115" s="416">
        <v>365.89511111111096</v>
      </c>
      <c r="F115" s="422"/>
      <c r="G115" s="424" t="s">
        <v>325</v>
      </c>
      <c r="I115" s="267" t="s">
        <v>335</v>
      </c>
    </row>
    <row r="116" spans="1:17" x14ac:dyDescent="0.25">
      <c r="A116" s="422"/>
      <c r="F116" s="422"/>
      <c r="G116" s="424"/>
      <c r="I116" s="343"/>
    </row>
    <row r="117" spans="1:17" x14ac:dyDescent="0.25">
      <c r="A117" s="422"/>
      <c r="B117" s="425"/>
      <c r="F117" s="422"/>
      <c r="G117" s="424"/>
      <c r="I117" s="343"/>
    </row>
    <row r="118" spans="1:17" x14ac:dyDescent="0.25">
      <c r="A118" s="422"/>
      <c r="B118" s="425"/>
      <c r="F118" s="422"/>
      <c r="G118" s="424"/>
      <c r="I118" s="343"/>
    </row>
    <row r="119" spans="1:17" x14ac:dyDescent="0.25">
      <c r="A119" s="422"/>
      <c r="B119" s="231" t="s">
        <v>167</v>
      </c>
      <c r="I119" s="266"/>
    </row>
    <row r="120" spans="1:17" x14ac:dyDescent="0.25">
      <c r="A120" s="422"/>
      <c r="I120" s="266"/>
    </row>
    <row r="121" spans="1:17" x14ac:dyDescent="0.25">
      <c r="A121" s="422"/>
      <c r="B121" s="252"/>
      <c r="I121" s="343"/>
    </row>
    <row r="122" spans="1:17" ht="18" x14ac:dyDescent="0.25">
      <c r="A122" s="422"/>
      <c r="B122" s="252" t="s">
        <v>33</v>
      </c>
      <c r="E122" s="348">
        <f>115/1000</f>
        <v>0.115</v>
      </c>
      <c r="G122" s="255" t="s">
        <v>1330</v>
      </c>
      <c r="H122" s="254"/>
      <c r="I122" s="380" t="s">
        <v>35</v>
      </c>
    </row>
    <row r="123" spans="1:17" ht="18" x14ac:dyDescent="0.25">
      <c r="A123" s="422"/>
      <c r="B123" s="252" t="s">
        <v>36</v>
      </c>
      <c r="E123" s="377">
        <f>(21.3538+8.9864)/2000</f>
        <v>1.5170099999999999E-2</v>
      </c>
      <c r="G123" s="255" t="s">
        <v>1331</v>
      </c>
      <c r="H123" s="346"/>
      <c r="I123" s="381" t="s">
        <v>38</v>
      </c>
    </row>
    <row r="124" spans="1:17" x14ac:dyDescent="0.25">
      <c r="A124" s="422"/>
      <c r="B124" s="252" t="s">
        <v>39</v>
      </c>
      <c r="E124" s="255">
        <f>800/1000000</f>
        <v>8.0000000000000004E-4</v>
      </c>
      <c r="G124" s="255" t="s">
        <v>40</v>
      </c>
      <c r="H124" s="346"/>
      <c r="I124" s="381" t="s">
        <v>41</v>
      </c>
    </row>
    <row r="125" spans="1:17" x14ac:dyDescent="0.25">
      <c r="B125" s="252" t="s">
        <v>42</v>
      </c>
      <c r="E125" s="426">
        <v>20</v>
      </c>
      <c r="G125" s="255" t="s">
        <v>43</v>
      </c>
      <c r="H125" s="254"/>
      <c r="I125" s="381" t="s">
        <v>44</v>
      </c>
      <c r="J125" s="266"/>
      <c r="K125" s="266"/>
      <c r="L125" s="266"/>
      <c r="M125" s="266"/>
      <c r="N125" s="266"/>
      <c r="O125" s="266"/>
      <c r="P125" s="266"/>
      <c r="Q125" s="266"/>
    </row>
    <row r="126" spans="1:17" x14ac:dyDescent="0.25">
      <c r="B126" s="409"/>
      <c r="I126" s="266"/>
      <c r="J126" s="266"/>
      <c r="K126" s="266"/>
      <c r="L126" s="266"/>
      <c r="M126" s="266"/>
      <c r="N126" s="266"/>
      <c r="O126" s="266"/>
      <c r="P126" s="266"/>
      <c r="Q126" s="266"/>
    </row>
    <row r="128" spans="1:17" x14ac:dyDescent="0.25">
      <c r="B128" s="362" t="s">
        <v>70</v>
      </c>
      <c r="C128" s="209"/>
      <c r="D128" s="209"/>
      <c r="E128" s="209"/>
      <c r="F128" s="209"/>
    </row>
    <row r="129" spans="2:27" x14ac:dyDescent="0.25">
      <c r="B129" s="336"/>
    </row>
    <row r="130" spans="2:27" ht="82.5" customHeight="1" x14ac:dyDescent="0.25">
      <c r="B130" s="427" t="s">
        <v>529</v>
      </c>
      <c r="C130" s="332" t="s">
        <v>558</v>
      </c>
      <c r="D130" s="332"/>
      <c r="E130" s="332"/>
      <c r="F130" s="332"/>
    </row>
    <row r="131" spans="2:27" ht="24" customHeight="1" x14ac:dyDescent="0.25">
      <c r="B131" s="428" t="s">
        <v>547</v>
      </c>
      <c r="C131" s="199" t="s">
        <v>555</v>
      </c>
      <c r="D131" s="199"/>
      <c r="E131" s="199"/>
      <c r="F131" s="199"/>
      <c r="G131" s="199"/>
      <c r="H131" s="199"/>
      <c r="I131" s="199"/>
    </row>
    <row r="132" spans="2:27" ht="82.5" customHeight="1" x14ac:dyDescent="0.25">
      <c r="B132" s="429"/>
      <c r="C132" s="430" t="s">
        <v>557</v>
      </c>
      <c r="D132" s="430"/>
      <c r="E132" s="430"/>
      <c r="F132" s="430"/>
      <c r="G132" s="430"/>
      <c r="H132" s="430"/>
      <c r="I132" s="430"/>
    </row>
    <row r="133" spans="2:27" x14ac:dyDescent="0.25">
      <c r="B133" s="429"/>
      <c r="C133" s="430"/>
      <c r="D133" s="430"/>
      <c r="E133" s="430"/>
      <c r="F133" s="430"/>
      <c r="G133" s="430"/>
      <c r="H133" s="430"/>
      <c r="I133" s="430"/>
    </row>
    <row r="134" spans="2:27" x14ac:dyDescent="0.25">
      <c r="B134" s="291" t="s">
        <v>29</v>
      </c>
      <c r="C134" s="291"/>
      <c r="D134" s="291"/>
      <c r="E134" s="291"/>
      <c r="F134" s="291"/>
      <c r="G134" s="291"/>
      <c r="H134" s="291"/>
      <c r="I134" s="291"/>
      <c r="J134" s="291"/>
      <c r="K134" s="291"/>
      <c r="L134" s="291"/>
    </row>
    <row r="135" spans="2:27" x14ac:dyDescent="0.25">
      <c r="B135" s="292" t="s">
        <v>171</v>
      </c>
      <c r="C135" s="293"/>
      <c r="D135" s="293"/>
      <c r="E135" s="293"/>
      <c r="F135" s="293"/>
      <c r="G135" s="293"/>
      <c r="H135" s="293"/>
      <c r="I135" s="293"/>
      <c r="J135" s="293"/>
      <c r="K135" s="293"/>
      <c r="L135" s="293"/>
    </row>
    <row r="136" spans="2:27" x14ac:dyDescent="0.25">
      <c r="B136" s="307" t="s">
        <v>26</v>
      </c>
      <c r="C136" s="307">
        <f>Hypothèses_projet!$C$3</f>
        <v>2021</v>
      </c>
      <c r="D136" s="307">
        <f>IF(Hypothèses_projet!$C$6&lt;=C136,"",C136+1)</f>
        <v>2022</v>
      </c>
      <c r="E136" s="307">
        <f>IF(Hypothèses_projet!$C$6&lt;=D136,"",D136+1)</f>
        <v>2023</v>
      </c>
      <c r="F136" s="307">
        <f>IF(Hypothèses_projet!$C$6&lt;=E136,"",E136+1)</f>
        <v>2024</v>
      </c>
      <c r="G136" s="307">
        <f>IF(Hypothèses_projet!$C$6&lt;=F136,"",F136+1)</f>
        <v>2025</v>
      </c>
      <c r="H136" s="307">
        <f>IF(Hypothèses_projet!$C$6&lt;=G136,"",G136+1)</f>
        <v>2026</v>
      </c>
      <c r="I136" s="307">
        <f>IF(Hypothèses_projet!$C$6&lt;=H136,"",H136+1)</f>
        <v>2027</v>
      </c>
      <c r="J136" s="307">
        <f>IF(Hypothèses_projet!$C$6&lt;=I136,"",I136+1)</f>
        <v>2028</v>
      </c>
      <c r="K136" s="307">
        <f>IF(Hypothèses_projet!$C$6&lt;=J136,"",J136+1)</f>
        <v>2029</v>
      </c>
      <c r="L136" s="307">
        <f>IF(Hypothèses_projet!$C$6&lt;=K136,"",K136+1)</f>
        <v>2030</v>
      </c>
      <c r="M136" s="307">
        <f>IF(Hypothèses_projet!$C$6&lt;=L136,"",L136+1)</f>
        <v>2031</v>
      </c>
      <c r="N136" s="307">
        <f>IF(Hypothèses_projet!$C$6&lt;=M136,"",M136+1)</f>
        <v>2032</v>
      </c>
      <c r="O136" s="307">
        <f>IF(Hypothèses_projet!$C$6&lt;=N136,"",N136+1)</f>
        <v>2033</v>
      </c>
      <c r="P136" s="307">
        <f>IF(Hypothèses_projet!$C$6&lt;=O136,"",O136+1)</f>
        <v>2034</v>
      </c>
      <c r="Q136" s="307">
        <f>IF(Hypothèses_projet!$C$6&lt;=P136,"",P136+1)</f>
        <v>2035</v>
      </c>
      <c r="R136" s="307">
        <f>IF(Hypothèses_projet!$C$6&lt;=Q136,"",Q136+1)</f>
        <v>2036</v>
      </c>
      <c r="S136" s="307">
        <f>IF(Hypothèses_projet!$C$6&lt;=R136,"",R136+1)</f>
        <v>2037</v>
      </c>
      <c r="T136" s="307">
        <f>IF(Hypothèses_projet!$C$6&lt;=S136,"",S136+1)</f>
        <v>2038</v>
      </c>
      <c r="U136" s="307">
        <f>IF(Hypothèses_projet!$C$6&lt;=T136,"",T136+1)</f>
        <v>2039</v>
      </c>
      <c r="V136" s="307">
        <f>IF(Hypothèses_projet!$C$6&lt;=U136,"",U136+1)</f>
        <v>2040</v>
      </c>
      <c r="W136" s="307" t="str">
        <f>IF(Hypothèses_projet!$C$6&lt;=V136,"",V136+1)</f>
        <v/>
      </c>
      <c r="X136" s="307" t="str">
        <f>IF(Hypothèses_projet!$C$6&lt;=W136,"",W136+1)</f>
        <v/>
      </c>
      <c r="Y136" s="307" t="str">
        <f>IF(Hypothèses_projet!$C$6&lt;=X136,"",X136+1)</f>
        <v/>
      </c>
      <c r="Z136" s="307" t="str">
        <f>IF(Hypothèses_projet!$C$6&lt;=Y136,"",Y136+1)</f>
        <v/>
      </c>
      <c r="AA136" s="307" t="str">
        <f>IF(Hypothèses_projet!$C$6&lt;=Z136,"",Z136+1)</f>
        <v/>
      </c>
    </row>
    <row r="137" spans="2:27" x14ac:dyDescent="0.25">
      <c r="B137" s="364" t="s">
        <v>175</v>
      </c>
      <c r="C137" s="290">
        <f ca="1">IF(C136="","",C144*$E$154*$E$148/100*($E$165+$E$167*$E$168))</f>
        <v>0</v>
      </c>
      <c r="D137" s="290">
        <f t="shared" ref="D137:AA137" ca="1" si="11">IF(D136="","",D144*$E$154*$E$148/100*($E$165+$E$167*$E$168))</f>
        <v>165.69657889560031</v>
      </c>
      <c r="E137" s="290">
        <f t="shared" ca="1" si="11"/>
        <v>334.98872061503045</v>
      </c>
      <c r="F137" s="290">
        <f t="shared" ca="1" si="11"/>
        <v>507.93885835870293</v>
      </c>
      <c r="G137" s="290">
        <f t="shared" ca="1" si="11"/>
        <v>684.61040596279054</v>
      </c>
      <c r="H137" s="290">
        <f t="shared" ca="1" si="11"/>
        <v>865.06777244410773</v>
      </c>
      <c r="I137" s="290">
        <f t="shared" ca="1" si="11"/>
        <v>1049.3763767528549</v>
      </c>
      <c r="J137" s="290">
        <f t="shared" ca="1" si="11"/>
        <v>1237.6026627361157</v>
      </c>
      <c r="K137" s="290">
        <f t="shared" ca="1" si="11"/>
        <v>1429.8141143150583</v>
      </c>
      <c r="L137" s="290">
        <f t="shared" ca="1" si="11"/>
        <v>1626.0792708787983</v>
      </c>
      <c r="M137" s="290">
        <f t="shared" ca="1" si="11"/>
        <v>1826.4677428979417</v>
      </c>
      <c r="N137" s="290">
        <f t="shared" ca="1" si="11"/>
        <v>2031.050227760875</v>
      </c>
      <c r="O137" s="290">
        <f t="shared" ca="1" si="11"/>
        <v>2239.8985258358762</v>
      </c>
      <c r="P137" s="290">
        <f t="shared" ca="1" si="11"/>
        <v>2453.0855567622161</v>
      </c>
      <c r="Q137" s="290">
        <f t="shared" ca="1" si="11"/>
        <v>2670.6853759734045</v>
      </c>
      <c r="R137" s="290">
        <f t="shared" ca="1" si="11"/>
        <v>2892.7731914558221</v>
      </c>
      <c r="S137" s="290">
        <f t="shared" ca="1" si="11"/>
        <v>3119.4253807460145</v>
      </c>
      <c r="T137" s="290">
        <f t="shared" ca="1" si="11"/>
        <v>3350.7195081699383</v>
      </c>
      <c r="U137" s="290">
        <f t="shared" ca="1" si="11"/>
        <v>3586.7343423275447</v>
      </c>
      <c r="V137" s="290">
        <f t="shared" ca="1" si="11"/>
        <v>3993.561670744712</v>
      </c>
      <c r="W137" s="290" t="str">
        <f t="shared" si="11"/>
        <v/>
      </c>
      <c r="X137" s="290" t="str">
        <f t="shared" si="11"/>
        <v/>
      </c>
      <c r="Y137" s="290" t="str">
        <f t="shared" si="11"/>
        <v/>
      </c>
      <c r="Z137" s="290" t="str">
        <f t="shared" si="11"/>
        <v/>
      </c>
      <c r="AA137" s="290" t="str">
        <f t="shared" si="11"/>
        <v/>
      </c>
    </row>
    <row r="138" spans="2:27" x14ac:dyDescent="0.25">
      <c r="B138" s="364" t="s">
        <v>426</v>
      </c>
      <c r="C138" s="290">
        <f ca="1">IF(C136="","",C144*$E$155*$E$149/100*(($E$174+$E$175)/2+$E$176*$E$177))</f>
        <v>0</v>
      </c>
      <c r="D138" s="290">
        <f t="shared" ref="D138:AA138" ca="1" si="12">IF(D136="","",D144*$E$155*$E$149/100*(($E$174+$E$175)/2+$E$176*$E$177))</f>
        <v>25.656898733736053</v>
      </c>
      <c r="E138" s="290">
        <f t="shared" ca="1" si="12"/>
        <v>51.870543972901835</v>
      </c>
      <c r="F138" s="290">
        <f t="shared" ca="1" si="12"/>
        <v>78.650603040210243</v>
      </c>
      <c r="G138" s="290">
        <f t="shared" ca="1" si="12"/>
        <v>106.00689510262205</v>
      </c>
      <c r="H138" s="290">
        <f t="shared" ca="1" si="12"/>
        <v>133.94939342351398</v>
      </c>
      <c r="I138" s="290">
        <f t="shared" ca="1" si="12"/>
        <v>162.48822764703286</v>
      </c>
      <c r="J138" s="290">
        <f t="shared" ca="1" si="12"/>
        <v>191.63368611508335</v>
      </c>
      <c r="K138" s="290">
        <f t="shared" ca="1" si="12"/>
        <v>221.39621821740596</v>
      </c>
      <c r="L138" s="290">
        <f t="shared" ca="1" si="12"/>
        <v>251.78643677520404</v>
      </c>
      <c r="M138" s="290">
        <f ca="1">IF(M136="","",M144*$E$155*$E$149/100*(($E$174+$E$175)/2+$E$176*$E$177))</f>
        <v>282.81512045878605</v>
      </c>
      <c r="N138" s="290">
        <f t="shared" ca="1" si="12"/>
        <v>314.4932162396986</v>
      </c>
      <c r="O138" s="290">
        <f t="shared" ca="1" si="12"/>
        <v>346.83184187782706</v>
      </c>
      <c r="P138" s="290">
        <f t="shared" ca="1" si="12"/>
        <v>379.84228844395221</v>
      </c>
      <c r="Q138" s="290">
        <f t="shared" ca="1" si="12"/>
        <v>413.53602287825424</v>
      </c>
      <c r="R138" s="290">
        <f t="shared" ca="1" si="12"/>
        <v>447.92469058526353</v>
      </c>
      <c r="S138" s="290">
        <f t="shared" ca="1" si="12"/>
        <v>483.02011806576689</v>
      </c>
      <c r="T138" s="290">
        <f t="shared" ca="1" si="12"/>
        <v>518.83431558617815</v>
      </c>
      <c r="U138" s="290">
        <f t="shared" ca="1" si="12"/>
        <v>555.37947988589815</v>
      </c>
      <c r="V138" s="290">
        <f t="shared" ca="1" si="12"/>
        <v>618.37370485352528</v>
      </c>
      <c r="W138" s="290" t="str">
        <f t="shared" si="12"/>
        <v/>
      </c>
      <c r="X138" s="290" t="str">
        <f t="shared" si="12"/>
        <v/>
      </c>
      <c r="Y138" s="290" t="str">
        <f t="shared" si="12"/>
        <v/>
      </c>
      <c r="Z138" s="290" t="str">
        <f t="shared" si="12"/>
        <v/>
      </c>
      <c r="AA138" s="290" t="str">
        <f t="shared" si="12"/>
        <v/>
      </c>
    </row>
    <row r="139" spans="2:27" x14ac:dyDescent="0.25">
      <c r="B139" s="364" t="s">
        <v>427</v>
      </c>
      <c r="C139" s="290">
        <f ca="1">IF(C136="","",C144*$E$155*$E$149/100*($E$170+$E$171*$E$172))</f>
        <v>0</v>
      </c>
      <c r="D139" s="290">
        <f t="shared" ref="D139:AA139" ca="1" si="13">IF(D136="","",D144*$E$155*$E$149/100*($E$170+$E$171*$E$172))</f>
        <v>29.609815357032062</v>
      </c>
      <c r="E139" s="290">
        <f t="shared" ca="1" si="13"/>
        <v>59.862154247306705</v>
      </c>
      <c r="F139" s="290">
        <f t="shared" ca="1" si="13"/>
        <v>90.768173422210609</v>
      </c>
      <c r="G139" s="290">
        <f t="shared" ca="1" si="13"/>
        <v>122.33920487177444</v>
      </c>
      <c r="H139" s="290">
        <f t="shared" ca="1" si="13"/>
        <v>154.5867584238288</v>
      </c>
      <c r="I139" s="290">
        <f t="shared" ca="1" si="13"/>
        <v>187.52252438030501</v>
      </c>
      <c r="J139" s="290">
        <f t="shared" ca="1" si="13"/>
        <v>221.15837619119748</v>
      </c>
      <c r="K139" s="290">
        <f t="shared" ca="1" si="13"/>
        <v>255.50637316671452</v>
      </c>
      <c r="L139" s="290">
        <f t="shared" ca="1" si="13"/>
        <v>290.57876322814644</v>
      </c>
      <c r="M139" s="290">
        <f t="shared" ca="1" si="13"/>
        <v>326.38798569799059</v>
      </c>
      <c r="N139" s="290">
        <f t="shared" ca="1" si="13"/>
        <v>362.94667412988008</v>
      </c>
      <c r="O139" s="290">
        <f t="shared" ca="1" si="13"/>
        <v>400.26765917886826</v>
      </c>
      <c r="P139" s="290">
        <f t="shared" ca="1" si="13"/>
        <v>438.36397151263139</v>
      </c>
      <c r="Q139" s="290">
        <f t="shared" ca="1" si="13"/>
        <v>477.24884476415701</v>
      </c>
      <c r="R139" s="290">
        <f t="shared" ca="1" si="13"/>
        <v>516.93571852649518</v>
      </c>
      <c r="S139" s="290">
        <f t="shared" ca="1" si="13"/>
        <v>557.43824139015749</v>
      </c>
      <c r="T139" s="290">
        <f t="shared" ca="1" si="13"/>
        <v>598.77027402375381</v>
      </c>
      <c r="U139" s="290">
        <f t="shared" ca="1" si="13"/>
        <v>640.9458922984702</v>
      </c>
      <c r="V139" s="290">
        <f t="shared" ca="1" si="13"/>
        <v>713.6455349640969</v>
      </c>
      <c r="W139" s="290" t="str">
        <f t="shared" si="13"/>
        <v/>
      </c>
      <c r="X139" s="290" t="str">
        <f t="shared" si="13"/>
        <v/>
      </c>
      <c r="Y139" s="290" t="str">
        <f t="shared" si="13"/>
        <v/>
      </c>
      <c r="Z139" s="290" t="str">
        <f t="shared" si="13"/>
        <v/>
      </c>
      <c r="AA139" s="290" t="str">
        <f t="shared" si="13"/>
        <v/>
      </c>
    </row>
    <row r="140" spans="2:27" x14ac:dyDescent="0.25">
      <c r="B140" s="364" t="s">
        <v>187</v>
      </c>
      <c r="C140" s="290">
        <f ca="1">IF(C136="","",C143*$E$157/100*$E$151/100*($E$179+$E$181*$E$182)/20)</f>
        <v>0</v>
      </c>
      <c r="D140" s="290">
        <f t="shared" ref="D140:AA140" ca="1" si="14">IF(D136="","",D143*$E$157/100*$E$151/100*($E$179+$E$181*$E$182)/20)</f>
        <v>4.5899687493494543</v>
      </c>
      <c r="E140" s="290">
        <f t="shared" ca="1" si="14"/>
        <v>9.2795383541160792</v>
      </c>
      <c r="F140" s="290">
        <f t="shared" ca="1" si="14"/>
        <v>14.070438279330006</v>
      </c>
      <c r="G140" s="290">
        <f t="shared" ca="1" si="14"/>
        <v>18.96442515465889</v>
      </c>
      <c r="H140" s="290">
        <f t="shared" ca="1" si="14"/>
        <v>23.963283177316256</v>
      </c>
      <c r="I140" s="290">
        <f t="shared" ca="1" si="14"/>
        <v>29.068824520727929</v>
      </c>
      <c r="J140" s="290">
        <f t="shared" ca="1" si="14"/>
        <v>34.282889749036755</v>
      </c>
      <c r="K140" s="290">
        <f t="shared" ca="1" si="14"/>
        <v>39.607348237526828</v>
      </c>
      <c r="L140" s="290">
        <f t="shared" ca="1" si="14"/>
        <v>45.044098599049605</v>
      </c>
      <c r="M140" s="290">
        <f t="shared" ca="1" si="14"/>
        <v>50.595069116535505</v>
      </c>
      <c r="N140" s="290">
        <f t="shared" ca="1" si="14"/>
        <v>56.262218181675621</v>
      </c>
      <c r="O140" s="290">
        <f t="shared" ca="1" si="14"/>
        <v>62.047534739859145</v>
      </c>
      <c r="P140" s="290">
        <f t="shared" ca="1" si="14"/>
        <v>67.953038741453696</v>
      </c>
      <c r="Q140" s="290">
        <f t="shared" ca="1" si="14"/>
        <v>73.980781599516803</v>
      </c>
      <c r="R140" s="290">
        <f t="shared" ca="1" si="14"/>
        <v>80.132846654027418</v>
      </c>
      <c r="S140" s="290">
        <f t="shared" ca="1" si="14"/>
        <v>86.411349642728823</v>
      </c>
      <c r="T140" s="290">
        <f t="shared" ca="1" si="14"/>
        <v>92.818439178673671</v>
      </c>
      <c r="U140" s="290">
        <f t="shared" ca="1" si="14"/>
        <v>99.356297234565403</v>
      </c>
      <c r="V140" s="290">
        <f t="shared" ca="1" si="14"/>
        <v>110.62584025266634</v>
      </c>
      <c r="W140" s="290" t="str">
        <f t="shared" si="14"/>
        <v/>
      </c>
      <c r="X140" s="290" t="str">
        <f t="shared" si="14"/>
        <v/>
      </c>
      <c r="Y140" s="290" t="str">
        <f t="shared" si="14"/>
        <v/>
      </c>
      <c r="Z140" s="290" t="str">
        <f t="shared" si="14"/>
        <v/>
      </c>
      <c r="AA140" s="290" t="str">
        <f t="shared" si="14"/>
        <v/>
      </c>
    </row>
    <row r="141" spans="2:27" x14ac:dyDescent="0.25">
      <c r="B141" s="364" t="s">
        <v>188</v>
      </c>
      <c r="C141" s="290">
        <f ca="1">IF(C136="","",C144*$E$156*$E$152/100*($E$184+$E$185*$E$186)/20)</f>
        <v>0</v>
      </c>
      <c r="D141" s="290">
        <f t="shared" ref="D141:AA141" ca="1" si="15">IF(D136="","",D144*$E$156*$E$152/100*($E$184+$E$185*$E$186)/20)</f>
        <v>0.65736410125755129</v>
      </c>
      <c r="E141" s="290">
        <f t="shared" ca="1" si="15"/>
        <v>1.3289927934919095</v>
      </c>
      <c r="F141" s="290">
        <f t="shared" ca="1" si="15"/>
        <v>2.0151337664559432</v>
      </c>
      <c r="G141" s="290">
        <f t="shared" ca="1" si="15"/>
        <v>2.7160386003554771</v>
      </c>
      <c r="H141" s="290">
        <f t="shared" ca="1" si="15"/>
        <v>3.4319628235528548</v>
      </c>
      <c r="I141" s="290">
        <f t="shared" ca="1" si="15"/>
        <v>4.1631659710951503</v>
      </c>
      <c r="J141" s="290">
        <f t="shared" ca="1" si="15"/>
        <v>4.9099116440784956</v>
      </c>
      <c r="K141" s="290">
        <f t="shared" ca="1" si="15"/>
        <v>5.6724675698602312</v>
      </c>
      <c r="L141" s="290">
        <f t="shared" ca="1" si="15"/>
        <v>6.4511056631306136</v>
      </c>
      <c r="M141" s="290">
        <f t="shared" ca="1" si="15"/>
        <v>7.2461020878560474</v>
      </c>
      <c r="N141" s="290">
        <f t="shared" ca="1" si="15"/>
        <v>8.0577373201060336</v>
      </c>
      <c r="O141" s="290">
        <f t="shared" ca="1" si="15"/>
        <v>8.886296211775992</v>
      </c>
      <c r="P141" s="290">
        <f t="shared" ca="1" si="15"/>
        <v>9.7320680552185639</v>
      </c>
      <c r="Q141" s="290">
        <f t="shared" ca="1" si="15"/>
        <v>10.595346648795891</v>
      </c>
      <c r="R141" s="290">
        <f t="shared" ca="1" si="15"/>
        <v>11.476430363365743</v>
      </c>
      <c r="S141" s="290">
        <f t="shared" ca="1" si="15"/>
        <v>12.37562220971448</v>
      </c>
      <c r="T141" s="290">
        <f t="shared" ca="1" si="15"/>
        <v>13.29322990694989</v>
      </c>
      <c r="U141" s="290">
        <f t="shared" ca="1" si="15"/>
        <v>14.229565951867377</v>
      </c>
      <c r="V141" s="290">
        <f t="shared" ca="1" si="15"/>
        <v>15.843562347535045</v>
      </c>
      <c r="W141" s="290" t="str">
        <f t="shared" si="15"/>
        <v/>
      </c>
      <c r="X141" s="290" t="str">
        <f t="shared" si="15"/>
        <v/>
      </c>
      <c r="Y141" s="290" t="str">
        <f t="shared" si="15"/>
        <v/>
      </c>
      <c r="Z141" s="290" t="str">
        <f t="shared" si="15"/>
        <v/>
      </c>
      <c r="AA141" s="290" t="str">
        <f t="shared" si="15"/>
        <v/>
      </c>
    </row>
    <row r="142" spans="2:27" x14ac:dyDescent="0.25">
      <c r="B142" s="364" t="s">
        <v>176</v>
      </c>
      <c r="C142" s="290">
        <f ca="1">IF(C136="","",SUM(C137:C141))</f>
        <v>0</v>
      </c>
      <c r="D142" s="290">
        <f t="shared" ref="D142:AA142" ca="1" si="16">IF(D136="","",SUM(D137:D141))</f>
        <v>226.21062583697542</v>
      </c>
      <c r="E142" s="290">
        <f t="shared" ca="1" si="16"/>
        <v>457.32994998284698</v>
      </c>
      <c r="F142" s="290">
        <f t="shared" ca="1" si="16"/>
        <v>693.44320686690969</v>
      </c>
      <c r="G142" s="290">
        <f t="shared" ca="1" si="16"/>
        <v>934.63696969220132</v>
      </c>
      <c r="H142" s="290">
        <f t="shared" ca="1" si="16"/>
        <v>1180.9991702923196</v>
      </c>
      <c r="I142" s="290">
        <f t="shared" ca="1" si="16"/>
        <v>1432.6191192720157</v>
      </c>
      <c r="J142" s="290">
        <f t="shared" ca="1" si="16"/>
        <v>1689.5875264355116</v>
      </c>
      <c r="K142" s="290">
        <f t="shared" ca="1" si="16"/>
        <v>1951.9965215065658</v>
      </c>
      <c r="L142" s="290">
        <f t="shared" ca="1" si="16"/>
        <v>2219.9396751443287</v>
      </c>
      <c r="M142" s="290">
        <f t="shared" ca="1" si="16"/>
        <v>2493.5120202591097</v>
      </c>
      <c r="N142" s="290">
        <f t="shared" ca="1" si="16"/>
        <v>2772.8100736322353</v>
      </c>
      <c r="O142" s="290">
        <f t="shared" ca="1" si="16"/>
        <v>3057.9318578442067</v>
      </c>
      <c r="P142" s="290">
        <f t="shared" ca="1" si="16"/>
        <v>3348.9769235154722</v>
      </c>
      <c r="Q142" s="290">
        <f t="shared" ca="1" si="16"/>
        <v>3646.0463718641286</v>
      </c>
      <c r="R142" s="290">
        <f t="shared" ca="1" si="16"/>
        <v>3949.2428775849744</v>
      </c>
      <c r="S142" s="290">
        <f t="shared" ca="1" si="16"/>
        <v>4258.6707120543824</v>
      </c>
      <c r="T142" s="290">
        <f t="shared" ca="1" si="16"/>
        <v>4574.4357668654939</v>
      </c>
      <c r="U142" s="290">
        <f t="shared" ca="1" si="16"/>
        <v>4896.6455776983466</v>
      </c>
      <c r="V142" s="290">
        <f t="shared" ca="1" si="16"/>
        <v>5452.0503131625355</v>
      </c>
      <c r="W142" s="290" t="str">
        <f t="shared" si="16"/>
        <v/>
      </c>
      <c r="X142" s="290" t="str">
        <f t="shared" si="16"/>
        <v/>
      </c>
      <c r="Y142" s="290" t="str">
        <f t="shared" si="16"/>
        <v/>
      </c>
      <c r="Z142" s="290" t="str">
        <f t="shared" si="16"/>
        <v/>
      </c>
      <c r="AA142" s="290" t="str">
        <f t="shared" si="16"/>
        <v/>
      </c>
    </row>
    <row r="143" spans="2:27" x14ac:dyDescent="0.25">
      <c r="B143" s="248" t="s">
        <v>165</v>
      </c>
      <c r="C143" s="290">
        <f t="shared" ref="C143:AA143" ca="1" si="17">C35</f>
        <v>0</v>
      </c>
      <c r="D143" s="290">
        <f t="shared" ca="1" si="17"/>
        <v>37560.000000000116</v>
      </c>
      <c r="E143" s="290">
        <f t="shared" ca="1" si="17"/>
        <v>75935.040000000037</v>
      </c>
      <c r="F143" s="290">
        <f t="shared" ca="1" si="17"/>
        <v>115139.27231999999</v>
      </c>
      <c r="G143" s="290">
        <f t="shared" ca="1" si="17"/>
        <v>155187.07156992005</v>
      </c>
      <c r="H143" s="290">
        <f t="shared" ca="1" si="17"/>
        <v>196093.0379466241</v>
      </c>
      <c r="I143" s="290">
        <f t="shared" ca="1" si="17"/>
        <v>237872.00057806296</v>
      </c>
      <c r="J143" s="290">
        <f t="shared" ca="1" si="17"/>
        <v>280539.02091519209</v>
      </c>
      <c r="K143" s="290">
        <f t="shared" ca="1" si="17"/>
        <v>324109.39617232908</v>
      </c>
      <c r="L143" s="290">
        <f t="shared" ca="1" si="17"/>
        <v>368598.66281662555</v>
      </c>
      <c r="M143" s="290">
        <f t="shared" ca="1" si="17"/>
        <v>414022.6001073363</v>
      </c>
      <c r="N143" s="290">
        <f t="shared" ca="1" si="17"/>
        <v>460397.23368557845</v>
      </c>
      <c r="O143" s="290">
        <f t="shared" ca="1" si="17"/>
        <v>507738.83921528305</v>
      </c>
      <c r="P143" s="290">
        <f t="shared" ca="1" si="17"/>
        <v>556063.9460760497</v>
      </c>
      <c r="Q143" s="290">
        <f t="shared" ca="1" si="17"/>
        <v>605389.34110862808</v>
      </c>
      <c r="R143" s="290">
        <f t="shared" ca="1" si="17"/>
        <v>655732.07241375302</v>
      </c>
      <c r="S143" s="290">
        <f t="shared" ca="1" si="17"/>
        <v>707109.4532050814</v>
      </c>
      <c r="T143" s="290">
        <f t="shared" ca="1" si="17"/>
        <v>759539.0657169742</v>
      </c>
      <c r="U143" s="290">
        <f t="shared" ca="1" si="17"/>
        <v>813038.76516789082</v>
      </c>
      <c r="V143" s="290">
        <f t="shared" ca="1" si="17"/>
        <v>905258.13721042685</v>
      </c>
      <c r="W143" s="290" t="str">
        <f t="shared" ca="1" si="17"/>
        <v/>
      </c>
      <c r="X143" s="290" t="str">
        <f t="shared" ca="1" si="17"/>
        <v/>
      </c>
      <c r="Y143" s="290" t="str">
        <f t="shared" ca="1" si="17"/>
        <v/>
      </c>
      <c r="Z143" s="290" t="str">
        <f t="shared" ca="1" si="17"/>
        <v/>
      </c>
      <c r="AA143" s="290" t="str">
        <f t="shared" ca="1" si="17"/>
        <v/>
      </c>
    </row>
    <row r="144" spans="2:27" x14ac:dyDescent="0.25">
      <c r="B144" s="248" t="s">
        <v>169</v>
      </c>
      <c r="C144" s="290">
        <f t="shared" ref="C144:AA144" ca="1" si="18">C59</f>
        <v>0</v>
      </c>
      <c r="D144" s="290">
        <f t="shared" ca="1" si="18"/>
        <v>7512.0000000000146</v>
      </c>
      <c r="E144" s="290">
        <f t="shared" ca="1" si="18"/>
        <v>15187.008000000002</v>
      </c>
      <c r="F144" s="290">
        <f t="shared" ca="1" si="18"/>
        <v>23027.854464000033</v>
      </c>
      <c r="G144" s="290">
        <f t="shared" ca="1" si="18"/>
        <v>31037.414313984045</v>
      </c>
      <c r="H144" s="290">
        <f t="shared" ca="1" si="18"/>
        <v>39218.60758932482</v>
      </c>
      <c r="I144" s="290">
        <f t="shared" ca="1" si="18"/>
        <v>47574.400115612603</v>
      </c>
      <c r="J144" s="290">
        <f t="shared" ca="1" si="18"/>
        <v>56107.804183038417</v>
      </c>
      <c r="K144" s="290">
        <f t="shared" ca="1" si="18"/>
        <v>64821.8792344658</v>
      </c>
      <c r="L144" s="290">
        <f t="shared" ca="1" si="18"/>
        <v>73719.732563325117</v>
      </c>
      <c r="M144" s="290">
        <f t="shared" ca="1" si="18"/>
        <v>82804.520021467266</v>
      </c>
      <c r="N144" s="290">
        <f t="shared" ca="1" si="18"/>
        <v>92079.446737115708</v>
      </c>
      <c r="O144" s="290">
        <f t="shared" ca="1" si="18"/>
        <v>101547.76784305662</v>
      </c>
      <c r="P144" s="290">
        <f t="shared" ca="1" si="18"/>
        <v>111212.78921520995</v>
      </c>
      <c r="Q144" s="290">
        <f t="shared" ca="1" si="18"/>
        <v>121077.8682217256</v>
      </c>
      <c r="R144" s="290">
        <f t="shared" ca="1" si="18"/>
        <v>131146.41448275055</v>
      </c>
      <c r="S144" s="290">
        <f t="shared" ca="1" si="18"/>
        <v>141421.89064101625</v>
      </c>
      <c r="T144" s="290">
        <f t="shared" ca="1" si="18"/>
        <v>151907.81314339477</v>
      </c>
      <c r="U144" s="290">
        <f t="shared" ca="1" si="18"/>
        <v>162607.7530335781</v>
      </c>
      <c r="V144" s="290">
        <f t="shared" ca="1" si="18"/>
        <v>181051.62744208536</v>
      </c>
      <c r="W144" s="290" t="str">
        <f t="shared" ca="1" si="18"/>
        <v/>
      </c>
      <c r="X144" s="290" t="str">
        <f t="shared" ca="1" si="18"/>
        <v/>
      </c>
      <c r="Y144" s="290" t="str">
        <f t="shared" ca="1" si="18"/>
        <v/>
      </c>
      <c r="Z144" s="290" t="str">
        <f t="shared" ca="1" si="18"/>
        <v/>
      </c>
      <c r="AA144" s="290" t="str">
        <f t="shared" ca="1" si="18"/>
        <v/>
      </c>
    </row>
    <row r="145" spans="2:12" x14ac:dyDescent="0.25">
      <c r="B145" s="368"/>
      <c r="C145" s="369"/>
      <c r="D145" s="369"/>
      <c r="E145" s="369"/>
      <c r="F145" s="369"/>
      <c r="G145" s="369"/>
      <c r="H145" s="369"/>
      <c r="I145" s="369"/>
      <c r="J145" s="369"/>
      <c r="K145" s="369"/>
      <c r="L145" s="369"/>
    </row>
    <row r="146" spans="2:12" outlineLevel="1" x14ac:dyDescent="0.25">
      <c r="B146" s="249"/>
      <c r="C146" s="249"/>
      <c r="D146" s="205"/>
      <c r="E146" s="249" t="s">
        <v>19</v>
      </c>
      <c r="F146" s="205"/>
      <c r="G146" s="249" t="s">
        <v>4</v>
      </c>
      <c r="H146" s="205"/>
      <c r="I146" s="249" t="s">
        <v>83</v>
      </c>
      <c r="J146" s="369"/>
      <c r="K146" s="369"/>
      <c r="L146" s="369"/>
    </row>
    <row r="147" spans="2:12" outlineLevel="1" x14ac:dyDescent="0.25">
      <c r="B147" s="336"/>
    </row>
    <row r="148" spans="2:12" outlineLevel="1" x14ac:dyDescent="0.25">
      <c r="B148" s="252" t="s">
        <v>493</v>
      </c>
      <c r="E148" s="163">
        <v>5</v>
      </c>
      <c r="G148" s="193" t="s">
        <v>1</v>
      </c>
    </row>
    <row r="149" spans="2:12" outlineLevel="1" x14ac:dyDescent="0.25">
      <c r="B149" s="252" t="s">
        <v>494</v>
      </c>
      <c r="E149" s="163">
        <v>1</v>
      </c>
      <c r="G149" s="193" t="s">
        <v>1</v>
      </c>
    </row>
    <row r="150" spans="2:12" outlineLevel="1" x14ac:dyDescent="0.25">
      <c r="B150" s="252" t="s">
        <v>495</v>
      </c>
      <c r="E150" s="163">
        <v>5</v>
      </c>
      <c r="G150" s="193" t="s">
        <v>1</v>
      </c>
    </row>
    <row r="151" spans="2:12" outlineLevel="1" x14ac:dyDescent="0.25">
      <c r="B151" s="252" t="s">
        <v>179</v>
      </c>
      <c r="E151" s="163">
        <v>5</v>
      </c>
      <c r="G151" s="193" t="s">
        <v>1</v>
      </c>
    </row>
    <row r="152" spans="2:12" outlineLevel="1" x14ac:dyDescent="0.25">
      <c r="B152" s="372" t="s">
        <v>180</v>
      </c>
      <c r="E152" s="163">
        <v>5</v>
      </c>
      <c r="G152" s="193" t="s">
        <v>1</v>
      </c>
    </row>
    <row r="153" spans="2:12" outlineLevel="1" x14ac:dyDescent="0.25">
      <c r="B153" s="372"/>
    </row>
    <row r="154" spans="2:12" outlineLevel="1" x14ac:dyDescent="0.25">
      <c r="B154" s="372" t="s">
        <v>178</v>
      </c>
      <c r="E154" s="163">
        <v>1</v>
      </c>
      <c r="I154" s="343" t="s">
        <v>309</v>
      </c>
    </row>
    <row r="155" spans="2:12" outlineLevel="1" x14ac:dyDescent="0.25">
      <c r="B155" s="372" t="s">
        <v>181</v>
      </c>
      <c r="E155" s="163">
        <v>1</v>
      </c>
      <c r="I155" s="343" t="s">
        <v>309</v>
      </c>
    </row>
    <row r="156" spans="2:12" outlineLevel="1" x14ac:dyDescent="0.25">
      <c r="B156" s="372" t="s">
        <v>182</v>
      </c>
      <c r="E156" s="163">
        <v>0.5</v>
      </c>
      <c r="I156" s="343" t="s">
        <v>309</v>
      </c>
    </row>
    <row r="157" spans="2:12" outlineLevel="1" x14ac:dyDescent="0.25">
      <c r="B157" s="372" t="s">
        <v>177</v>
      </c>
      <c r="E157" s="374">
        <v>80</v>
      </c>
      <c r="G157" s="193" t="s">
        <v>1</v>
      </c>
      <c r="I157" s="266" t="s">
        <v>318</v>
      </c>
    </row>
    <row r="158" spans="2:12" outlineLevel="1" x14ac:dyDescent="0.25">
      <c r="B158" s="372" t="s">
        <v>189</v>
      </c>
      <c r="E158" s="163">
        <v>0</v>
      </c>
      <c r="G158" s="193" t="s">
        <v>1</v>
      </c>
      <c r="I158" s="266" t="s">
        <v>519</v>
      </c>
    </row>
    <row r="159" spans="2:12" outlineLevel="1" x14ac:dyDescent="0.25">
      <c r="B159" s="372" t="s">
        <v>477</v>
      </c>
      <c r="E159" s="163">
        <v>0</v>
      </c>
      <c r="G159" s="193" t="s">
        <v>1</v>
      </c>
      <c r="I159" s="266" t="s">
        <v>519</v>
      </c>
    </row>
    <row r="160" spans="2:12" outlineLevel="1" x14ac:dyDescent="0.25">
      <c r="B160" s="372" t="s">
        <v>478</v>
      </c>
      <c r="E160" s="163">
        <v>0</v>
      </c>
      <c r="G160" s="193" t="s">
        <v>1</v>
      </c>
      <c r="I160" s="266" t="s">
        <v>519</v>
      </c>
    </row>
    <row r="161" spans="2:10" outlineLevel="1" x14ac:dyDescent="0.25">
      <c r="B161" s="266" t="s">
        <v>191</v>
      </c>
      <c r="E161" s="163">
        <v>0</v>
      </c>
      <c r="G161" s="193" t="s">
        <v>1</v>
      </c>
      <c r="I161" s="266" t="s">
        <v>519</v>
      </c>
    </row>
    <row r="162" spans="2:10" outlineLevel="1" x14ac:dyDescent="0.25">
      <c r="B162" s="266" t="s">
        <v>192</v>
      </c>
      <c r="E162" s="163">
        <v>0</v>
      </c>
      <c r="G162" s="193" t="s">
        <v>1</v>
      </c>
      <c r="I162" s="266" t="s">
        <v>519</v>
      </c>
    </row>
    <row r="163" spans="2:10" outlineLevel="1" x14ac:dyDescent="0.25">
      <c r="B163" s="336"/>
    </row>
    <row r="164" spans="2:10" outlineLevel="1" x14ac:dyDescent="0.25">
      <c r="B164" s="336"/>
    </row>
    <row r="165" spans="2:10" ht="18" outlineLevel="1" x14ac:dyDescent="0.25">
      <c r="B165" s="252" t="s">
        <v>100</v>
      </c>
      <c r="C165" s="254"/>
      <c r="D165" s="254"/>
      <c r="E165" s="348">
        <f>441/1000</f>
        <v>0.441</v>
      </c>
      <c r="F165" s="254"/>
      <c r="G165" s="255" t="s">
        <v>1328</v>
      </c>
      <c r="I165" s="193" t="s">
        <v>184</v>
      </c>
    </row>
    <row r="166" spans="2:10" ht="18" outlineLevel="1" x14ac:dyDescent="0.25">
      <c r="B166" s="252" t="s">
        <v>45</v>
      </c>
      <c r="C166" s="254"/>
      <c r="D166" s="254"/>
      <c r="E166" s="348">
        <f>422/1000</f>
        <v>0.42199999999999999</v>
      </c>
      <c r="F166" s="254"/>
      <c r="G166" s="255" t="s">
        <v>1328</v>
      </c>
      <c r="H166" s="254"/>
      <c r="I166" s="345" t="s">
        <v>35</v>
      </c>
      <c r="J166" s="254"/>
    </row>
    <row r="167" spans="2:10" ht="18" outlineLevel="1" x14ac:dyDescent="0.25">
      <c r="B167" s="252" t="s">
        <v>36</v>
      </c>
      <c r="C167" s="254"/>
      <c r="D167" s="254"/>
      <c r="E167" s="377">
        <f>(21.3538+8.9864)/2000</f>
        <v>1.5170099999999999E-2</v>
      </c>
      <c r="F167" s="254"/>
      <c r="G167" s="255" t="s">
        <v>1331</v>
      </c>
      <c r="H167" s="346"/>
      <c r="I167" s="347" t="s">
        <v>38</v>
      </c>
      <c r="J167" s="254"/>
    </row>
    <row r="168" spans="2:10" outlineLevel="1" x14ac:dyDescent="0.25">
      <c r="B168" s="252" t="s">
        <v>46</v>
      </c>
      <c r="C168" s="254"/>
      <c r="D168" s="254"/>
      <c r="E168" s="255">
        <f>10/1000</f>
        <v>0.01</v>
      </c>
      <c r="F168" s="254"/>
      <c r="G168" s="255" t="s">
        <v>40</v>
      </c>
      <c r="H168" s="346"/>
      <c r="I168" s="180" t="s">
        <v>47</v>
      </c>
      <c r="J168" s="254"/>
    </row>
    <row r="169" spans="2:10" outlineLevel="1" x14ac:dyDescent="0.25">
      <c r="C169" s="254"/>
      <c r="D169" s="254"/>
      <c r="E169" s="255"/>
      <c r="F169" s="254"/>
      <c r="G169" s="255"/>
      <c r="H169" s="346"/>
      <c r="I169" s="180"/>
      <c r="J169" s="254"/>
    </row>
    <row r="170" spans="2:10" outlineLevel="1" x14ac:dyDescent="0.25">
      <c r="B170" s="379" t="s">
        <v>423</v>
      </c>
      <c r="C170" s="379"/>
      <c r="D170" s="379"/>
      <c r="E170" s="372">
        <f>0.394</f>
        <v>0.39400000000000002</v>
      </c>
      <c r="F170" s="254"/>
      <c r="G170" s="255" t="s">
        <v>185</v>
      </c>
      <c r="I170" s="345" t="s">
        <v>35</v>
      </c>
      <c r="J170" s="254"/>
    </row>
    <row r="171" spans="2:10" ht="18" outlineLevel="1" x14ac:dyDescent="0.25">
      <c r="B171" s="252" t="s">
        <v>48</v>
      </c>
      <c r="C171" s="254"/>
      <c r="D171" s="254"/>
      <c r="E171" s="377">
        <f>(21.3538+8.9864)/2000</f>
        <v>1.5170099999999999E-2</v>
      </c>
      <c r="F171" s="254"/>
      <c r="G171" s="255" t="s">
        <v>1331</v>
      </c>
      <c r="H171" s="346"/>
      <c r="I171" s="347" t="s">
        <v>38</v>
      </c>
      <c r="J171" s="254"/>
    </row>
    <row r="172" spans="2:10" outlineLevel="1" x14ac:dyDescent="0.25">
      <c r="B172" s="252" t="s">
        <v>424</v>
      </c>
      <c r="C172" s="254"/>
      <c r="D172" s="254"/>
      <c r="E172" s="255">
        <f>0.011</f>
        <v>1.0999999999999999E-2</v>
      </c>
      <c r="F172" s="254"/>
      <c r="G172" s="255" t="s">
        <v>50</v>
      </c>
      <c r="H172" s="346"/>
      <c r="I172" s="347" t="s">
        <v>51</v>
      </c>
      <c r="J172" s="254"/>
    </row>
    <row r="173" spans="2:10" outlineLevel="1" x14ac:dyDescent="0.25">
      <c r="C173" s="254"/>
      <c r="D173" s="254"/>
      <c r="E173" s="255"/>
      <c r="F173" s="254"/>
      <c r="G173" s="255"/>
      <c r="H173" s="346"/>
      <c r="I173" s="180"/>
      <c r="J173" s="254"/>
    </row>
    <row r="174" spans="2:10" outlineLevel="1" x14ac:dyDescent="0.25">
      <c r="B174" s="252" t="s">
        <v>479</v>
      </c>
      <c r="E174" s="372">
        <f>0.514</f>
        <v>0.51400000000000001</v>
      </c>
      <c r="F174" s="254"/>
      <c r="G174" s="255" t="s">
        <v>185</v>
      </c>
      <c r="I174" s="193" t="s">
        <v>184</v>
      </c>
    </row>
    <row r="175" spans="2:10" ht="18" outlineLevel="1" x14ac:dyDescent="0.25">
      <c r="B175" s="252" t="s">
        <v>480</v>
      </c>
      <c r="C175" s="254"/>
      <c r="D175" s="254"/>
      <c r="E175" s="348">
        <f>169/1000</f>
        <v>0.16900000000000001</v>
      </c>
      <c r="F175" s="254"/>
      <c r="G175" s="255" t="s">
        <v>1328</v>
      </c>
      <c r="H175" s="254"/>
      <c r="I175" s="345" t="s">
        <v>35</v>
      </c>
      <c r="J175" s="254"/>
    </row>
    <row r="176" spans="2:10" ht="18" outlineLevel="1" x14ac:dyDescent="0.25">
      <c r="B176" s="252" t="s">
        <v>48</v>
      </c>
      <c r="C176" s="254"/>
      <c r="D176" s="254"/>
      <c r="E176" s="377">
        <f>(21.3538+8.9864)/2000</f>
        <v>1.5170099999999999E-2</v>
      </c>
      <c r="F176" s="254"/>
      <c r="G176" s="255" t="s">
        <v>1331</v>
      </c>
      <c r="H176" s="346"/>
      <c r="I176" s="347" t="s">
        <v>38</v>
      </c>
      <c r="J176" s="254"/>
    </row>
    <row r="177" spans="1:14" outlineLevel="1" x14ac:dyDescent="0.25">
      <c r="B177" s="252" t="s">
        <v>49</v>
      </c>
      <c r="C177" s="254"/>
      <c r="D177" s="254"/>
      <c r="E177" s="255">
        <f>3/1000</f>
        <v>3.0000000000000001E-3</v>
      </c>
      <c r="F177" s="254"/>
      <c r="G177" s="255" t="s">
        <v>50</v>
      </c>
      <c r="H177" s="346"/>
      <c r="I177" s="347" t="s">
        <v>51</v>
      </c>
      <c r="J177" s="254"/>
    </row>
    <row r="178" spans="1:14" outlineLevel="1" x14ac:dyDescent="0.25">
      <c r="C178" s="254"/>
      <c r="D178" s="254"/>
      <c r="E178" s="255"/>
      <c r="F178" s="254"/>
      <c r="G178" s="255"/>
      <c r="H178" s="346"/>
      <c r="I178" s="180"/>
      <c r="J178" s="254"/>
    </row>
    <row r="179" spans="1:14" outlineLevel="1" x14ac:dyDescent="0.25">
      <c r="B179" s="252" t="s">
        <v>102</v>
      </c>
      <c r="C179" s="254"/>
      <c r="D179" s="254"/>
      <c r="E179" s="348">
        <f>61.1/1000</f>
        <v>6.1100000000000002E-2</v>
      </c>
      <c r="F179" s="254"/>
      <c r="G179" s="255" t="s">
        <v>185</v>
      </c>
      <c r="H179" s="346"/>
      <c r="I179" s="193" t="s">
        <v>184</v>
      </c>
      <c r="J179" s="254"/>
    </row>
    <row r="180" spans="1:14" ht="18" outlineLevel="1" x14ac:dyDescent="0.25">
      <c r="B180" s="252" t="s">
        <v>54</v>
      </c>
      <c r="C180" s="254"/>
      <c r="D180" s="348"/>
      <c r="E180" s="348">
        <f>32/1000</f>
        <v>3.2000000000000001E-2</v>
      </c>
      <c r="F180" s="254"/>
      <c r="G180" s="255" t="s">
        <v>1328</v>
      </c>
      <c r="H180" s="254"/>
      <c r="I180" s="345" t="s">
        <v>35</v>
      </c>
      <c r="J180" s="254"/>
    </row>
    <row r="181" spans="1:14" ht="18" outlineLevel="1" x14ac:dyDescent="0.25">
      <c r="B181" s="252" t="s">
        <v>36</v>
      </c>
      <c r="C181" s="254"/>
      <c r="D181" s="254"/>
      <c r="E181" s="377">
        <f>(21.3538+8.9864)/2000</f>
        <v>1.5170099999999999E-2</v>
      </c>
      <c r="F181" s="254"/>
      <c r="G181" s="255" t="s">
        <v>1331</v>
      </c>
      <c r="H181" s="346"/>
      <c r="I181" s="347" t="s">
        <v>38</v>
      </c>
      <c r="J181" s="254"/>
    </row>
    <row r="182" spans="1:14" outlineLevel="1" x14ac:dyDescent="0.25">
      <c r="B182" s="252" t="s">
        <v>55</v>
      </c>
      <c r="C182" s="254"/>
      <c r="D182" s="255"/>
      <c r="E182" s="348">
        <f>0.12/1000</f>
        <v>1.1999999999999999E-4</v>
      </c>
      <c r="F182" s="254"/>
      <c r="G182" s="255" t="s">
        <v>50</v>
      </c>
      <c r="H182" s="346"/>
      <c r="I182" s="347" t="s">
        <v>51</v>
      </c>
      <c r="J182" s="254"/>
    </row>
    <row r="183" spans="1:14" outlineLevel="1" x14ac:dyDescent="0.25"/>
    <row r="184" spans="1:14" ht="18" outlineLevel="1" x14ac:dyDescent="0.25">
      <c r="B184" s="252" t="s">
        <v>52</v>
      </c>
      <c r="C184" s="254"/>
      <c r="D184" s="348"/>
      <c r="E184" s="348">
        <f>70/1000</f>
        <v>7.0000000000000007E-2</v>
      </c>
      <c r="F184" s="254"/>
      <c r="G184" s="255" t="s">
        <v>1330</v>
      </c>
      <c r="H184" s="254"/>
      <c r="I184" s="345" t="s">
        <v>35</v>
      </c>
      <c r="J184" s="254"/>
    </row>
    <row r="185" spans="1:14" ht="18" outlineLevel="1" x14ac:dyDescent="0.25">
      <c r="B185" s="372" t="s">
        <v>36</v>
      </c>
      <c r="C185" s="254"/>
      <c r="D185" s="254"/>
      <c r="E185" s="377">
        <f>(21.3538+8.9864)/2000</f>
        <v>1.5170099999999999E-2</v>
      </c>
      <c r="F185" s="254"/>
      <c r="G185" s="255" t="s">
        <v>1331</v>
      </c>
      <c r="H185" s="346"/>
      <c r="I185" s="347" t="s">
        <v>38</v>
      </c>
      <c r="J185" s="254"/>
    </row>
    <row r="186" spans="1:14" outlineLevel="1" x14ac:dyDescent="0.25">
      <c r="B186" s="372" t="s">
        <v>53</v>
      </c>
      <c r="C186" s="254"/>
      <c r="D186" s="255"/>
      <c r="E186" s="348">
        <f>0.45/1000</f>
        <v>4.4999999999999999E-4</v>
      </c>
      <c r="F186" s="254"/>
      <c r="G186" s="255" t="s">
        <v>50</v>
      </c>
      <c r="H186" s="346"/>
      <c r="I186" s="347" t="s">
        <v>51</v>
      </c>
      <c r="J186" s="254"/>
    </row>
    <row r="187" spans="1:14" x14ac:dyDescent="0.25">
      <c r="C187" s="254"/>
      <c r="D187" s="255"/>
      <c r="E187" s="254"/>
      <c r="F187" s="164"/>
      <c r="G187" s="254"/>
      <c r="H187" s="348"/>
      <c r="I187" s="254"/>
      <c r="J187" s="255"/>
      <c r="L187" s="347"/>
      <c r="M187" s="254"/>
      <c r="N187" s="255"/>
    </row>
    <row r="188" spans="1:14" x14ac:dyDescent="0.25">
      <c r="B188" s="431"/>
      <c r="E188" s="431"/>
      <c r="F188" s="199"/>
      <c r="G188" s="431"/>
      <c r="H188" s="348"/>
      <c r="I188" s="254"/>
      <c r="J188" s="255"/>
      <c r="L188" s="347"/>
      <c r="M188" s="254"/>
      <c r="N188" s="255"/>
    </row>
    <row r="189" spans="1:14" x14ac:dyDescent="0.25">
      <c r="A189" s="422"/>
      <c r="B189" s="422"/>
      <c r="C189" s="422"/>
      <c r="D189" s="422"/>
      <c r="E189" s="432"/>
      <c r="F189" s="432"/>
      <c r="G189" s="432"/>
      <c r="H189" s="432"/>
      <c r="I189" s="432"/>
      <c r="J189" s="432"/>
      <c r="K189" s="266"/>
      <c r="L189" s="266"/>
    </row>
    <row r="190" spans="1:14" ht="30" x14ac:dyDescent="0.25">
      <c r="B190" s="287" t="s">
        <v>202</v>
      </c>
      <c r="C190" s="245"/>
      <c r="D190" s="245"/>
      <c r="E190" s="245"/>
      <c r="F190" s="245"/>
    </row>
    <row r="192" spans="1:14" ht="148.5" customHeight="1" x14ac:dyDescent="0.25">
      <c r="B192" s="193" t="s">
        <v>525</v>
      </c>
      <c r="C192" s="414" t="s">
        <v>565</v>
      </c>
      <c r="D192" s="433"/>
      <c r="E192" s="433"/>
      <c r="F192" s="434"/>
      <c r="G192" s="435"/>
      <c r="H192" s="435"/>
      <c r="I192" s="435"/>
      <c r="J192" s="435"/>
      <c r="K192" s="435"/>
    </row>
    <row r="193" spans="2:27" x14ac:dyDescent="0.25">
      <c r="B193" s="193" t="s">
        <v>526</v>
      </c>
      <c r="C193" s="414" t="s">
        <v>566</v>
      </c>
      <c r="D193" s="414"/>
      <c r="E193" s="414"/>
      <c r="F193" s="414"/>
      <c r="J193" s="431"/>
      <c r="K193" s="431"/>
      <c r="L193" s="199"/>
      <c r="M193" s="431"/>
    </row>
    <row r="194" spans="2:27" x14ac:dyDescent="0.25">
      <c r="C194" s="414"/>
      <c r="D194" s="414"/>
      <c r="E194" s="414"/>
      <c r="F194" s="414"/>
      <c r="J194" s="431"/>
      <c r="K194" s="431"/>
      <c r="L194" s="199"/>
      <c r="M194" s="431"/>
    </row>
    <row r="195" spans="2:27" ht="84.95" customHeight="1" x14ac:dyDescent="0.25">
      <c r="B195" s="266"/>
      <c r="C195" s="414"/>
      <c r="D195" s="414"/>
      <c r="E195" s="414"/>
      <c r="F195" s="414"/>
      <c r="G195" s="266"/>
      <c r="H195" s="266"/>
      <c r="I195" s="266"/>
      <c r="J195" s="266"/>
      <c r="K195" s="266"/>
      <c r="L195" s="266"/>
      <c r="M195" s="266"/>
      <c r="N195" s="266"/>
    </row>
    <row r="196" spans="2:27" x14ac:dyDescent="0.25">
      <c r="B196" s="266"/>
      <c r="M196" s="266"/>
      <c r="N196" s="266"/>
    </row>
    <row r="197" spans="2:27" x14ac:dyDescent="0.25">
      <c r="B197" s="291" t="s">
        <v>29</v>
      </c>
      <c r="C197" s="291"/>
      <c r="D197" s="291"/>
      <c r="E197" s="291"/>
      <c r="F197" s="291"/>
      <c r="G197" s="291"/>
      <c r="H197" s="291"/>
      <c r="I197" s="291"/>
      <c r="J197" s="291"/>
      <c r="K197" s="291"/>
      <c r="L197" s="291"/>
      <c r="M197" s="266"/>
      <c r="N197" s="266"/>
    </row>
    <row r="198" spans="2:27" x14ac:dyDescent="0.25">
      <c r="B198" s="292" t="s">
        <v>171</v>
      </c>
      <c r="C198" s="293"/>
      <c r="D198" s="293"/>
      <c r="E198" s="293"/>
      <c r="F198" s="293"/>
      <c r="G198" s="293"/>
      <c r="H198" s="293"/>
      <c r="I198" s="293"/>
      <c r="J198" s="293"/>
      <c r="K198" s="293"/>
      <c r="L198" s="293"/>
      <c r="M198" s="266"/>
      <c r="N198" s="266"/>
    </row>
    <row r="199" spans="2:27" x14ac:dyDescent="0.25">
      <c r="B199" s="307" t="s">
        <v>26</v>
      </c>
      <c r="C199" s="307">
        <f>Hypothèses_projet!$C$3</f>
        <v>2021</v>
      </c>
      <c r="D199" s="307">
        <f>IF(Hypothèses_projet!$C$6&lt;=C199,"",C199+1)</f>
        <v>2022</v>
      </c>
      <c r="E199" s="307">
        <f>IF(Hypothèses_projet!$C$6&lt;=D199,"",D199+1)</f>
        <v>2023</v>
      </c>
      <c r="F199" s="307">
        <f>IF(Hypothèses_projet!$C$6&lt;=E199,"",E199+1)</f>
        <v>2024</v>
      </c>
      <c r="G199" s="307">
        <f>IF(Hypothèses_projet!$C$6&lt;=F199,"",F199+1)</f>
        <v>2025</v>
      </c>
      <c r="H199" s="307">
        <f>IF(Hypothèses_projet!$C$6&lt;=G199,"",G199+1)</f>
        <v>2026</v>
      </c>
      <c r="I199" s="307">
        <f>IF(Hypothèses_projet!$C$6&lt;=H199,"",H199+1)</f>
        <v>2027</v>
      </c>
      <c r="J199" s="307">
        <f>IF(Hypothèses_projet!$C$6&lt;=I199,"",I199+1)</f>
        <v>2028</v>
      </c>
      <c r="K199" s="307">
        <f>IF(Hypothèses_projet!$C$6&lt;=J199,"",J199+1)</f>
        <v>2029</v>
      </c>
      <c r="L199" s="307">
        <f>IF(Hypothèses_projet!$C$6&lt;=K199,"",K199+1)</f>
        <v>2030</v>
      </c>
      <c r="M199" s="307">
        <f>IF(Hypothèses_projet!$C$6&lt;=L199,"",L199+1)</f>
        <v>2031</v>
      </c>
      <c r="N199" s="307">
        <f>IF(Hypothèses_projet!$C$6&lt;=M199,"",M199+1)</f>
        <v>2032</v>
      </c>
      <c r="O199" s="307">
        <f>IF(Hypothèses_projet!$C$6&lt;=N199,"",N199+1)</f>
        <v>2033</v>
      </c>
      <c r="P199" s="307">
        <f>IF(Hypothèses_projet!$C$6&lt;=O199,"",O199+1)</f>
        <v>2034</v>
      </c>
      <c r="Q199" s="307">
        <f>IF(Hypothèses_projet!$C$6&lt;=P199,"",P199+1)</f>
        <v>2035</v>
      </c>
      <c r="R199" s="307">
        <f>IF(Hypothèses_projet!$C$6&lt;=Q199,"",Q199+1)</f>
        <v>2036</v>
      </c>
      <c r="S199" s="307">
        <f>IF(Hypothèses_projet!$C$6&lt;=R199,"",R199+1)</f>
        <v>2037</v>
      </c>
      <c r="T199" s="307">
        <f>IF(Hypothèses_projet!$C$6&lt;=S199,"",S199+1)</f>
        <v>2038</v>
      </c>
      <c r="U199" s="307">
        <f>IF(Hypothèses_projet!$C$6&lt;=T199,"",T199+1)</f>
        <v>2039</v>
      </c>
      <c r="V199" s="307">
        <f>IF(Hypothèses_projet!$C$6&lt;=U199,"",U199+1)</f>
        <v>2040</v>
      </c>
      <c r="W199" s="307" t="str">
        <f>IF(Hypothèses_projet!$C$6&lt;=V199,"",V199+1)</f>
        <v/>
      </c>
      <c r="X199" s="307" t="str">
        <f>IF(Hypothèses_projet!$C$6&lt;=W199,"",W199+1)</f>
        <v/>
      </c>
      <c r="Y199" s="307" t="str">
        <f>IF(Hypothèses_projet!$C$6&lt;=X199,"",X199+1)</f>
        <v/>
      </c>
      <c r="Z199" s="307" t="str">
        <f>IF(Hypothèses_projet!$C$6&lt;=Y199,"",Y199+1)</f>
        <v/>
      </c>
      <c r="AA199" s="307" t="str">
        <f>IF(Hypothèses_projet!$C$6&lt;=Z199,"",Z199+1)</f>
        <v/>
      </c>
    </row>
    <row r="200" spans="2:27" x14ac:dyDescent="0.25">
      <c r="B200" s="364" t="s">
        <v>157</v>
      </c>
      <c r="C200" s="290">
        <f ca="1">IF(C199="","",$E$214*$E$208*$E$207/1000000*(1+$E$221/100)^(C$199-$C$199)*C$203)</f>
        <v>0</v>
      </c>
      <c r="D200" s="290">
        <f ca="1">IF(D199="","",$E$212*$E$214*$E$208*$E$207/1000000*(1+$E$221/100)^(D$199-$C$199)*D$203/(1+$E$223/100)^(D199-$C$199))</f>
        <v>53.696542268829504</v>
      </c>
      <c r="E200" s="290">
        <f t="shared" ref="E200:AA200" ca="1" si="19">IF(E199="","",$E$212*$E$214*$E$208*$E$207/1000000*(1+$E$221/100)^(E$199-$C$199)*E$203/(1+$E$223/100)^(E199-$C$199))</f>
        <v>108.55828234944759</v>
      </c>
      <c r="F200" s="290">
        <f t="shared" ca="1" si="19"/>
        <v>164.60545268725099</v>
      </c>
      <c r="G200" s="290">
        <f t="shared" ca="1" si="19"/>
        <v>221.85860351784009</v>
      </c>
      <c r="H200" s="290">
        <f t="shared" ca="1" si="19"/>
        <v>280.33860758051298</v>
      </c>
      <c r="I200" s="290">
        <f t="shared" ca="1" si="19"/>
        <v>340.06666489912067</v>
      </c>
      <c r="J200" s="290">
        <f t="shared" ca="1" si="19"/>
        <v>401.06430763122006</v>
      </c>
      <c r="K200" s="290">
        <f t="shared" ca="1" si="19"/>
        <v>463.35340498648128</v>
      </c>
      <c r="L200" s="290">
        <f t="shared" ca="1" si="19"/>
        <v>526.956168215307</v>
      </c>
      <c r="M200" s="290">
        <f t="shared" ca="1" si="19"/>
        <v>591.89515566864316</v>
      </c>
      <c r="N200" s="290">
        <f t="shared" ca="1" si="19"/>
        <v>658.19327792997319</v>
      </c>
      <c r="O200" s="290">
        <f t="shared" ca="1" si="19"/>
        <v>725.87380302049576</v>
      </c>
      <c r="P200" s="290">
        <f t="shared" ca="1" si="19"/>
        <v>794.96036167850571</v>
      </c>
      <c r="Q200" s="290">
        <f t="shared" ca="1" si="19"/>
        <v>865.47695271401017</v>
      </c>
      <c r="R200" s="290">
        <f t="shared" ca="1" si="19"/>
        <v>937.4479484396212</v>
      </c>
      <c r="S200" s="290">
        <f t="shared" ca="1" si="19"/>
        <v>1010.8981001787936</v>
      </c>
      <c r="T200" s="290">
        <f t="shared" ca="1" si="19"/>
        <v>1085.8525438524673</v>
      </c>
      <c r="U200" s="290">
        <f t="shared" ca="1" si="19"/>
        <v>1162.3368056452207</v>
      </c>
      <c r="V200" s="290">
        <f t="shared" ca="1" si="19"/>
        <v>1294.1755013024879</v>
      </c>
      <c r="W200" s="290" t="str">
        <f t="shared" si="19"/>
        <v/>
      </c>
      <c r="X200" s="290" t="str">
        <f t="shared" si="19"/>
        <v/>
      </c>
      <c r="Y200" s="290" t="str">
        <f t="shared" si="19"/>
        <v/>
      </c>
      <c r="Z200" s="290" t="str">
        <f t="shared" si="19"/>
        <v/>
      </c>
      <c r="AA200" s="290" t="str">
        <f t="shared" si="19"/>
        <v/>
      </c>
    </row>
    <row r="201" spans="2:27" x14ac:dyDescent="0.25">
      <c r="B201" s="364" t="s">
        <v>163</v>
      </c>
      <c r="C201" s="290">
        <f ca="1">IF(C199="","",$E$214*$E$208*$E$207/1000000*(1+$E$221/100)^(C$199-$C$199)*C$203*(1+$E$218/100))</f>
        <v>0</v>
      </c>
      <c r="D201" s="290">
        <f ca="1">IF(D199="","",$E$212*$E$214*$E$208*$E$207/1000000*(1+$E$221/100)^(D$199-$C$199)*D$203*(1+$E$218)/(1+$E$223/100)^(D199-$C$199))</f>
        <v>232.68501649826121</v>
      </c>
      <c r="E201" s="290">
        <f t="shared" ref="E201:AA201" ca="1" si="20">IF(E199="","",$E$212*$E$214*$E$208*$E$207/1000000*(1+$E$221/100)^(E$199-$C$199)*E$203*(1+$E$218)/(1+$E$223/100)^(E199-$C$199))</f>
        <v>470.41922351427297</v>
      </c>
      <c r="F201" s="290">
        <f t="shared" ca="1" si="20"/>
        <v>713.29029497808767</v>
      </c>
      <c r="G201" s="290">
        <f t="shared" ca="1" si="20"/>
        <v>961.38728191064058</v>
      </c>
      <c r="H201" s="290">
        <f t="shared" ca="1" si="20"/>
        <v>1214.8006328488898</v>
      </c>
      <c r="I201" s="290">
        <f t="shared" ca="1" si="20"/>
        <v>1473.6222145628565</v>
      </c>
      <c r="J201" s="290">
        <f t="shared" ca="1" si="20"/>
        <v>1737.9453330686206</v>
      </c>
      <c r="K201" s="290">
        <f t="shared" ca="1" si="20"/>
        <v>2007.8647549414191</v>
      </c>
      <c r="L201" s="290">
        <f t="shared" ca="1" si="20"/>
        <v>2283.4767289329975</v>
      </c>
      <c r="M201" s="290">
        <f t="shared" ca="1" si="20"/>
        <v>2564.8790078974539</v>
      </c>
      <c r="N201" s="290">
        <f t="shared" ca="1" si="20"/>
        <v>2852.1708710298844</v>
      </c>
      <c r="O201" s="290">
        <f t="shared" ca="1" si="20"/>
        <v>3145.4531464221486</v>
      </c>
      <c r="P201" s="290">
        <f t="shared" ca="1" si="20"/>
        <v>3444.8282339401917</v>
      </c>
      <c r="Q201" s="290">
        <f t="shared" ca="1" si="20"/>
        <v>3750.4001284273777</v>
      </c>
      <c r="R201" s="290">
        <f t="shared" ca="1" si="20"/>
        <v>4062.2744432383593</v>
      </c>
      <c r="S201" s="290">
        <f t="shared" ca="1" si="20"/>
        <v>4380.5584341081058</v>
      </c>
      <c r="T201" s="290">
        <f t="shared" ca="1" si="20"/>
        <v>4705.3610233606923</v>
      </c>
      <c r="U201" s="290">
        <f t="shared" ca="1" si="20"/>
        <v>5036.7928244626237</v>
      </c>
      <c r="V201" s="290">
        <f t="shared" ca="1" si="20"/>
        <v>5608.0938389774483</v>
      </c>
      <c r="W201" s="290" t="str">
        <f t="shared" si="20"/>
        <v/>
      </c>
      <c r="X201" s="290" t="str">
        <f t="shared" si="20"/>
        <v/>
      </c>
      <c r="Y201" s="290" t="str">
        <f t="shared" si="20"/>
        <v/>
      </c>
      <c r="Z201" s="290" t="str">
        <f t="shared" si="20"/>
        <v/>
      </c>
      <c r="AA201" s="290" t="str">
        <f t="shared" si="20"/>
        <v/>
      </c>
    </row>
    <row r="202" spans="2:27" x14ac:dyDescent="0.25">
      <c r="B202" s="364" t="s">
        <v>150</v>
      </c>
      <c r="C202" s="290">
        <f ca="1">IF(C199="","",C201-C200)</f>
        <v>0</v>
      </c>
      <c r="D202" s="290">
        <f t="shared" ref="D202:AA202" ca="1" si="21">IF(D199="","",D201-D200)</f>
        <v>178.98847422943169</v>
      </c>
      <c r="E202" s="290">
        <f t="shared" ca="1" si="21"/>
        <v>361.86094116482536</v>
      </c>
      <c r="F202" s="290">
        <f t="shared" ca="1" si="21"/>
        <v>548.68484229083674</v>
      </c>
      <c r="G202" s="290">
        <f t="shared" ca="1" si="21"/>
        <v>739.52867839280043</v>
      </c>
      <c r="H202" s="290">
        <f t="shared" ca="1" si="21"/>
        <v>934.46202526837681</v>
      </c>
      <c r="I202" s="290">
        <f t="shared" ca="1" si="21"/>
        <v>1133.5555496637357</v>
      </c>
      <c r="J202" s="290">
        <f t="shared" ca="1" si="21"/>
        <v>1336.8810254374005</v>
      </c>
      <c r="K202" s="290">
        <f t="shared" ca="1" si="21"/>
        <v>1544.5113499549377</v>
      </c>
      <c r="L202" s="290">
        <f t="shared" ca="1" si="21"/>
        <v>1756.5205607176904</v>
      </c>
      <c r="M202" s="290">
        <f t="shared" ca="1" si="21"/>
        <v>1972.9838522288107</v>
      </c>
      <c r="N202" s="290">
        <f t="shared" ca="1" si="21"/>
        <v>2193.9775930999112</v>
      </c>
      <c r="O202" s="290">
        <f t="shared" ca="1" si="21"/>
        <v>2419.5793434016527</v>
      </c>
      <c r="P202" s="290">
        <f t="shared" ca="1" si="21"/>
        <v>2649.867872261686</v>
      </c>
      <c r="Q202" s="290">
        <f t="shared" ca="1" si="21"/>
        <v>2884.9231757133675</v>
      </c>
      <c r="R202" s="290">
        <f t="shared" ca="1" si="21"/>
        <v>3124.8264947987382</v>
      </c>
      <c r="S202" s="290">
        <f t="shared" ca="1" si="21"/>
        <v>3369.6603339293124</v>
      </c>
      <c r="T202" s="290">
        <f t="shared" ca="1" si="21"/>
        <v>3619.5084795082248</v>
      </c>
      <c r="U202" s="290">
        <f t="shared" ca="1" si="21"/>
        <v>3874.4560188174028</v>
      </c>
      <c r="V202" s="290">
        <f t="shared" ca="1" si="21"/>
        <v>4313.9183376749606</v>
      </c>
      <c r="W202" s="290" t="str">
        <f t="shared" si="21"/>
        <v/>
      </c>
      <c r="X202" s="290" t="str">
        <f t="shared" si="21"/>
        <v/>
      </c>
      <c r="Y202" s="290" t="str">
        <f t="shared" si="21"/>
        <v/>
      </c>
      <c r="Z202" s="290" t="str">
        <f t="shared" si="21"/>
        <v/>
      </c>
      <c r="AA202" s="290" t="str">
        <f t="shared" si="21"/>
        <v/>
      </c>
    </row>
    <row r="203" spans="2:27" x14ac:dyDescent="0.25">
      <c r="B203" s="143" t="s">
        <v>169</v>
      </c>
      <c r="C203" s="290">
        <f t="shared" ref="C203:AA203" ca="1" si="22">C59</f>
        <v>0</v>
      </c>
      <c r="D203" s="290">
        <f t="shared" ca="1" si="22"/>
        <v>7512.0000000000146</v>
      </c>
      <c r="E203" s="290">
        <f t="shared" ca="1" si="22"/>
        <v>15187.008000000002</v>
      </c>
      <c r="F203" s="290">
        <f t="shared" ca="1" si="22"/>
        <v>23027.854464000033</v>
      </c>
      <c r="G203" s="290">
        <f t="shared" ca="1" si="22"/>
        <v>31037.414313984045</v>
      </c>
      <c r="H203" s="290">
        <f t="shared" ca="1" si="22"/>
        <v>39218.60758932482</v>
      </c>
      <c r="I203" s="290">
        <f t="shared" ca="1" si="22"/>
        <v>47574.400115612603</v>
      </c>
      <c r="J203" s="290">
        <f t="shared" ca="1" si="22"/>
        <v>56107.804183038417</v>
      </c>
      <c r="K203" s="290">
        <f t="shared" ca="1" si="22"/>
        <v>64821.8792344658</v>
      </c>
      <c r="L203" s="290">
        <f t="shared" ca="1" si="22"/>
        <v>73719.732563325117</v>
      </c>
      <c r="M203" s="290">
        <f t="shared" ca="1" si="22"/>
        <v>82804.520021467266</v>
      </c>
      <c r="N203" s="290">
        <f t="shared" ca="1" si="22"/>
        <v>92079.446737115708</v>
      </c>
      <c r="O203" s="290">
        <f t="shared" ca="1" si="22"/>
        <v>101547.76784305662</v>
      </c>
      <c r="P203" s="290">
        <f t="shared" ca="1" si="22"/>
        <v>111212.78921520995</v>
      </c>
      <c r="Q203" s="290">
        <f t="shared" ca="1" si="22"/>
        <v>121077.8682217256</v>
      </c>
      <c r="R203" s="290">
        <f t="shared" ca="1" si="22"/>
        <v>131146.41448275055</v>
      </c>
      <c r="S203" s="290">
        <f t="shared" ca="1" si="22"/>
        <v>141421.89064101625</v>
      </c>
      <c r="T203" s="290">
        <f t="shared" ca="1" si="22"/>
        <v>151907.81314339477</v>
      </c>
      <c r="U203" s="290">
        <f t="shared" ca="1" si="22"/>
        <v>162607.7530335781</v>
      </c>
      <c r="V203" s="290">
        <f t="shared" ca="1" si="22"/>
        <v>181051.62744208536</v>
      </c>
      <c r="W203" s="290" t="str">
        <f t="shared" ca="1" si="22"/>
        <v/>
      </c>
      <c r="X203" s="290" t="str">
        <f t="shared" ca="1" si="22"/>
        <v/>
      </c>
      <c r="Y203" s="290" t="str">
        <f t="shared" ca="1" si="22"/>
        <v/>
      </c>
      <c r="Z203" s="290" t="str">
        <f t="shared" ca="1" si="22"/>
        <v/>
      </c>
      <c r="AA203" s="290" t="str">
        <f t="shared" ca="1" si="22"/>
        <v/>
      </c>
    </row>
    <row r="204" spans="2:27" x14ac:dyDescent="0.25">
      <c r="B204" s="266"/>
      <c r="C204" s="266"/>
      <c r="D204" s="266"/>
      <c r="E204" s="266"/>
      <c r="F204" s="266"/>
      <c r="G204" s="266"/>
      <c r="H204" s="266"/>
      <c r="I204" s="266"/>
      <c r="J204" s="266"/>
      <c r="K204" s="266"/>
      <c r="L204" s="266"/>
      <c r="M204" s="266"/>
      <c r="N204" s="266"/>
    </row>
    <row r="205" spans="2:27" x14ac:dyDescent="0.25">
      <c r="B205" s="249"/>
      <c r="C205" s="249"/>
      <c r="D205" s="205"/>
      <c r="E205" s="249" t="s">
        <v>19</v>
      </c>
      <c r="F205" s="205"/>
      <c r="G205" s="249" t="s">
        <v>4</v>
      </c>
      <c r="H205" s="205"/>
      <c r="I205" s="249" t="s">
        <v>83</v>
      </c>
      <c r="J205" s="266"/>
      <c r="K205" s="266"/>
      <c r="L205" s="266"/>
      <c r="M205" s="266"/>
      <c r="N205" s="266"/>
    </row>
    <row r="206" spans="2:27" x14ac:dyDescent="0.25">
      <c r="B206" s="266"/>
      <c r="C206" s="266"/>
      <c r="D206" s="266"/>
      <c r="E206" s="266"/>
      <c r="F206" s="266"/>
      <c r="G206" s="266"/>
      <c r="H206" s="266"/>
      <c r="I206" s="266"/>
      <c r="J206" s="266"/>
      <c r="K206" s="266"/>
      <c r="L206" s="266"/>
      <c r="M206" s="266"/>
      <c r="N206" s="266"/>
    </row>
    <row r="207" spans="2:27" x14ac:dyDescent="0.25">
      <c r="B207" s="266" t="s">
        <v>196</v>
      </c>
      <c r="C207" s="266"/>
      <c r="D207" s="266"/>
      <c r="E207" s="402">
        <f>C17</f>
        <v>230.88184773797497</v>
      </c>
      <c r="G207" s="266" t="s">
        <v>159</v>
      </c>
      <c r="H207" s="266"/>
      <c r="I207" s="199" t="s">
        <v>158</v>
      </c>
      <c r="J207" s="266"/>
      <c r="K207" s="266"/>
      <c r="L207" s="266"/>
      <c r="M207" s="266"/>
      <c r="N207" s="266"/>
    </row>
    <row r="208" spans="2:27" x14ac:dyDescent="0.25">
      <c r="B208" s="252" t="s">
        <v>197</v>
      </c>
      <c r="C208" s="266"/>
      <c r="D208" s="266"/>
      <c r="E208" s="408">
        <v>7.0000000000000001E-3</v>
      </c>
      <c r="G208" s="266" t="s">
        <v>2</v>
      </c>
      <c r="H208" s="266"/>
      <c r="I208" s="267" t="s">
        <v>198</v>
      </c>
      <c r="J208" s="266"/>
      <c r="K208" s="266"/>
      <c r="L208" s="266"/>
      <c r="M208" s="266"/>
      <c r="N208" s="266"/>
    </row>
    <row r="209" spans="2:16" x14ac:dyDescent="0.25">
      <c r="B209" s="252" t="s">
        <v>311</v>
      </c>
      <c r="C209" s="266"/>
      <c r="D209" s="266"/>
      <c r="E209" s="408">
        <v>14</v>
      </c>
      <c r="G209" s="266" t="s">
        <v>1</v>
      </c>
      <c r="H209" s="266"/>
      <c r="I209" s="267" t="s">
        <v>312</v>
      </c>
      <c r="J209" s="266"/>
      <c r="K209" s="266"/>
      <c r="L209" s="266"/>
      <c r="M209" s="266"/>
      <c r="N209" s="266"/>
    </row>
    <row r="210" spans="2:16" x14ac:dyDescent="0.25">
      <c r="B210" s="252" t="s">
        <v>313</v>
      </c>
      <c r="C210" s="266"/>
      <c r="D210" s="266"/>
      <c r="E210" s="408">
        <v>77</v>
      </c>
      <c r="G210" s="266" t="s">
        <v>1</v>
      </c>
      <c r="H210" s="266"/>
      <c r="I210" s="267" t="s">
        <v>312</v>
      </c>
      <c r="J210" s="266"/>
      <c r="K210" s="266"/>
      <c r="L210" s="266"/>
      <c r="M210" s="266"/>
      <c r="N210" s="266"/>
    </row>
    <row r="211" spans="2:16" x14ac:dyDescent="0.25">
      <c r="B211" s="252" t="s">
        <v>314</v>
      </c>
      <c r="C211" s="266"/>
      <c r="D211" s="266"/>
      <c r="E211" s="408">
        <v>9</v>
      </c>
      <c r="G211" s="266" t="s">
        <v>1</v>
      </c>
      <c r="H211" s="266"/>
      <c r="I211" s="267" t="s">
        <v>312</v>
      </c>
      <c r="J211" s="266"/>
      <c r="K211" s="266"/>
      <c r="L211" s="266"/>
      <c r="M211" s="266"/>
      <c r="N211" s="266"/>
    </row>
    <row r="212" spans="2:16" x14ac:dyDescent="0.25">
      <c r="B212" s="266" t="s">
        <v>315</v>
      </c>
      <c r="C212" s="266"/>
      <c r="D212" s="266"/>
      <c r="E212" s="436">
        <f>100/E209-1</f>
        <v>6.1428571428571432</v>
      </c>
      <c r="G212" s="266"/>
      <c r="H212" s="266"/>
      <c r="I212" s="343"/>
      <c r="J212" s="266"/>
      <c r="K212" s="266"/>
      <c r="L212" s="266"/>
      <c r="M212" s="266"/>
      <c r="N212" s="266"/>
    </row>
    <row r="213" spans="2:16" x14ac:dyDescent="0.25">
      <c r="B213" s="266"/>
      <c r="C213" s="266"/>
      <c r="D213" s="266"/>
      <c r="E213" s="436"/>
      <c r="G213" s="266"/>
      <c r="H213" s="266"/>
      <c r="I213" s="343"/>
      <c r="J213" s="266"/>
      <c r="K213" s="266"/>
      <c r="L213" s="266"/>
      <c r="M213" s="266"/>
      <c r="N213" s="266"/>
    </row>
    <row r="214" spans="2:16" x14ac:dyDescent="0.25">
      <c r="B214" s="334" t="s">
        <v>195</v>
      </c>
      <c r="C214" s="266"/>
      <c r="D214" s="266"/>
      <c r="E214" s="437">
        <v>720</v>
      </c>
      <c r="G214" s="267" t="s">
        <v>32</v>
      </c>
      <c r="H214" s="343"/>
      <c r="I214" s="267" t="s">
        <v>368</v>
      </c>
      <c r="J214" s="266"/>
      <c r="K214" s="266"/>
      <c r="L214" s="266"/>
      <c r="M214" s="266"/>
      <c r="N214" s="266"/>
    </row>
    <row r="215" spans="2:16" x14ac:dyDescent="0.25">
      <c r="B215" s="334" t="s">
        <v>199</v>
      </c>
      <c r="C215" s="266"/>
      <c r="D215" s="266"/>
      <c r="E215" s="437">
        <v>15</v>
      </c>
      <c r="G215" s="267" t="s">
        <v>306</v>
      </c>
      <c r="H215" s="343"/>
      <c r="I215" s="267" t="s">
        <v>376</v>
      </c>
      <c r="J215" s="266"/>
      <c r="K215" s="266"/>
      <c r="L215" s="266"/>
      <c r="M215" s="266"/>
      <c r="N215" s="266"/>
    </row>
    <row r="216" spans="2:16" x14ac:dyDescent="0.25">
      <c r="B216" s="334"/>
      <c r="C216" s="266"/>
      <c r="D216" s="266"/>
      <c r="E216" s="267"/>
      <c r="G216" s="267"/>
      <c r="H216" s="343"/>
      <c r="I216" s="180" t="s">
        <v>307</v>
      </c>
      <c r="J216" s="266"/>
      <c r="K216" s="266"/>
      <c r="L216" s="266"/>
      <c r="M216" s="266"/>
      <c r="N216" s="266"/>
    </row>
    <row r="217" spans="2:16" x14ac:dyDescent="0.25">
      <c r="B217" s="334" t="s">
        <v>200</v>
      </c>
      <c r="C217" s="266"/>
      <c r="D217" s="266"/>
      <c r="E217" s="437">
        <v>100</v>
      </c>
      <c r="G217" s="267" t="s">
        <v>306</v>
      </c>
      <c r="H217" s="343"/>
      <c r="I217" s="267" t="s">
        <v>377</v>
      </c>
      <c r="J217" s="266"/>
      <c r="K217" s="266"/>
      <c r="L217" s="266"/>
      <c r="M217" s="266"/>
      <c r="N217" s="266"/>
    </row>
    <row r="218" spans="2:16" ht="48" customHeight="1" x14ac:dyDescent="0.25">
      <c r="B218" s="147" t="s">
        <v>308</v>
      </c>
      <c r="E218" s="438">
        <f>E217/E215*$E$219</f>
        <v>3.3333333333333335</v>
      </c>
      <c r="F218" s="344"/>
      <c r="G218" s="267"/>
      <c r="I218" s="332" t="s">
        <v>523</v>
      </c>
      <c r="J218" s="332"/>
      <c r="K218" s="332"/>
      <c r="L218" s="332"/>
      <c r="M218" s="332"/>
      <c r="N218" s="332"/>
      <c r="O218" s="332"/>
      <c r="P218" s="332"/>
    </row>
    <row r="219" spans="2:16" x14ac:dyDescent="0.25">
      <c r="B219" s="147" t="s">
        <v>522</v>
      </c>
      <c r="E219" s="439">
        <v>0.5</v>
      </c>
      <c r="F219" s="344"/>
      <c r="G219" s="267"/>
      <c r="I219" s="427" t="s">
        <v>524</v>
      </c>
      <c r="J219" s="150"/>
      <c r="K219" s="150"/>
      <c r="L219" s="150"/>
      <c r="M219" s="150"/>
      <c r="N219" s="150"/>
      <c r="O219" s="150"/>
      <c r="P219" s="150"/>
    </row>
    <row r="220" spans="2:16" x14ac:dyDescent="0.25">
      <c r="B220" s="147"/>
      <c r="E220" s="438"/>
      <c r="F220" s="344"/>
      <c r="G220" s="267"/>
      <c r="I220" s="399"/>
      <c r="J220" s="150"/>
      <c r="K220" s="150"/>
      <c r="L220" s="150"/>
      <c r="M220" s="150"/>
      <c r="N220" s="150"/>
      <c r="O220" s="150"/>
      <c r="P220" s="150"/>
    </row>
    <row r="221" spans="2:16" x14ac:dyDescent="0.25">
      <c r="B221" s="266" t="s">
        <v>258</v>
      </c>
      <c r="E221" s="440">
        <v>0</v>
      </c>
      <c r="G221" s="266" t="s">
        <v>1</v>
      </c>
      <c r="I221" s="266" t="s">
        <v>518</v>
      </c>
    </row>
    <row r="222" spans="2:16" x14ac:dyDescent="0.25">
      <c r="G222" s="266"/>
    </row>
    <row r="223" spans="2:16" x14ac:dyDescent="0.25">
      <c r="B223" s="389" t="s">
        <v>228</v>
      </c>
      <c r="C223" s="50"/>
      <c r="D223" s="50"/>
      <c r="E223" s="441">
        <v>0</v>
      </c>
      <c r="F223" s="50"/>
      <c r="G223" s="210" t="s">
        <v>1</v>
      </c>
      <c r="H223" s="50"/>
      <c r="I223" s="50" t="s">
        <v>517</v>
      </c>
      <c r="J223" s="403"/>
    </row>
    <row r="226" spans="2:15" ht="56.1" customHeight="1" x14ac:dyDescent="0.25"/>
    <row r="227" spans="2:15" x14ac:dyDescent="0.25">
      <c r="B227" s="442" t="s">
        <v>61</v>
      </c>
      <c r="C227" s="442"/>
      <c r="D227" s="442"/>
      <c r="E227" s="442"/>
      <c r="F227" s="442"/>
      <c r="G227" s="442"/>
      <c r="H227" s="442"/>
      <c r="I227" s="442"/>
      <c r="J227" s="442"/>
      <c r="K227" s="442"/>
    </row>
    <row r="228" spans="2:15" x14ac:dyDescent="0.25">
      <c r="B228" s="443" t="s">
        <v>7</v>
      </c>
      <c r="C228" s="443"/>
      <c r="D228" s="443"/>
      <c r="E228" s="443"/>
      <c r="F228" s="443"/>
      <c r="G228" s="443"/>
      <c r="H228" s="443"/>
      <c r="I228" s="443"/>
      <c r="J228" s="443"/>
      <c r="K228" s="443"/>
    </row>
    <row r="229" spans="2:15" ht="60" x14ac:dyDescent="0.25">
      <c r="B229" s="444" t="s">
        <v>8</v>
      </c>
      <c r="C229" s="445" t="s">
        <v>9</v>
      </c>
      <c r="D229" s="446" t="s">
        <v>10</v>
      </c>
      <c r="E229" s="446" t="s">
        <v>11</v>
      </c>
      <c r="F229" s="293" t="s">
        <v>12</v>
      </c>
      <c r="G229" s="293" t="s">
        <v>13</v>
      </c>
      <c r="H229" s="447" t="s">
        <v>14</v>
      </c>
      <c r="I229" s="447" t="s">
        <v>15</v>
      </c>
      <c r="J229" s="448" t="s">
        <v>16</v>
      </c>
      <c r="K229" s="448" t="s">
        <v>17</v>
      </c>
      <c r="L229" s="445" t="s">
        <v>21</v>
      </c>
      <c r="M229" s="445" t="s">
        <v>22</v>
      </c>
      <c r="N229" s="445" t="s">
        <v>23</v>
      </c>
      <c r="O229" s="445" t="s">
        <v>24</v>
      </c>
    </row>
    <row r="230" spans="2:15" x14ac:dyDescent="0.25">
      <c r="B230" s="449">
        <f>Hypothèses_projet!C3</f>
        <v>2021</v>
      </c>
      <c r="C230" s="450">
        <f>C19/100</f>
        <v>0.4</v>
      </c>
      <c r="D230" s="451">
        <f>IFERROR(L230*$C230,"")</f>
        <v>600000</v>
      </c>
      <c r="E230" s="451">
        <f>IFERROR(D230-$D$230,"")</f>
        <v>0</v>
      </c>
      <c r="F230" s="452">
        <f>IFERROR(M230*C230,"")</f>
        <v>280000</v>
      </c>
      <c r="G230" s="452">
        <f>IFERROR(F230-$F$230,"")</f>
        <v>0</v>
      </c>
      <c r="H230" s="453">
        <f>IFERROR(N230*C230,"")</f>
        <v>120000</v>
      </c>
      <c r="I230" s="453">
        <f>IFERROR(H230-$H$230,"")</f>
        <v>0</v>
      </c>
      <c r="J230" s="454">
        <f>IFERROR(Hypothèses_projet!$C$13*C230,"")</f>
        <v>140000</v>
      </c>
      <c r="K230" s="454">
        <f>IFERROR(J230-$J$230,"")</f>
        <v>0</v>
      </c>
      <c r="L230" s="455">
        <f>Hypothèses_projet!$C$10</f>
        <v>1500000</v>
      </c>
      <c r="M230" s="455">
        <f>Hypothèses_projet!$C$11</f>
        <v>700000</v>
      </c>
      <c r="N230" s="455">
        <f>Hypothèses_projet!$C$12</f>
        <v>300000</v>
      </c>
      <c r="O230" s="455">
        <f>Hypothèses_projet!$C$13</f>
        <v>350000</v>
      </c>
    </row>
    <row r="231" spans="2:15" x14ac:dyDescent="0.25">
      <c r="B231" s="449">
        <f>IF(Hypothèses_projet!$C$6&lt;='Fibre optique'!B230,"",B230+1)</f>
        <v>2022</v>
      </c>
      <c r="C231" s="450">
        <f>IF(B231="","",IF(B232="",$C$20/100,(B231-$B$230)*($C$20/100-$C$230)/(Hypothèses_projet!$C$6-Hypothèses_projet!$C$3+1)+$C$230))</f>
        <v>0.42000000000000004</v>
      </c>
      <c r="D231" s="451">
        <f t="shared" ref="D231:D254" si="23">IFERROR(L231*$C231,"")</f>
        <v>637560.00000000012</v>
      </c>
      <c r="E231" s="451">
        <f t="shared" ref="E231:E254" si="24">IFERROR(D231-$D$230,"")</f>
        <v>37560.000000000116</v>
      </c>
      <c r="F231" s="452">
        <f t="shared" ref="F231:F254" si="25">IFERROR(M231*C231,"")</f>
        <v>297528</v>
      </c>
      <c r="G231" s="452">
        <f t="shared" ref="G231:G254" si="26">IFERROR(F231-$F$230,"")</f>
        <v>17528</v>
      </c>
      <c r="H231" s="453">
        <f t="shared" ref="H231:H254" si="27">IFERROR(N231*C231,"")</f>
        <v>127512.00000000001</v>
      </c>
      <c r="I231" s="453">
        <f t="shared" ref="I231:I254" si="28">IFERROR(H231-$H$230,"")</f>
        <v>7512.0000000000146</v>
      </c>
      <c r="J231" s="454">
        <f>IFERROR(Hypothèses_projet!$C$13*C231,"")</f>
        <v>147000</v>
      </c>
      <c r="K231" s="454">
        <f t="shared" ref="K231:K254" si="29">IFERROR(J231-$J$230,"")</f>
        <v>7000</v>
      </c>
      <c r="L231" s="455">
        <f>IF(B231="","",L230*(1+$C$257/100))</f>
        <v>1518000</v>
      </c>
      <c r="M231" s="455">
        <f>IF(B231="","",M230*(1+$C$257/100))</f>
        <v>708400</v>
      </c>
      <c r="N231" s="455">
        <f>IF(B231="","",N230*(1+$C$257/100))</f>
        <v>303600</v>
      </c>
      <c r="O231" s="455">
        <f>IF(B231="","",O230*(1+$C$257/100))</f>
        <v>354200</v>
      </c>
    </row>
    <row r="232" spans="2:15" x14ac:dyDescent="0.25">
      <c r="B232" s="449">
        <f>IF(Hypothèses_projet!$C$6&lt;='Fibre optique'!B231,"",B231+1)</f>
        <v>2023</v>
      </c>
      <c r="C232" s="450">
        <f>IF(B232="","",IF(B233="",$C$20/100,(B232-$B$230)*($C$20/100-$C$230)/(Hypothèses_projet!$C$6-Hypothèses_projet!$C$3+1)+$C$230))</f>
        <v>0.44</v>
      </c>
      <c r="D232" s="451">
        <f t="shared" si="23"/>
        <v>675935.04</v>
      </c>
      <c r="E232" s="451">
        <f t="shared" si="24"/>
        <v>75935.040000000037</v>
      </c>
      <c r="F232" s="452">
        <f t="shared" si="25"/>
        <v>315436.35200000001</v>
      </c>
      <c r="G232" s="452">
        <f t="shared" si="26"/>
        <v>35436.352000000014</v>
      </c>
      <c r="H232" s="453">
        <f t="shared" si="27"/>
        <v>135187.008</v>
      </c>
      <c r="I232" s="453">
        <f t="shared" si="28"/>
        <v>15187.008000000002</v>
      </c>
      <c r="J232" s="454">
        <f>IFERROR(Hypothèses_projet!$C$13*C232,"")</f>
        <v>154000</v>
      </c>
      <c r="K232" s="454">
        <f t="shared" si="29"/>
        <v>14000</v>
      </c>
      <c r="L232" s="455">
        <f t="shared" ref="L232:L254" si="30">IF(B232="","",L231*(1+$C$257/100))</f>
        <v>1536216</v>
      </c>
      <c r="M232" s="455">
        <f t="shared" ref="M232:M254" si="31">IF(B232="","",M231*(1+$C$257/100))</f>
        <v>716900.8</v>
      </c>
      <c r="N232" s="455">
        <f t="shared" ref="N232:N254" si="32">IF(B232="","",N231*(1+$C$257/100))</f>
        <v>307243.2</v>
      </c>
      <c r="O232" s="455">
        <f t="shared" ref="O232:O254" si="33">IF(B232="","",O231*(1+$C$257/100))</f>
        <v>358450.4</v>
      </c>
    </row>
    <row r="233" spans="2:15" x14ac:dyDescent="0.25">
      <c r="B233" s="449">
        <f>IF(Hypothèses_projet!$C$6&lt;='Fibre optique'!B232,"",B232+1)</f>
        <v>2024</v>
      </c>
      <c r="C233" s="450">
        <f>IF(B233="","",IF(B234="",$C$20/100,(B233-$B$230)*($C$20/100-$C$230)/(Hypothèses_projet!$C$6-Hypothèses_projet!$C$3+1)+$C$230))</f>
        <v>0.46</v>
      </c>
      <c r="D233" s="451">
        <f t="shared" si="23"/>
        <v>715139.27231999999</v>
      </c>
      <c r="E233" s="451">
        <f t="shared" si="24"/>
        <v>115139.27231999999</v>
      </c>
      <c r="F233" s="452">
        <f t="shared" si="25"/>
        <v>333731.66041600006</v>
      </c>
      <c r="G233" s="452">
        <f t="shared" si="26"/>
        <v>53731.660416000057</v>
      </c>
      <c r="H233" s="453">
        <f t="shared" si="27"/>
        <v>143027.85446400003</v>
      </c>
      <c r="I233" s="453">
        <f t="shared" si="28"/>
        <v>23027.854464000033</v>
      </c>
      <c r="J233" s="454">
        <f>IFERROR(Hypothèses_projet!$C$13*C233,"")</f>
        <v>161000</v>
      </c>
      <c r="K233" s="454">
        <f t="shared" si="29"/>
        <v>21000</v>
      </c>
      <c r="L233" s="455">
        <f t="shared" si="30"/>
        <v>1554650.5919999999</v>
      </c>
      <c r="M233" s="455">
        <f t="shared" si="31"/>
        <v>725503.60960000008</v>
      </c>
      <c r="N233" s="455">
        <f t="shared" si="32"/>
        <v>310930.11840000004</v>
      </c>
      <c r="O233" s="455">
        <f t="shared" si="33"/>
        <v>362751.80480000004</v>
      </c>
    </row>
    <row r="234" spans="2:15" x14ac:dyDescent="0.25">
      <c r="B234" s="449">
        <f>IF(Hypothèses_projet!$C$6&lt;='Fibre optique'!B233,"",B233+1)</f>
        <v>2025</v>
      </c>
      <c r="C234" s="450">
        <f>IF(B234="","",IF(B235="",$C$20/100,(B234-$B$230)*($C$20/100-$C$230)/(Hypothèses_projet!$C$6-Hypothèses_projet!$C$3+1)+$C$230))</f>
        <v>0.48000000000000004</v>
      </c>
      <c r="D234" s="451">
        <f t="shared" si="23"/>
        <v>755187.07156992005</v>
      </c>
      <c r="E234" s="451">
        <f t="shared" si="24"/>
        <v>155187.07156992005</v>
      </c>
      <c r="F234" s="452">
        <f t="shared" si="25"/>
        <v>352420.63339929609</v>
      </c>
      <c r="G234" s="452">
        <f t="shared" si="26"/>
        <v>72420.633399296086</v>
      </c>
      <c r="H234" s="453">
        <f t="shared" si="27"/>
        <v>151037.41431398405</v>
      </c>
      <c r="I234" s="453">
        <f t="shared" si="28"/>
        <v>31037.414313984045</v>
      </c>
      <c r="J234" s="454">
        <f>IFERROR(Hypothèses_projet!$C$13*C234,"")</f>
        <v>168000</v>
      </c>
      <c r="K234" s="454">
        <f t="shared" si="29"/>
        <v>28000</v>
      </c>
      <c r="L234" s="455">
        <f t="shared" si="30"/>
        <v>1573306.3991040001</v>
      </c>
      <c r="M234" s="455">
        <f t="shared" si="31"/>
        <v>734209.6529152001</v>
      </c>
      <c r="N234" s="455">
        <f t="shared" si="32"/>
        <v>314661.27982080006</v>
      </c>
      <c r="O234" s="455">
        <f t="shared" si="33"/>
        <v>367104.82645760005</v>
      </c>
    </row>
    <row r="235" spans="2:15" x14ac:dyDescent="0.25">
      <c r="B235" s="449">
        <f>IF(Hypothèses_projet!$C$6&lt;='Fibre optique'!B234,"",B234+1)</f>
        <v>2026</v>
      </c>
      <c r="C235" s="450">
        <f>IF(B235="","",IF(B236="",$C$20/100,(B235-$B$230)*($C$20/100-$C$230)/(Hypothèses_projet!$C$6-Hypothèses_projet!$C$3+1)+$C$230))</f>
        <v>0.5</v>
      </c>
      <c r="D235" s="451">
        <f t="shared" si="23"/>
        <v>796093.0379466241</v>
      </c>
      <c r="E235" s="451">
        <f t="shared" si="24"/>
        <v>196093.0379466241</v>
      </c>
      <c r="F235" s="452">
        <f t="shared" si="25"/>
        <v>371510.08437509125</v>
      </c>
      <c r="G235" s="452">
        <f t="shared" si="26"/>
        <v>91510.084375091246</v>
      </c>
      <c r="H235" s="453">
        <f t="shared" si="27"/>
        <v>159218.60758932482</v>
      </c>
      <c r="I235" s="453">
        <f t="shared" si="28"/>
        <v>39218.60758932482</v>
      </c>
      <c r="J235" s="454">
        <f>IFERROR(Hypothèses_projet!$C$13*C235,"")</f>
        <v>175000</v>
      </c>
      <c r="K235" s="454">
        <f t="shared" si="29"/>
        <v>35000</v>
      </c>
      <c r="L235" s="455">
        <f t="shared" si="30"/>
        <v>1592186.0758932482</v>
      </c>
      <c r="M235" s="455">
        <f t="shared" si="31"/>
        <v>743020.16875018249</v>
      </c>
      <c r="N235" s="455">
        <f t="shared" si="32"/>
        <v>318437.21517864964</v>
      </c>
      <c r="O235" s="455">
        <f t="shared" si="33"/>
        <v>371510.08437509125</v>
      </c>
    </row>
    <row r="236" spans="2:15" x14ac:dyDescent="0.25">
      <c r="B236" s="449">
        <f>IF(Hypothèses_projet!$C$6&lt;='Fibre optique'!B235,"",B235+1)</f>
        <v>2027</v>
      </c>
      <c r="C236" s="450">
        <f>IF(B236="","",IF(B237="",$C$20/100,(B236-$B$230)*($C$20/100-$C$230)/(Hypothèses_projet!$C$6-Hypothèses_projet!$C$3+1)+$C$230))</f>
        <v>0.52</v>
      </c>
      <c r="D236" s="451">
        <f t="shared" si="23"/>
        <v>837872.00057806296</v>
      </c>
      <c r="E236" s="451">
        <f t="shared" si="24"/>
        <v>237872.00057806296</v>
      </c>
      <c r="F236" s="452">
        <f t="shared" si="25"/>
        <v>391006.93360309605</v>
      </c>
      <c r="G236" s="452">
        <f t="shared" si="26"/>
        <v>111006.93360309605</v>
      </c>
      <c r="H236" s="453">
        <f t="shared" si="27"/>
        <v>167574.4001156126</v>
      </c>
      <c r="I236" s="453">
        <f t="shared" si="28"/>
        <v>47574.400115612603</v>
      </c>
      <c r="J236" s="454">
        <f>IFERROR(Hypothèses_projet!$C$13*C236,"")</f>
        <v>182000</v>
      </c>
      <c r="K236" s="454">
        <f t="shared" si="29"/>
        <v>42000</v>
      </c>
      <c r="L236" s="455">
        <f t="shared" si="30"/>
        <v>1611292.3088039672</v>
      </c>
      <c r="M236" s="455">
        <f t="shared" si="31"/>
        <v>751936.41077518475</v>
      </c>
      <c r="N236" s="455">
        <f t="shared" si="32"/>
        <v>322258.46176079346</v>
      </c>
      <c r="O236" s="455">
        <f t="shared" si="33"/>
        <v>375968.20538759237</v>
      </c>
    </row>
    <row r="237" spans="2:15" x14ac:dyDescent="0.25">
      <c r="B237" s="449">
        <f>IF(Hypothèses_projet!$C$6&lt;='Fibre optique'!B236,"",B236+1)</f>
        <v>2028</v>
      </c>
      <c r="C237" s="450">
        <f>IF(B237="","",IF(B238="",$C$20/100,(B237-$B$230)*($C$20/100-$C$230)/(Hypothèses_projet!$C$6-Hypothèses_projet!$C$3+1)+$C$230))</f>
        <v>0.54</v>
      </c>
      <c r="D237" s="451">
        <f t="shared" si="23"/>
        <v>880539.02091519209</v>
      </c>
      <c r="E237" s="451">
        <f t="shared" si="24"/>
        <v>280539.02091519209</v>
      </c>
      <c r="F237" s="452">
        <f t="shared" si="25"/>
        <v>410918.20976042299</v>
      </c>
      <c r="G237" s="452">
        <f t="shared" si="26"/>
        <v>130918.20976042299</v>
      </c>
      <c r="H237" s="453">
        <f t="shared" si="27"/>
        <v>176107.80418303842</v>
      </c>
      <c r="I237" s="453">
        <f t="shared" si="28"/>
        <v>56107.804183038417</v>
      </c>
      <c r="J237" s="454">
        <f>IFERROR(Hypothèses_projet!$C$13*C237,"")</f>
        <v>189000</v>
      </c>
      <c r="K237" s="454">
        <f t="shared" si="29"/>
        <v>49000</v>
      </c>
      <c r="L237" s="455">
        <f t="shared" si="30"/>
        <v>1630627.8165096149</v>
      </c>
      <c r="M237" s="455">
        <f t="shared" si="31"/>
        <v>760959.64770448697</v>
      </c>
      <c r="N237" s="455">
        <f t="shared" si="32"/>
        <v>326125.56330192299</v>
      </c>
      <c r="O237" s="455">
        <f t="shared" si="33"/>
        <v>380479.82385224348</v>
      </c>
    </row>
    <row r="238" spans="2:15" x14ac:dyDescent="0.25">
      <c r="B238" s="449">
        <f>IF(Hypothèses_projet!$C$6&lt;='Fibre optique'!B237,"",B237+1)</f>
        <v>2029</v>
      </c>
      <c r="C238" s="450">
        <f>IF(B238="","",IF(B239="",$C$20/100,(B238-$B$230)*($C$20/100-$C$230)/(Hypothèses_projet!$C$6-Hypothèses_projet!$C$3+1)+$C$230))</f>
        <v>0.56000000000000005</v>
      </c>
      <c r="D238" s="451">
        <f t="shared" si="23"/>
        <v>924109.39617232908</v>
      </c>
      <c r="E238" s="451">
        <f t="shared" si="24"/>
        <v>324109.39617232908</v>
      </c>
      <c r="F238" s="452">
        <f t="shared" si="25"/>
        <v>431251.05154708691</v>
      </c>
      <c r="G238" s="452">
        <f t="shared" si="26"/>
        <v>151251.05154708691</v>
      </c>
      <c r="H238" s="453">
        <f t="shared" si="27"/>
        <v>184821.8792344658</v>
      </c>
      <c r="I238" s="453">
        <f t="shared" si="28"/>
        <v>64821.8792344658</v>
      </c>
      <c r="J238" s="454">
        <f>IFERROR(Hypothèses_projet!$C$13*C238,"")</f>
        <v>196000.00000000003</v>
      </c>
      <c r="K238" s="454">
        <f t="shared" si="29"/>
        <v>56000.000000000029</v>
      </c>
      <c r="L238" s="455">
        <f t="shared" si="30"/>
        <v>1650195.3503077303</v>
      </c>
      <c r="M238" s="455">
        <f t="shared" si="31"/>
        <v>770091.16347694083</v>
      </c>
      <c r="N238" s="455">
        <f t="shared" si="32"/>
        <v>330039.07006154605</v>
      </c>
      <c r="O238" s="455">
        <f t="shared" si="33"/>
        <v>385045.58173847041</v>
      </c>
    </row>
    <row r="239" spans="2:15" x14ac:dyDescent="0.25">
      <c r="B239" s="449">
        <f>IF(Hypothèses_projet!$C$6&lt;='Fibre optique'!B238,"",B238+1)</f>
        <v>2030</v>
      </c>
      <c r="C239" s="450">
        <f>IF(B239="","",IF(B240="",$C$20/100,(B239-$B$230)*($C$20/100-$C$230)/(Hypothèses_projet!$C$6-Hypothèses_projet!$C$3+1)+$C$230))</f>
        <v>0.58000000000000007</v>
      </c>
      <c r="D239" s="451">
        <f t="shared" si="23"/>
        <v>968598.66281662555</v>
      </c>
      <c r="E239" s="451">
        <f t="shared" si="24"/>
        <v>368598.66281662555</v>
      </c>
      <c r="F239" s="452">
        <f t="shared" si="25"/>
        <v>452012.70931442524</v>
      </c>
      <c r="G239" s="452">
        <f t="shared" si="26"/>
        <v>172012.70931442524</v>
      </c>
      <c r="H239" s="453">
        <f t="shared" si="27"/>
        <v>193719.73256332512</v>
      </c>
      <c r="I239" s="453">
        <f t="shared" si="28"/>
        <v>73719.732563325117</v>
      </c>
      <c r="J239" s="454">
        <f>IFERROR(Hypothèses_projet!$C$13*C239,"")</f>
        <v>203000.00000000003</v>
      </c>
      <c r="K239" s="454">
        <f t="shared" si="29"/>
        <v>63000.000000000029</v>
      </c>
      <c r="L239" s="455">
        <f t="shared" si="30"/>
        <v>1669997.6945114231</v>
      </c>
      <c r="M239" s="455">
        <f t="shared" si="31"/>
        <v>779332.25743866409</v>
      </c>
      <c r="N239" s="455">
        <f t="shared" si="32"/>
        <v>333999.53890228464</v>
      </c>
      <c r="O239" s="455">
        <f t="shared" si="33"/>
        <v>389666.12871933205</v>
      </c>
    </row>
    <row r="240" spans="2:15" x14ac:dyDescent="0.25">
      <c r="B240" s="449">
        <f>IF(Hypothèses_projet!$C$6&lt;='Fibre optique'!B239,"",B239+1)</f>
        <v>2031</v>
      </c>
      <c r="C240" s="450">
        <f>IF(B240="","",IF(B241="",$C$20/100,(B240-$B$230)*($C$20/100-$C$230)/(Hypothèses_projet!$C$6-Hypothèses_projet!$C$3+1)+$C$230))</f>
        <v>0.60000000000000009</v>
      </c>
      <c r="D240" s="451">
        <f t="shared" si="23"/>
        <v>1014022.6001073363</v>
      </c>
      <c r="E240" s="451">
        <f t="shared" si="24"/>
        <v>414022.6001073363</v>
      </c>
      <c r="F240" s="452">
        <f t="shared" si="25"/>
        <v>473210.54671675689</v>
      </c>
      <c r="G240" s="452">
        <f t="shared" si="26"/>
        <v>193210.54671675689</v>
      </c>
      <c r="H240" s="453">
        <f t="shared" si="27"/>
        <v>202804.52002146727</v>
      </c>
      <c r="I240" s="453">
        <f t="shared" si="28"/>
        <v>82804.520021467266</v>
      </c>
      <c r="J240" s="454">
        <f>IFERROR(Hypothèses_projet!$C$13*C240,"")</f>
        <v>210000.00000000003</v>
      </c>
      <c r="K240" s="454">
        <f t="shared" si="29"/>
        <v>70000.000000000029</v>
      </c>
      <c r="L240" s="455">
        <f t="shared" si="30"/>
        <v>1690037.6668455603</v>
      </c>
      <c r="M240" s="455">
        <f t="shared" si="31"/>
        <v>788684.24452792807</v>
      </c>
      <c r="N240" s="455">
        <f t="shared" si="32"/>
        <v>338007.53336911206</v>
      </c>
      <c r="O240" s="455">
        <f t="shared" si="33"/>
        <v>394342.12226396403</v>
      </c>
    </row>
    <row r="241" spans="2:15" x14ac:dyDescent="0.25">
      <c r="B241" s="449">
        <f>IF(Hypothèses_projet!$C$6&lt;='Fibre optique'!B240,"",B240+1)</f>
        <v>2032</v>
      </c>
      <c r="C241" s="450">
        <f>IF(B241="","",IF(B242="",$C$20/100,(B241-$B$230)*($C$20/100-$C$230)/(Hypothèses_projet!$C$6-Hypothèses_projet!$C$3+1)+$C$230))</f>
        <v>0.62000000000000011</v>
      </c>
      <c r="D241" s="451">
        <f t="shared" si="23"/>
        <v>1060397.2336855785</v>
      </c>
      <c r="E241" s="451">
        <f t="shared" si="24"/>
        <v>460397.23368557845</v>
      </c>
      <c r="F241" s="452">
        <f t="shared" si="25"/>
        <v>494852.04238660325</v>
      </c>
      <c r="G241" s="452">
        <f t="shared" si="26"/>
        <v>214852.04238660325</v>
      </c>
      <c r="H241" s="453">
        <f t="shared" si="27"/>
        <v>212079.44673711571</v>
      </c>
      <c r="I241" s="453">
        <f t="shared" si="28"/>
        <v>92079.446737115708</v>
      </c>
      <c r="J241" s="454">
        <f>IFERROR(Hypothèses_projet!$C$13*C241,"")</f>
        <v>217000.00000000003</v>
      </c>
      <c r="K241" s="454">
        <f t="shared" si="29"/>
        <v>77000.000000000029</v>
      </c>
      <c r="L241" s="455">
        <f t="shared" si="30"/>
        <v>1710318.1188477071</v>
      </c>
      <c r="M241" s="455">
        <f t="shared" si="31"/>
        <v>798148.4554622632</v>
      </c>
      <c r="N241" s="455">
        <f t="shared" si="32"/>
        <v>342063.62376954139</v>
      </c>
      <c r="O241" s="455">
        <f t="shared" si="33"/>
        <v>399074.2277311316</v>
      </c>
    </row>
    <row r="242" spans="2:15" x14ac:dyDescent="0.25">
      <c r="B242" s="449">
        <f>IF(Hypothèses_projet!$C$6&lt;='Fibre optique'!B241,"",B241+1)</f>
        <v>2033</v>
      </c>
      <c r="C242" s="450">
        <f>IF(B242="","",IF(B243="",$C$20/100,(B242-$B$230)*($C$20/100-$C$230)/(Hypothèses_projet!$C$6-Hypothèses_projet!$C$3+1)+$C$230))</f>
        <v>0.64000000000000012</v>
      </c>
      <c r="D242" s="451">
        <f t="shared" si="23"/>
        <v>1107738.839215283</v>
      </c>
      <c r="E242" s="451">
        <f t="shared" si="24"/>
        <v>507738.83921528305</v>
      </c>
      <c r="F242" s="452">
        <f t="shared" si="25"/>
        <v>516944.79163379874</v>
      </c>
      <c r="G242" s="452">
        <f t="shared" si="26"/>
        <v>236944.79163379874</v>
      </c>
      <c r="H242" s="453">
        <f t="shared" si="27"/>
        <v>221547.76784305662</v>
      </c>
      <c r="I242" s="453">
        <f t="shared" si="28"/>
        <v>101547.76784305662</v>
      </c>
      <c r="J242" s="454">
        <f>IFERROR(Hypothèses_projet!$C$13*C242,"")</f>
        <v>224000.00000000003</v>
      </c>
      <c r="K242" s="454">
        <f t="shared" si="29"/>
        <v>84000.000000000029</v>
      </c>
      <c r="L242" s="455">
        <f t="shared" si="30"/>
        <v>1730841.9362738796</v>
      </c>
      <c r="M242" s="455">
        <f t="shared" si="31"/>
        <v>807726.23692781036</v>
      </c>
      <c r="N242" s="455">
        <f t="shared" si="32"/>
        <v>346168.38725477591</v>
      </c>
      <c r="O242" s="455">
        <f t="shared" si="33"/>
        <v>403863.11846390518</v>
      </c>
    </row>
    <row r="243" spans="2:15" x14ac:dyDescent="0.25">
      <c r="B243" s="449">
        <f>IF(Hypothèses_projet!$C$6&lt;='Fibre optique'!B242,"",B242+1)</f>
        <v>2034</v>
      </c>
      <c r="C243" s="450">
        <f>IF(B243="","",IF(B244="",$C$20/100,(B243-$B$230)*($C$20/100-$C$230)/(Hypothèses_projet!$C$6-Hypothèses_projet!$C$3+1)+$C$230))</f>
        <v>0.66</v>
      </c>
      <c r="D243" s="451">
        <f t="shared" si="23"/>
        <v>1156063.9460760497</v>
      </c>
      <c r="E243" s="451">
        <f t="shared" si="24"/>
        <v>556063.9460760497</v>
      </c>
      <c r="F243" s="452">
        <f t="shared" si="25"/>
        <v>539496.50816882309</v>
      </c>
      <c r="G243" s="452">
        <f t="shared" si="26"/>
        <v>259496.50816882309</v>
      </c>
      <c r="H243" s="453">
        <f t="shared" si="27"/>
        <v>231212.78921520995</v>
      </c>
      <c r="I243" s="453">
        <f t="shared" si="28"/>
        <v>111212.78921520995</v>
      </c>
      <c r="J243" s="454">
        <f>IFERROR(Hypothèses_projet!$C$13*C243,"")</f>
        <v>231000</v>
      </c>
      <c r="K243" s="454">
        <f t="shared" si="29"/>
        <v>91000</v>
      </c>
      <c r="L243" s="455">
        <f t="shared" si="30"/>
        <v>1751612.0395091663</v>
      </c>
      <c r="M243" s="455">
        <f t="shared" si="31"/>
        <v>817418.95177094406</v>
      </c>
      <c r="N243" s="455">
        <f t="shared" si="32"/>
        <v>350322.40790183324</v>
      </c>
      <c r="O243" s="455">
        <f t="shared" si="33"/>
        <v>408709.47588547203</v>
      </c>
    </row>
    <row r="244" spans="2:15" x14ac:dyDescent="0.25">
      <c r="B244" s="449">
        <f>IF(Hypothèses_projet!$C$6&lt;='Fibre optique'!B243,"",B243+1)</f>
        <v>2035</v>
      </c>
      <c r="C244" s="450">
        <f>IF(B244="","",IF(B245="",$C$20/100,(B244-$B$230)*($C$20/100-$C$230)/(Hypothèses_projet!$C$6-Hypothèses_projet!$C$3+1)+$C$230))</f>
        <v>0.68</v>
      </c>
      <c r="D244" s="451">
        <f t="shared" si="23"/>
        <v>1205389.3411086281</v>
      </c>
      <c r="E244" s="451">
        <f t="shared" si="24"/>
        <v>605389.34110862808</v>
      </c>
      <c r="F244" s="452">
        <f t="shared" si="25"/>
        <v>562515.02585069288</v>
      </c>
      <c r="G244" s="452">
        <f t="shared" si="26"/>
        <v>282515.02585069288</v>
      </c>
      <c r="H244" s="453">
        <f t="shared" si="27"/>
        <v>241077.8682217256</v>
      </c>
      <c r="I244" s="453">
        <f t="shared" si="28"/>
        <v>121077.8682217256</v>
      </c>
      <c r="J244" s="454">
        <f>IFERROR(Hypothèses_projet!$C$13*C244,"")</f>
        <v>238000.00000000003</v>
      </c>
      <c r="K244" s="454">
        <f t="shared" si="29"/>
        <v>98000.000000000029</v>
      </c>
      <c r="L244" s="455">
        <f t="shared" si="30"/>
        <v>1772631.3839832763</v>
      </c>
      <c r="M244" s="455">
        <f t="shared" si="31"/>
        <v>827227.97919219534</v>
      </c>
      <c r="N244" s="455">
        <f t="shared" si="32"/>
        <v>354526.27679665526</v>
      </c>
      <c r="O244" s="455">
        <f t="shared" si="33"/>
        <v>413613.98959609767</v>
      </c>
    </row>
    <row r="245" spans="2:15" x14ac:dyDescent="0.25">
      <c r="B245" s="449">
        <f>IF(Hypothèses_projet!$C$6&lt;='Fibre optique'!B244,"",B244+1)</f>
        <v>2036</v>
      </c>
      <c r="C245" s="450">
        <f>IF(B245="","",IF(B246="",$C$20/100,(B245-$B$230)*($C$20/100-$C$230)/(Hypothèses_projet!$C$6-Hypothèses_projet!$C$3+1)+$C$230))</f>
        <v>0.7</v>
      </c>
      <c r="D245" s="451">
        <f t="shared" si="23"/>
        <v>1255732.072413753</v>
      </c>
      <c r="E245" s="451">
        <f t="shared" si="24"/>
        <v>655732.07241375302</v>
      </c>
      <c r="F245" s="452">
        <f t="shared" si="25"/>
        <v>586008.30045975116</v>
      </c>
      <c r="G245" s="452">
        <f t="shared" si="26"/>
        <v>306008.30045975116</v>
      </c>
      <c r="H245" s="453">
        <f t="shared" si="27"/>
        <v>251146.41448275055</v>
      </c>
      <c r="I245" s="453">
        <f t="shared" si="28"/>
        <v>131146.41448275055</v>
      </c>
      <c r="J245" s="454">
        <f>IFERROR(Hypothèses_projet!$C$13*C245,"")</f>
        <v>244999.99999999997</v>
      </c>
      <c r="K245" s="454">
        <f t="shared" si="29"/>
        <v>104999.99999999997</v>
      </c>
      <c r="L245" s="455">
        <f t="shared" si="30"/>
        <v>1793902.9605910757</v>
      </c>
      <c r="M245" s="455">
        <f t="shared" si="31"/>
        <v>837154.71494250174</v>
      </c>
      <c r="N245" s="455">
        <f t="shared" si="32"/>
        <v>358780.59211821511</v>
      </c>
      <c r="O245" s="455">
        <f t="shared" si="33"/>
        <v>418577.35747125087</v>
      </c>
    </row>
    <row r="246" spans="2:15" x14ac:dyDescent="0.25">
      <c r="B246" s="449">
        <f>IF(Hypothèses_projet!$C$6&lt;='Fibre optique'!B245,"",B245+1)</f>
        <v>2037</v>
      </c>
      <c r="C246" s="450">
        <f>IF(B246="","",IF(B247="",$C$20/100,(B246-$B$230)*($C$20/100-$C$230)/(Hypothèses_projet!$C$6-Hypothèses_projet!$C$3+1)+$C$230))</f>
        <v>0.72</v>
      </c>
      <c r="D246" s="451">
        <f t="shared" si="23"/>
        <v>1307109.4532050814</v>
      </c>
      <c r="E246" s="451">
        <f t="shared" si="24"/>
        <v>707109.4532050814</v>
      </c>
      <c r="F246" s="452">
        <f t="shared" si="25"/>
        <v>609984.41149570444</v>
      </c>
      <c r="G246" s="452">
        <f t="shared" si="26"/>
        <v>329984.41149570444</v>
      </c>
      <c r="H246" s="453">
        <f t="shared" si="27"/>
        <v>261421.89064101625</v>
      </c>
      <c r="I246" s="453">
        <f t="shared" si="28"/>
        <v>141421.89064101625</v>
      </c>
      <c r="J246" s="454">
        <f>IFERROR(Hypothèses_projet!$C$13*C246,"")</f>
        <v>252000</v>
      </c>
      <c r="K246" s="454">
        <f t="shared" si="29"/>
        <v>112000</v>
      </c>
      <c r="L246" s="455">
        <f t="shared" si="30"/>
        <v>1815429.7961181686</v>
      </c>
      <c r="M246" s="455">
        <f t="shared" si="31"/>
        <v>847200.57152181177</v>
      </c>
      <c r="N246" s="455">
        <f t="shared" si="32"/>
        <v>363085.95922363369</v>
      </c>
      <c r="O246" s="455">
        <f t="shared" si="33"/>
        <v>423600.28576090588</v>
      </c>
    </row>
    <row r="247" spans="2:15" x14ac:dyDescent="0.25">
      <c r="B247" s="449">
        <f>IF(Hypothèses_projet!$C$6&lt;='Fibre optique'!B246,"",B246+1)</f>
        <v>2038</v>
      </c>
      <c r="C247" s="450">
        <f>IF(B247="","",IF(B248="",$C$20/100,(B247-$B$230)*($C$20/100-$C$230)/(Hypothèses_projet!$C$6-Hypothèses_projet!$C$3+1)+$C$230))</f>
        <v>0.74</v>
      </c>
      <c r="D247" s="451">
        <f t="shared" si="23"/>
        <v>1359539.0657169742</v>
      </c>
      <c r="E247" s="451">
        <f t="shared" si="24"/>
        <v>759539.0657169742</v>
      </c>
      <c r="F247" s="452">
        <f t="shared" si="25"/>
        <v>634451.56400125439</v>
      </c>
      <c r="G247" s="452">
        <f t="shared" si="26"/>
        <v>354451.56400125439</v>
      </c>
      <c r="H247" s="453">
        <f t="shared" si="27"/>
        <v>271907.81314339477</v>
      </c>
      <c r="I247" s="453">
        <f t="shared" si="28"/>
        <v>151907.81314339477</v>
      </c>
      <c r="J247" s="454">
        <f>IFERROR(Hypothèses_projet!$C$13*C247,"")</f>
        <v>259000</v>
      </c>
      <c r="K247" s="454">
        <f t="shared" si="29"/>
        <v>119000</v>
      </c>
      <c r="L247" s="455">
        <f t="shared" si="30"/>
        <v>1837214.9536715867</v>
      </c>
      <c r="M247" s="455">
        <f t="shared" si="31"/>
        <v>857366.97838007356</v>
      </c>
      <c r="N247" s="455">
        <f t="shared" si="32"/>
        <v>367442.99073431728</v>
      </c>
      <c r="O247" s="455">
        <f t="shared" si="33"/>
        <v>428683.48919003678</v>
      </c>
    </row>
    <row r="248" spans="2:15" x14ac:dyDescent="0.25">
      <c r="B248" s="449">
        <f>IF(Hypothèses_projet!$C$6&lt;='Fibre optique'!B247,"",B247+1)</f>
        <v>2039</v>
      </c>
      <c r="C248" s="450">
        <f>IF(B248="","",IF(B249="",$C$20/100,(B248-$B$230)*($C$20/100-$C$230)/(Hypothèses_projet!$C$6-Hypothèses_projet!$C$3+1)+$C$230))</f>
        <v>0.76</v>
      </c>
      <c r="D248" s="451">
        <f t="shared" si="23"/>
        <v>1413038.7651678908</v>
      </c>
      <c r="E248" s="451">
        <f t="shared" si="24"/>
        <v>813038.76516789082</v>
      </c>
      <c r="F248" s="452">
        <f t="shared" si="25"/>
        <v>659418.09041168215</v>
      </c>
      <c r="G248" s="452">
        <f t="shared" si="26"/>
        <v>379418.09041168215</v>
      </c>
      <c r="H248" s="453">
        <f t="shared" si="27"/>
        <v>282607.7530335781</v>
      </c>
      <c r="I248" s="453">
        <f t="shared" si="28"/>
        <v>162607.7530335781</v>
      </c>
      <c r="J248" s="454">
        <f>IFERROR(Hypothèses_projet!$C$13*C248,"")</f>
        <v>266000</v>
      </c>
      <c r="K248" s="454">
        <f t="shared" si="29"/>
        <v>126000</v>
      </c>
      <c r="L248" s="455">
        <f t="shared" si="30"/>
        <v>1859261.5331156459</v>
      </c>
      <c r="M248" s="455">
        <f t="shared" si="31"/>
        <v>867655.38212063443</v>
      </c>
      <c r="N248" s="455">
        <f t="shared" si="32"/>
        <v>371852.30662312912</v>
      </c>
      <c r="O248" s="455">
        <f t="shared" si="33"/>
        <v>433827.69106031721</v>
      </c>
    </row>
    <row r="249" spans="2:15" x14ac:dyDescent="0.25">
      <c r="B249" s="449">
        <f>IF(Hypothèses_projet!$C$6&lt;='Fibre optique'!B248,"",B248+1)</f>
        <v>2040</v>
      </c>
      <c r="C249" s="450">
        <f>IF(B249="","",IF(B250="",$C$20/100,(B249-$B$230)*($C$20/100-$C$230)/(Hypothèses_projet!$C$6-Hypothèses_projet!$C$3+1)+$C$230))</f>
        <v>0.8</v>
      </c>
      <c r="D249" s="451">
        <f t="shared" si="23"/>
        <v>1505258.1372104269</v>
      </c>
      <c r="E249" s="451">
        <f t="shared" si="24"/>
        <v>905258.13721042685</v>
      </c>
      <c r="F249" s="452">
        <f t="shared" si="25"/>
        <v>702453.79736486566</v>
      </c>
      <c r="G249" s="452">
        <f t="shared" si="26"/>
        <v>422453.79736486566</v>
      </c>
      <c r="H249" s="453">
        <f t="shared" si="27"/>
        <v>301051.62744208536</v>
      </c>
      <c r="I249" s="453">
        <f t="shared" si="28"/>
        <v>181051.62744208536</v>
      </c>
      <c r="J249" s="454">
        <f>IFERROR(Hypothèses_projet!$C$13*C249,"")</f>
        <v>280000</v>
      </c>
      <c r="K249" s="454">
        <f t="shared" si="29"/>
        <v>140000</v>
      </c>
      <c r="L249" s="455">
        <f t="shared" si="30"/>
        <v>1881572.6715130336</v>
      </c>
      <c r="M249" s="455">
        <f t="shared" si="31"/>
        <v>878067.24670608202</v>
      </c>
      <c r="N249" s="455">
        <f t="shared" si="32"/>
        <v>376314.53430260665</v>
      </c>
      <c r="O249" s="455">
        <f t="shared" si="33"/>
        <v>439033.62335304101</v>
      </c>
    </row>
    <row r="250" spans="2:15" x14ac:dyDescent="0.25">
      <c r="B250" s="449" t="str">
        <f>IF(Hypothèses_projet!$C$6&lt;='Fibre optique'!B249,"",B249+1)</f>
        <v/>
      </c>
      <c r="C250" s="450" t="str">
        <f>IF(B250="","",IF(B251="",$C$20/100,(B250-$B$230)*($C$20/100-$C$230)/(Hypothèses_projet!$C$6-Hypothèses_projet!$C$3+1)+$C$230))</f>
        <v/>
      </c>
      <c r="D250" s="451" t="str">
        <f t="shared" si="23"/>
        <v/>
      </c>
      <c r="E250" s="451" t="str">
        <f t="shared" si="24"/>
        <v/>
      </c>
      <c r="F250" s="452" t="str">
        <f t="shared" si="25"/>
        <v/>
      </c>
      <c r="G250" s="452" t="str">
        <f t="shared" si="26"/>
        <v/>
      </c>
      <c r="H250" s="453" t="str">
        <f t="shared" si="27"/>
        <v/>
      </c>
      <c r="I250" s="453" t="str">
        <f t="shared" si="28"/>
        <v/>
      </c>
      <c r="J250" s="454" t="str">
        <f>IFERROR(Hypothèses_projet!$C$13*C250,"")</f>
        <v/>
      </c>
      <c r="K250" s="454" t="str">
        <f t="shared" si="29"/>
        <v/>
      </c>
      <c r="L250" s="455" t="str">
        <f t="shared" si="30"/>
        <v/>
      </c>
      <c r="M250" s="455" t="str">
        <f t="shared" si="31"/>
        <v/>
      </c>
      <c r="N250" s="455" t="str">
        <f t="shared" si="32"/>
        <v/>
      </c>
      <c r="O250" s="455" t="str">
        <f t="shared" si="33"/>
        <v/>
      </c>
    </row>
    <row r="251" spans="2:15" x14ac:dyDescent="0.25">
      <c r="B251" s="449" t="str">
        <f>IF(Hypothèses_projet!$C$6&lt;='Fibre optique'!B250,"",B250+1)</f>
        <v/>
      </c>
      <c r="C251" s="450" t="str">
        <f>IF(B251="","",IF(B252="",$C$20/100,(B251-$B$230)*($C$20/100-$C$230)/(Hypothèses_projet!$C$6-Hypothèses_projet!$C$3+1)+$C$230))</f>
        <v/>
      </c>
      <c r="D251" s="451" t="str">
        <f t="shared" si="23"/>
        <v/>
      </c>
      <c r="E251" s="451" t="str">
        <f t="shared" si="24"/>
        <v/>
      </c>
      <c r="F251" s="452" t="str">
        <f t="shared" si="25"/>
        <v/>
      </c>
      <c r="G251" s="452" t="str">
        <f t="shared" si="26"/>
        <v/>
      </c>
      <c r="H251" s="453" t="str">
        <f t="shared" si="27"/>
        <v/>
      </c>
      <c r="I251" s="453" t="str">
        <f t="shared" si="28"/>
        <v/>
      </c>
      <c r="J251" s="454" t="str">
        <f>IFERROR(Hypothèses_projet!$C$13*C251,"")</f>
        <v/>
      </c>
      <c r="K251" s="454" t="str">
        <f t="shared" si="29"/>
        <v/>
      </c>
      <c r="L251" s="455" t="str">
        <f t="shared" si="30"/>
        <v/>
      </c>
      <c r="M251" s="455" t="str">
        <f t="shared" si="31"/>
        <v/>
      </c>
      <c r="N251" s="455" t="str">
        <f t="shared" si="32"/>
        <v/>
      </c>
      <c r="O251" s="455" t="str">
        <f t="shared" si="33"/>
        <v/>
      </c>
    </row>
    <row r="252" spans="2:15" x14ac:dyDescent="0.25">
      <c r="B252" s="449" t="str">
        <f>IF(Hypothèses_projet!$C$6&lt;='Fibre optique'!B251,"",B251+1)</f>
        <v/>
      </c>
      <c r="C252" s="450" t="str">
        <f>IF(B252="","",IF(B253="",$C$20/100,(B252-$B$230)*($C$20/100-$C$230)/(Hypothèses_projet!$C$6-Hypothèses_projet!$C$3+1)+$C$230))</f>
        <v/>
      </c>
      <c r="D252" s="451" t="str">
        <f t="shared" si="23"/>
        <v/>
      </c>
      <c r="E252" s="451" t="str">
        <f t="shared" si="24"/>
        <v/>
      </c>
      <c r="F252" s="452" t="str">
        <f t="shared" si="25"/>
        <v/>
      </c>
      <c r="G252" s="452" t="str">
        <f t="shared" si="26"/>
        <v/>
      </c>
      <c r="H252" s="453" t="str">
        <f t="shared" si="27"/>
        <v/>
      </c>
      <c r="I252" s="453" t="str">
        <f t="shared" si="28"/>
        <v/>
      </c>
      <c r="J252" s="454" t="str">
        <f>IFERROR(Hypothèses_projet!$C$13*C252,"")</f>
        <v/>
      </c>
      <c r="K252" s="454" t="str">
        <f t="shared" si="29"/>
        <v/>
      </c>
      <c r="L252" s="455" t="str">
        <f t="shared" si="30"/>
        <v/>
      </c>
      <c r="M252" s="455" t="str">
        <f t="shared" si="31"/>
        <v/>
      </c>
      <c r="N252" s="455" t="str">
        <f t="shared" si="32"/>
        <v/>
      </c>
      <c r="O252" s="455" t="str">
        <f t="shared" si="33"/>
        <v/>
      </c>
    </row>
    <row r="253" spans="2:15" x14ac:dyDescent="0.25">
      <c r="B253" s="449" t="str">
        <f>IF(Hypothèses_projet!$C$6&lt;='Fibre optique'!B252,"",B252+1)</f>
        <v/>
      </c>
      <c r="C253" s="450" t="str">
        <f>IF(B253="","",IF(B254="",$C$20/100,(B253-$B$230)*($C$20/100-$C$230)/(Hypothèses_projet!$C$6-Hypothèses_projet!$C$3+1)+$C$230))</f>
        <v/>
      </c>
      <c r="D253" s="451" t="str">
        <f t="shared" si="23"/>
        <v/>
      </c>
      <c r="E253" s="451" t="str">
        <f t="shared" si="24"/>
        <v/>
      </c>
      <c r="F253" s="452" t="str">
        <f t="shared" si="25"/>
        <v/>
      </c>
      <c r="G253" s="452" t="str">
        <f t="shared" si="26"/>
        <v/>
      </c>
      <c r="H253" s="453" t="str">
        <f t="shared" si="27"/>
        <v/>
      </c>
      <c r="I253" s="453" t="str">
        <f t="shared" si="28"/>
        <v/>
      </c>
      <c r="J253" s="454" t="str">
        <f>IFERROR(Hypothèses_projet!$C$13*C253,"")</f>
        <v/>
      </c>
      <c r="K253" s="454" t="str">
        <f t="shared" si="29"/>
        <v/>
      </c>
      <c r="L253" s="455" t="str">
        <f t="shared" si="30"/>
        <v/>
      </c>
      <c r="M253" s="455" t="str">
        <f t="shared" si="31"/>
        <v/>
      </c>
      <c r="N253" s="455" t="str">
        <f t="shared" si="32"/>
        <v/>
      </c>
      <c r="O253" s="455" t="str">
        <f t="shared" si="33"/>
        <v/>
      </c>
    </row>
    <row r="254" spans="2:15" x14ac:dyDescent="0.25">
      <c r="B254" s="449" t="str">
        <f>IF(Hypothèses_projet!$C$6&lt;='Fibre optique'!B253,"",B253+1)</f>
        <v/>
      </c>
      <c r="C254" s="450" t="str">
        <f>IF(B254="","",IF(B255="",$C$20/100,(B254-$B$230)*($C$20/100-$C$230)/(Hypothèses_projet!$C$6-Hypothèses_projet!$C$3+1)+$C$230))</f>
        <v/>
      </c>
      <c r="D254" s="451" t="str">
        <f t="shared" si="23"/>
        <v/>
      </c>
      <c r="E254" s="451" t="str">
        <f t="shared" si="24"/>
        <v/>
      </c>
      <c r="F254" s="452" t="str">
        <f t="shared" si="25"/>
        <v/>
      </c>
      <c r="G254" s="452" t="str">
        <f t="shared" si="26"/>
        <v/>
      </c>
      <c r="H254" s="453" t="str">
        <f t="shared" si="27"/>
        <v/>
      </c>
      <c r="I254" s="453" t="str">
        <f t="shared" si="28"/>
        <v/>
      </c>
      <c r="J254" s="454" t="str">
        <f>IFERROR(Hypothèses_projet!$C$13*C254,"")</f>
        <v/>
      </c>
      <c r="K254" s="454" t="str">
        <f t="shared" si="29"/>
        <v/>
      </c>
      <c r="L254" s="455" t="str">
        <f t="shared" si="30"/>
        <v/>
      </c>
      <c r="M254" s="455" t="str">
        <f t="shared" si="31"/>
        <v/>
      </c>
      <c r="N254" s="455" t="str">
        <f t="shared" si="32"/>
        <v/>
      </c>
      <c r="O254" s="455" t="str">
        <f t="shared" si="33"/>
        <v/>
      </c>
    </row>
    <row r="255" spans="2:15" x14ac:dyDescent="0.25">
      <c r="B255" s="164"/>
      <c r="C255" s="164"/>
      <c r="D255" s="164"/>
      <c r="E255" s="164"/>
      <c r="F255" s="164"/>
      <c r="G255" s="164"/>
      <c r="H255" s="164"/>
      <c r="I255" s="164"/>
      <c r="J255" s="164"/>
      <c r="K255" s="164"/>
    </row>
    <row r="256" spans="2:15" x14ac:dyDescent="0.25">
      <c r="B256" s="164"/>
      <c r="C256" s="164"/>
      <c r="D256" s="164"/>
      <c r="E256" s="164"/>
      <c r="F256" s="164"/>
      <c r="G256" s="164"/>
      <c r="H256" s="164"/>
      <c r="I256" s="164"/>
      <c r="J256" s="164"/>
      <c r="K256" s="164"/>
    </row>
    <row r="257" spans="2:11" x14ac:dyDescent="0.25">
      <c r="B257" s="169" t="s">
        <v>25</v>
      </c>
      <c r="C257" s="456">
        <f>Hypothèses_projet!C14</f>
        <v>1.2</v>
      </c>
      <c r="D257" s="252" t="s">
        <v>1275</v>
      </c>
      <c r="E257" s="164"/>
      <c r="F257" s="164"/>
      <c r="G257" s="164"/>
      <c r="H257" s="164"/>
      <c r="I257" s="164"/>
      <c r="J257" s="164"/>
      <c r="K257" s="164"/>
    </row>
    <row r="258" spans="2:11" x14ac:dyDescent="0.25">
      <c r="B258" s="164"/>
      <c r="C258" s="164"/>
      <c r="D258" s="164"/>
      <c r="E258" s="164"/>
      <c r="F258" s="164"/>
      <c r="G258" s="164"/>
      <c r="H258" s="164"/>
      <c r="I258" s="164"/>
      <c r="J258" s="164"/>
      <c r="K258" s="164"/>
    </row>
  </sheetData>
  <mergeCells count="14">
    <mergeCell ref="C26:F26"/>
    <mergeCell ref="C27:F27"/>
    <mergeCell ref="C52:F52"/>
    <mergeCell ref="C53:F53"/>
    <mergeCell ref="C76:F78"/>
    <mergeCell ref="C75:F75"/>
    <mergeCell ref="I42:L43"/>
    <mergeCell ref="C192:F192"/>
    <mergeCell ref="C193:F195"/>
    <mergeCell ref="I218:P218"/>
    <mergeCell ref="G192:K192"/>
    <mergeCell ref="C130:F130"/>
    <mergeCell ref="C132:I133"/>
    <mergeCell ref="I94:T94"/>
  </mergeCells>
  <dataValidations count="1">
    <dataValidation type="list" allowBlank="1" showInputMessage="1" showErrorMessage="1" sqref="Q226">
      <formula1>$R$226:$R$227</formula1>
    </dataValidation>
  </dataValidations>
  <hyperlinks>
    <hyperlink ref="I166" r:id="rId1"/>
    <hyperlink ref="I168" r:id="rId2"/>
    <hyperlink ref="I167" r:id="rId3"/>
    <hyperlink ref="I175" r:id="rId4"/>
    <hyperlink ref="I177" r:id="rId5"/>
    <hyperlink ref="I176" r:id="rId6"/>
    <hyperlink ref="I180" r:id="rId7"/>
    <hyperlink ref="I182" r:id="rId8"/>
    <hyperlink ref="I181" r:id="rId9"/>
    <hyperlink ref="I184" r:id="rId10"/>
    <hyperlink ref="I186" r:id="rId11"/>
    <hyperlink ref="I185" r:id="rId12"/>
    <hyperlink ref="I216" r:id="rId13" location=":~:text=Le%20d%C3%A9bit%20th%C3%A9orique%20maximum%20est%20de%2015%20Mb%2Fs,par%20toutes%20les%20offres%20fibres%20commercialis%C3%A9es%20en%20France." display="https://blog.ariase.com/box/dossiers/debit-fibre-optique - :~:text=Le%20d%C3%A9bit%20th%C3%A9orique%20maximum%20est%20de%2015%20Mb%2Fs,par%20toutes%20les%20offres%20fibres%20commercialis%C3%A9es%20en%20France."/>
    <hyperlink ref="I122" r:id="rId14"/>
    <hyperlink ref="I123" r:id="rId15"/>
    <hyperlink ref="I124" r:id="rId16"/>
    <hyperlink ref="I125" r:id="rId17"/>
    <hyperlink ref="I172" r:id="rId18"/>
    <hyperlink ref="I171" r:id="rId19"/>
    <hyperlink ref="I170" r:id="rId20"/>
  </hyperlinks>
  <pageMargins left="0.7" right="0.7" top="0.75" bottom="0.75" header="0.3" footer="0.3"/>
  <pageSetup paperSize="9" orientation="portrait" horizontalDpi="300" verticalDpi="0" r:id="rId2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2:AB199"/>
  <sheetViews>
    <sheetView showGridLines="0" zoomScaleNormal="100" workbookViewId="0"/>
  </sheetViews>
  <sheetFormatPr baseColWidth="10" defaultColWidth="9.140625" defaultRowHeight="15" outlineLevelRow="1" x14ac:dyDescent="0.25"/>
  <cols>
    <col min="1" max="1" width="9.140625" style="146"/>
    <col min="2" max="2" width="53.85546875" style="146" customWidth="1"/>
    <col min="3" max="3" width="14.85546875" style="146" customWidth="1"/>
    <col min="4" max="4" width="13.42578125" style="146" customWidth="1"/>
    <col min="5" max="6" width="11.5703125" style="146" bestFit="1" customWidth="1"/>
    <col min="7" max="7" width="11.7109375" style="146" customWidth="1"/>
    <col min="8" max="12" width="11.5703125" style="146" bestFit="1" customWidth="1"/>
    <col min="13" max="14" width="13.28515625" style="146" customWidth="1"/>
    <col min="15" max="27" width="13.42578125" style="146" customWidth="1"/>
    <col min="28" max="28" width="9.28515625" style="146" bestFit="1" customWidth="1"/>
    <col min="29" max="16384" width="9.140625" style="146"/>
  </cols>
  <sheetData>
    <row r="2" spans="1:28" x14ac:dyDescent="0.25">
      <c r="B2" s="353" t="s">
        <v>511</v>
      </c>
      <c r="C2" s="354" t="s">
        <v>512</v>
      </c>
      <c r="D2" s="354"/>
      <c r="E2" s="354"/>
      <c r="F2" s="354"/>
      <c r="G2" s="354"/>
      <c r="H2" s="354"/>
      <c r="I2" s="354"/>
      <c r="J2" s="354"/>
    </row>
    <row r="3" spans="1:28" x14ac:dyDescent="0.25">
      <c r="B3" s="355"/>
      <c r="C3" s="354"/>
      <c r="D3" s="354"/>
      <c r="E3" s="354"/>
      <c r="F3" s="354"/>
      <c r="G3" s="354"/>
      <c r="H3" s="354"/>
      <c r="I3" s="354"/>
      <c r="J3" s="354"/>
    </row>
    <row r="4" spans="1:28" x14ac:dyDescent="0.25">
      <c r="B4" s="356"/>
      <c r="C4" s="354"/>
      <c r="D4" s="354"/>
      <c r="E4" s="354"/>
      <c r="F4" s="354"/>
      <c r="G4" s="354"/>
      <c r="H4" s="354"/>
      <c r="I4" s="354"/>
      <c r="J4" s="354"/>
    </row>
    <row r="6" spans="1:28" x14ac:dyDescent="0.25">
      <c r="D6" s="146">
        <f>Hypothèses_projet!$C$3</f>
        <v>2021</v>
      </c>
      <c r="E6" s="146">
        <f>IF(Hypothèses_projet!$C$6&lt;=D6,"",D6+1)</f>
        <v>2022</v>
      </c>
      <c r="F6" s="146">
        <f>IF(Hypothèses_projet!$C$6&lt;=E6,"",E6+1)</f>
        <v>2023</v>
      </c>
      <c r="G6" s="146">
        <f>IF(Hypothèses_projet!$C$6&lt;=F6,"",F6+1)</f>
        <v>2024</v>
      </c>
      <c r="H6" s="146">
        <f>IF(Hypothèses_projet!$C$6&lt;=G6,"",G6+1)</f>
        <v>2025</v>
      </c>
      <c r="I6" s="146">
        <f>IF(Hypothèses_projet!$C$6&lt;=H6,"",H6+1)</f>
        <v>2026</v>
      </c>
      <c r="J6" s="146">
        <f>IF(Hypothèses_projet!$C$6&lt;=I6,"",I6+1)</f>
        <v>2027</v>
      </c>
      <c r="K6" s="146">
        <f>IF(Hypothèses_projet!$C$6&lt;=J6,"",J6+1)</f>
        <v>2028</v>
      </c>
      <c r="L6" s="146">
        <f>IF(Hypothèses_projet!$C$6&lt;=K6,"",K6+1)</f>
        <v>2029</v>
      </c>
      <c r="M6" s="146">
        <f>IF(Hypothèses_projet!$C$6&lt;=L6,"",L6+1)</f>
        <v>2030</v>
      </c>
      <c r="N6" s="146">
        <f>IF(Hypothèses_projet!$C$6&lt;=M6,"",M6+1)</f>
        <v>2031</v>
      </c>
      <c r="O6" s="146">
        <f>IF(Hypothèses_projet!$C$6&lt;=N6,"",N6+1)</f>
        <v>2032</v>
      </c>
      <c r="P6" s="146">
        <f>IF(Hypothèses_projet!$C$6&lt;=O6,"",O6+1)</f>
        <v>2033</v>
      </c>
      <c r="Q6" s="146">
        <f>IF(Hypothèses_projet!$C$6&lt;=P6,"",P6+1)</f>
        <v>2034</v>
      </c>
      <c r="R6" s="146">
        <f>IF(Hypothèses_projet!$C$6&lt;=Q6,"",Q6+1)</f>
        <v>2035</v>
      </c>
      <c r="S6" s="146">
        <f>IF(Hypothèses_projet!$C$6&lt;=R6,"",R6+1)</f>
        <v>2036</v>
      </c>
      <c r="T6" s="146">
        <f>IF(Hypothèses_projet!$C$6&lt;=S6,"",S6+1)</f>
        <v>2037</v>
      </c>
      <c r="U6" s="146">
        <f>IF(Hypothèses_projet!$C$6&lt;=T6,"",T6+1)</f>
        <v>2038</v>
      </c>
      <c r="V6" s="146">
        <f>IF(Hypothèses_projet!$C$6&lt;=U6,"",U6+1)</f>
        <v>2039</v>
      </c>
      <c r="W6" s="146">
        <f>IF(Hypothèses_projet!$C$6&lt;=V6,"",V6+1)</f>
        <v>2040</v>
      </c>
      <c r="X6" s="146" t="str">
        <f>IF(Hypothèses_projet!$C$6&lt;=W6,"",W6+1)</f>
        <v/>
      </c>
      <c r="Y6" s="146" t="str">
        <f>IF(Hypothèses_projet!$C$6&lt;=X6,"",X6+1)</f>
        <v/>
      </c>
      <c r="Z6" s="146" t="str">
        <f>IF(Hypothèses_projet!$C$6&lt;=Y6,"",Y6+1)</f>
        <v/>
      </c>
      <c r="AA6" s="146" t="str">
        <f>IF(Hypothèses_projet!$C$6&lt;=Z6,"",Z6+1)</f>
        <v/>
      </c>
      <c r="AB6" s="146" t="str">
        <f>IF(Hypothèses_projet!$C$6&lt;=AA6,"",AA6+1)</f>
        <v/>
      </c>
    </row>
    <row r="7" spans="1:28" ht="45" x14ac:dyDescent="0.25">
      <c r="A7" s="73" t="s">
        <v>201</v>
      </c>
      <c r="B7" s="358" t="str">
        <f>'Resultats généraux'!A50</f>
        <v>OUI</v>
      </c>
      <c r="C7" s="359" t="s">
        <v>489</v>
      </c>
      <c r="D7" s="360">
        <f t="shared" ref="D7:AB7" si="0">IF($B7="OUI",SUM(D10,D13),0)</f>
        <v>14385.958314724176</v>
      </c>
      <c r="E7" s="360">
        <f t="shared" si="0"/>
        <v>14558.589814500865</v>
      </c>
      <c r="F7" s="360">
        <f t="shared" si="0"/>
        <v>14733.292892274876</v>
      </c>
      <c r="G7" s="360">
        <f t="shared" si="0"/>
        <v>14910.092406982172</v>
      </c>
      <c r="H7" s="360">
        <f t="shared" si="0"/>
        <v>15089.013515865958</v>
      </c>
      <c r="I7" s="360">
        <f t="shared" si="0"/>
        <v>15270.081678056353</v>
      </c>
      <c r="J7" s="360">
        <f t="shared" si="0"/>
        <v>15453.322658193028</v>
      </c>
      <c r="K7" s="360">
        <f t="shared" si="0"/>
        <v>15638.762530091348</v>
      </c>
      <c r="L7" s="360">
        <f t="shared" si="0"/>
        <v>15826.427680452445</v>
      </c>
      <c r="M7" s="360">
        <f t="shared" si="0"/>
        <v>16016.34481261787</v>
      </c>
      <c r="N7" s="360">
        <f t="shared" si="0"/>
        <v>16208.540950369286</v>
      </c>
      <c r="O7" s="360">
        <f t="shared" si="0"/>
        <v>16403.04344177372</v>
      </c>
      <c r="P7" s="360">
        <f t="shared" si="0"/>
        <v>16599.879963075004</v>
      </c>
      <c r="Q7" s="360">
        <f t="shared" si="0"/>
        <v>16799.078522631906</v>
      </c>
      <c r="R7" s="360">
        <f t="shared" si="0"/>
        <v>17000.66746490349</v>
      </c>
      <c r="S7" s="360">
        <f t="shared" si="0"/>
        <v>17204.675474482327</v>
      </c>
      <c r="T7" s="360">
        <f t="shared" si="0"/>
        <v>17411.131580176119</v>
      </c>
      <c r="U7" s="360">
        <f t="shared" si="0"/>
        <v>17620.06515913823</v>
      </c>
      <c r="V7" s="360">
        <f t="shared" si="0"/>
        <v>17831.50594104789</v>
      </c>
      <c r="W7" s="360">
        <f t="shared" si="0"/>
        <v>18045.484012340468</v>
      </c>
      <c r="X7" s="360">
        <f t="shared" si="0"/>
        <v>0</v>
      </c>
      <c r="Y7" s="360">
        <f t="shared" si="0"/>
        <v>0</v>
      </c>
      <c r="Z7" s="360">
        <f t="shared" si="0"/>
        <v>0</v>
      </c>
      <c r="AA7" s="360">
        <f t="shared" si="0"/>
        <v>0</v>
      </c>
      <c r="AB7" s="360">
        <f t="shared" si="0"/>
        <v>0</v>
      </c>
    </row>
    <row r="8" spans="1:28" x14ac:dyDescent="0.25">
      <c r="A8" s="73" t="s">
        <v>322</v>
      </c>
      <c r="C8" s="261"/>
      <c r="D8" s="284"/>
      <c r="E8" s="284"/>
      <c r="F8" s="284"/>
      <c r="G8" s="284"/>
      <c r="H8" s="284"/>
      <c r="I8" s="284"/>
      <c r="J8" s="284"/>
      <c r="K8" s="284"/>
      <c r="L8" s="284"/>
      <c r="M8" s="284"/>
    </row>
    <row r="9" spans="1:28" x14ac:dyDescent="0.25">
      <c r="B9" s="207" t="s">
        <v>1310</v>
      </c>
      <c r="C9" s="150"/>
      <c r="D9" s="361"/>
      <c r="E9" s="361"/>
      <c r="F9" s="361"/>
      <c r="G9" s="361"/>
      <c r="H9" s="361"/>
      <c r="I9" s="361"/>
      <c r="J9" s="361"/>
      <c r="K9" s="361"/>
      <c r="L9" s="361"/>
      <c r="M9" s="361"/>
    </row>
    <row r="10" spans="1:28" ht="60" x14ac:dyDescent="0.25">
      <c r="B10" s="358" t="str">
        <f>'Resultats généraux'!A53</f>
        <v>OUI</v>
      </c>
      <c r="C10" s="359" t="str">
        <f>B22</f>
        <v>Production de terminaux et objets connectés (IoT)</v>
      </c>
      <c r="D10" s="360">
        <f t="shared" ref="D10" si="1">IF($B10="OUI",SUM(D11:D12),0)</f>
        <v>13177.534267756002</v>
      </c>
      <c r="E10" s="360">
        <f t="shared" ref="E10:AB10" si="2">IF($B10="OUI",SUM(E11:E12),0)</f>
        <v>13335.664678969073</v>
      </c>
      <c r="F10" s="360">
        <f t="shared" si="2"/>
        <v>13495.692655116702</v>
      </c>
      <c r="G10" s="360">
        <f t="shared" si="2"/>
        <v>13657.640966978101</v>
      </c>
      <c r="H10" s="360">
        <f t="shared" si="2"/>
        <v>13821.532658581837</v>
      </c>
      <c r="I10" s="360">
        <f t="shared" si="2"/>
        <v>13987.391050484823</v>
      </c>
      <c r="J10" s="360">
        <f t="shared" si="2"/>
        <v>14155.23974309064</v>
      </c>
      <c r="K10" s="360">
        <f t="shared" si="2"/>
        <v>14325.10262000773</v>
      </c>
      <c r="L10" s="360">
        <f t="shared" si="2"/>
        <v>14497.003851447826</v>
      </c>
      <c r="M10" s="360">
        <f t="shared" si="2"/>
        <v>14670.967897665194</v>
      </c>
      <c r="N10" s="360">
        <f t="shared" si="2"/>
        <v>14847.019512437178</v>
      </c>
      <c r="O10" s="360">
        <f t="shared" si="2"/>
        <v>15025.183746586425</v>
      </c>
      <c r="P10" s="360">
        <f t="shared" si="2"/>
        <v>15205.485951545463</v>
      </c>
      <c r="Q10" s="360">
        <f t="shared" si="2"/>
        <v>15387.95178296401</v>
      </c>
      <c r="R10" s="360">
        <f t="shared" si="2"/>
        <v>15572.60720435958</v>
      </c>
      <c r="S10" s="360">
        <f t="shared" si="2"/>
        <v>15759.478490811889</v>
      </c>
      <c r="T10" s="360">
        <f t="shared" si="2"/>
        <v>15948.592232701636</v>
      </c>
      <c r="U10" s="360">
        <f t="shared" si="2"/>
        <v>16139.975339494054</v>
      </c>
      <c r="V10" s="360">
        <f t="shared" si="2"/>
        <v>16333.655043567984</v>
      </c>
      <c r="W10" s="360">
        <f t="shared" si="2"/>
        <v>16529.658904090804</v>
      </c>
      <c r="X10" s="360">
        <f t="shared" si="2"/>
        <v>0</v>
      </c>
      <c r="Y10" s="360">
        <f t="shared" si="2"/>
        <v>0</v>
      </c>
      <c r="Z10" s="360">
        <f t="shared" si="2"/>
        <v>0</v>
      </c>
      <c r="AA10" s="360">
        <f t="shared" si="2"/>
        <v>0</v>
      </c>
      <c r="AB10" s="360">
        <f t="shared" si="2"/>
        <v>0</v>
      </c>
    </row>
    <row r="11" spans="1:28" x14ac:dyDescent="0.25">
      <c r="B11" s="358" t="str">
        <f>'Resultats généraux'!A54</f>
        <v>OUI</v>
      </c>
      <c r="C11" s="359" t="s">
        <v>490</v>
      </c>
      <c r="D11" s="360">
        <f t="shared" ref="D11" si="3">IF($B11="OUI",C38,0)</f>
        <v>261.61978642449969</v>
      </c>
      <c r="E11" s="360">
        <f t="shared" ref="E11" si="4">IF($B11="OUI",D38,0)</f>
        <v>264.75922386159425</v>
      </c>
      <c r="F11" s="360">
        <f t="shared" ref="F11" si="5">IF($B11="OUI",E38,0)</f>
        <v>267.9363345479332</v>
      </c>
      <c r="G11" s="360">
        <f t="shared" ref="G11" si="6">IF($B11="OUI",F38,0)</f>
        <v>271.15157056250757</v>
      </c>
      <c r="H11" s="360">
        <f t="shared" ref="H11" si="7">IF($B11="OUI",G38,0)</f>
        <v>274.40538940925717</v>
      </c>
      <c r="I11" s="360">
        <f t="shared" ref="I11" si="8">IF($B11="OUI",H38,0)</f>
        <v>277.69825408216894</v>
      </c>
      <c r="J11" s="360">
        <f t="shared" ref="J11" si="9">IF($B11="OUI",I38,0)</f>
        <v>281.03063313115513</v>
      </c>
      <c r="K11" s="360">
        <f t="shared" ref="K11" si="10">IF($B11="OUI",J38,0)</f>
        <v>284.40300072872986</v>
      </c>
      <c r="L11" s="360">
        <f t="shared" ref="L11" si="11">IF($B11="OUI",K38,0)</f>
        <v>287.81583673747434</v>
      </c>
      <c r="M11" s="360">
        <f t="shared" ref="M11" si="12">IF($B11="OUI",L38,0)</f>
        <v>291.26962677832296</v>
      </c>
      <c r="N11" s="360">
        <f t="shared" ref="N11" si="13">IF($B11="OUI",M38,0)</f>
        <v>294.76486229966423</v>
      </c>
      <c r="O11" s="360">
        <f t="shared" ref="O11" si="14">IF($B11="OUI",N38,0)</f>
        <v>298.30204064725956</v>
      </c>
      <c r="P11" s="360">
        <f t="shared" ref="P11" si="15">IF($B11="OUI",O38,0)</f>
        <v>301.88166513502694</v>
      </c>
      <c r="Q11" s="360">
        <f t="shared" ref="Q11" si="16">IF($B11="OUI",P38,0)</f>
        <v>305.50424511664613</v>
      </c>
      <c r="R11" s="360">
        <f t="shared" ref="R11" si="17">IF($B11="OUI",Q38,0)</f>
        <v>309.17029605804612</v>
      </c>
      <c r="S11" s="360">
        <f t="shared" ref="S11" si="18">IF($B11="OUI",R38,0)</f>
        <v>312.88033961074319</v>
      </c>
      <c r="T11" s="360">
        <f t="shared" ref="T11" si="19">IF($B11="OUI",S38,0)</f>
        <v>316.63490368607233</v>
      </c>
      <c r="U11" s="360">
        <f t="shared" ref="U11" si="20">IF($B11="OUI",T38,0)</f>
        <v>320.43452253030483</v>
      </c>
      <c r="V11" s="360">
        <f t="shared" ref="V11" si="21">IF($B11="OUI",U38,0)</f>
        <v>324.27973680066833</v>
      </c>
      <c r="W11" s="360">
        <f t="shared" ref="W11" si="22">IF($B11="OUI",V38,0)</f>
        <v>328.17109364227764</v>
      </c>
      <c r="X11" s="360" t="str">
        <f t="shared" ref="X11" si="23">IF($B11="OUI",W38,0)</f>
        <v/>
      </c>
      <c r="Y11" s="360" t="str">
        <f t="shared" ref="Y11" si="24">IF($B11="OUI",X38,0)</f>
        <v/>
      </c>
      <c r="Z11" s="360" t="str">
        <f t="shared" ref="Z11" si="25">IF($B11="OUI",Y38,0)</f>
        <v/>
      </c>
      <c r="AA11" s="360" t="str">
        <f t="shared" ref="AA11" si="26">IF($B11="OUI",Z38,0)</f>
        <v/>
      </c>
      <c r="AB11" s="360" t="str">
        <f t="shared" ref="AB11" si="27">IF($B11="OUI",AA38,0)</f>
        <v/>
      </c>
    </row>
    <row r="12" spans="1:28" x14ac:dyDescent="0.25">
      <c r="B12" s="358" t="str">
        <f>'Resultats généraux'!A55</f>
        <v>OUI</v>
      </c>
      <c r="C12" s="359" t="s">
        <v>491</v>
      </c>
      <c r="D12" s="360">
        <f t="shared" ref="D12" si="28">IF($B12="OUI",C50,0)</f>
        <v>12915.914481331502</v>
      </c>
      <c r="E12" s="360">
        <f t="shared" ref="E12" si="29">IF($B12="OUI",D50,0)</f>
        <v>13070.905455107479</v>
      </c>
      <c r="F12" s="360">
        <f t="shared" ref="F12" si="30">IF($B12="OUI",E50,0)</f>
        <v>13227.756320568769</v>
      </c>
      <c r="G12" s="360">
        <f t="shared" ref="G12" si="31">IF($B12="OUI",F50,0)</f>
        <v>13386.489396415593</v>
      </c>
      <c r="H12" s="360">
        <f t="shared" ref="H12" si="32">IF($B12="OUI",G50,0)</f>
        <v>13547.127269172579</v>
      </c>
      <c r="I12" s="360">
        <f t="shared" ref="I12" si="33">IF($B12="OUI",H50,0)</f>
        <v>13709.692796402654</v>
      </c>
      <c r="J12" s="360">
        <f t="shared" ref="J12" si="34">IF($B12="OUI",I50,0)</f>
        <v>13874.209109959485</v>
      </c>
      <c r="K12" s="360">
        <f t="shared" ref="K12" si="35">IF($B12="OUI",J50,0)</f>
        <v>14040.699619279001</v>
      </c>
      <c r="L12" s="360">
        <f t="shared" ref="L12" si="36">IF($B12="OUI",K50,0)</f>
        <v>14209.188014710351</v>
      </c>
      <c r="M12" s="360">
        <f t="shared" ref="M12" si="37">IF($B12="OUI",L50,0)</f>
        <v>14379.698270886871</v>
      </c>
      <c r="N12" s="360">
        <f t="shared" ref="N12" si="38">IF($B12="OUI",M50,0)</f>
        <v>14552.254650137515</v>
      </c>
      <c r="O12" s="360">
        <f t="shared" ref="O12" si="39">IF($B12="OUI",N50,0)</f>
        <v>14726.881705939166</v>
      </c>
      <c r="P12" s="360">
        <f t="shared" ref="P12" si="40">IF($B12="OUI",O50,0)</f>
        <v>14903.604286410437</v>
      </c>
      <c r="Q12" s="360">
        <f t="shared" ref="Q12" si="41">IF($B12="OUI",P50,0)</f>
        <v>15082.447537847363</v>
      </c>
      <c r="R12" s="360">
        <f t="shared" ref="R12" si="42">IF($B12="OUI",Q50,0)</f>
        <v>15263.436908301534</v>
      </c>
      <c r="S12" s="360">
        <f t="shared" ref="S12" si="43">IF($B12="OUI",R50,0)</f>
        <v>15446.598151201146</v>
      </c>
      <c r="T12" s="360">
        <f t="shared" ref="T12" si="44">IF($B12="OUI",S50,0)</f>
        <v>15631.957329015564</v>
      </c>
      <c r="U12" s="360">
        <f t="shared" ref="U12" si="45">IF($B12="OUI",T50,0)</f>
        <v>15819.54081696375</v>
      </c>
      <c r="V12" s="360">
        <f t="shared" ref="V12" si="46">IF($B12="OUI",U50,0)</f>
        <v>16009.375306767315</v>
      </c>
      <c r="W12" s="360">
        <f t="shared" ref="W12" si="47">IF($B12="OUI",V50,0)</f>
        <v>16201.487810448525</v>
      </c>
      <c r="X12" s="360" t="str">
        <f t="shared" ref="X12" si="48">IF($B12="OUI",W50,0)</f>
        <v/>
      </c>
      <c r="Y12" s="360" t="str">
        <f t="shared" ref="Y12" si="49">IF($B12="OUI",X50,0)</f>
        <v/>
      </c>
      <c r="Z12" s="360" t="str">
        <f t="shared" ref="Z12" si="50">IF($B12="OUI",Y50,0)</f>
        <v/>
      </c>
      <c r="AA12" s="360" t="str">
        <f t="shared" ref="AA12" si="51">IF($B12="OUI",Z50,0)</f>
        <v/>
      </c>
      <c r="AB12" s="360" t="str">
        <f t="shared" ref="AB12" si="52">IF($B12="OUI",AA50,0)</f>
        <v/>
      </c>
    </row>
    <row r="13" spans="1:28" ht="45.6" customHeight="1" x14ac:dyDescent="0.25">
      <c r="B13" s="358" t="str">
        <f>'Resultats généraux'!A56</f>
        <v>OUI</v>
      </c>
      <c r="C13" s="359" t="str">
        <f>B140</f>
        <v>Utilisation terminaux et IoT</v>
      </c>
      <c r="D13" s="360">
        <f>IF($B13="OUI",SUM(D14:D15),0)</f>
        <v>1208.4240469681743</v>
      </c>
      <c r="E13" s="360">
        <f t="shared" ref="E13:AB13" si="53">IF($B13="OUI",SUM(E14:E15),0)</f>
        <v>1222.925135531792</v>
      </c>
      <c r="F13" s="360">
        <f t="shared" si="53"/>
        <v>1237.6002371581737</v>
      </c>
      <c r="G13" s="360">
        <f t="shared" si="53"/>
        <v>1252.4514400040719</v>
      </c>
      <c r="H13" s="360">
        <f t="shared" si="53"/>
        <v>1267.4808572841209</v>
      </c>
      <c r="I13" s="360">
        <f t="shared" si="53"/>
        <v>1282.6906275715301</v>
      </c>
      <c r="J13" s="360">
        <f t="shared" si="53"/>
        <v>1298.0829151023888</v>
      </c>
      <c r="K13" s="360">
        <f t="shared" si="53"/>
        <v>1313.6599100836172</v>
      </c>
      <c r="L13" s="360">
        <f t="shared" si="53"/>
        <v>1329.4238290046205</v>
      </c>
      <c r="M13" s="360">
        <f t="shared" si="53"/>
        <v>1345.3769149526763</v>
      </c>
      <c r="N13" s="360">
        <f t="shared" si="53"/>
        <v>1361.5214379321085</v>
      </c>
      <c r="O13" s="360">
        <f t="shared" si="53"/>
        <v>1377.8596951872937</v>
      </c>
      <c r="P13" s="360">
        <f t="shared" si="53"/>
        <v>1394.3940115295413</v>
      </c>
      <c r="Q13" s="360">
        <f t="shared" si="53"/>
        <v>1411.1267396678959</v>
      </c>
      <c r="R13" s="360">
        <f t="shared" si="53"/>
        <v>1428.0602605439108</v>
      </c>
      <c r="S13" s="360">
        <f t="shared" si="53"/>
        <v>1445.1969836704375</v>
      </c>
      <c r="T13" s="360">
        <f t="shared" si="53"/>
        <v>1462.5393474744828</v>
      </c>
      <c r="U13" s="360">
        <f t="shared" si="53"/>
        <v>1480.0898196441767</v>
      </c>
      <c r="V13" s="360">
        <f t="shared" si="53"/>
        <v>1497.850897479907</v>
      </c>
      <c r="W13" s="360">
        <f t="shared" si="53"/>
        <v>1515.8251082496656</v>
      </c>
      <c r="X13" s="360">
        <f t="shared" si="53"/>
        <v>0</v>
      </c>
      <c r="Y13" s="360">
        <f t="shared" si="53"/>
        <v>0</v>
      </c>
      <c r="Z13" s="360">
        <f t="shared" si="53"/>
        <v>0</v>
      </c>
      <c r="AA13" s="360">
        <f t="shared" si="53"/>
        <v>0</v>
      </c>
      <c r="AB13" s="360">
        <f t="shared" si="53"/>
        <v>0</v>
      </c>
    </row>
    <row r="14" spans="1:28" ht="45.6" customHeight="1" x14ac:dyDescent="0.25">
      <c r="B14" s="358" t="str">
        <f>'Resultats généraux'!A57</f>
        <v>OUI</v>
      </c>
      <c r="C14" s="359" t="s">
        <v>490</v>
      </c>
      <c r="D14" s="360">
        <f t="shared" ref="D14" si="54">IF($B14="OUI",C154,0)</f>
        <v>229.36957163529124</v>
      </c>
      <c r="E14" s="360">
        <f t="shared" ref="E14" si="55">IF($B14="OUI",D154,0)</f>
        <v>232.1220064949147</v>
      </c>
      <c r="F14" s="360">
        <f t="shared" ref="F14" si="56">IF($B14="OUI",E154,0)</f>
        <v>234.90747057285373</v>
      </c>
      <c r="G14" s="360">
        <f t="shared" ref="G14" si="57">IF($B14="OUI",F154,0)</f>
        <v>237.72636021972795</v>
      </c>
      <c r="H14" s="360">
        <f t="shared" ref="H14" si="58">IF($B14="OUI",G154,0)</f>
        <v>240.5790765423647</v>
      </c>
      <c r="I14" s="360">
        <f t="shared" ref="I14" si="59">IF($B14="OUI",H154,0)</f>
        <v>243.46602546087308</v>
      </c>
      <c r="J14" s="360">
        <f t="shared" ref="J14" si="60">IF($B14="OUI",I154,0)</f>
        <v>246.38761776640359</v>
      </c>
      <c r="K14" s="360">
        <f t="shared" ref="K14" si="61">IF($B14="OUI",J154,0)</f>
        <v>249.34426917960042</v>
      </c>
      <c r="L14" s="360">
        <f t="shared" ref="L14" si="62">IF($B14="OUI",K154,0)</f>
        <v>252.33640040975561</v>
      </c>
      <c r="M14" s="360">
        <f t="shared" ref="M14" si="63">IF($B14="OUI",L154,0)</f>
        <v>255.36443721467271</v>
      </c>
      <c r="N14" s="360">
        <f t="shared" ref="N14" si="64">IF($B14="OUI",M154,0)</f>
        <v>258.42881046124882</v>
      </c>
      <c r="O14" s="360">
        <f t="shared" ref="O14" si="65">IF($B14="OUI",N154,0)</f>
        <v>261.52995618678381</v>
      </c>
      <c r="P14" s="360">
        <f t="shared" ref="P14" si="66">IF($B14="OUI",O154,0)</f>
        <v>264.66831566102513</v>
      </c>
      <c r="Q14" s="360">
        <f t="shared" ref="Q14" si="67">IF($B14="OUI",P154,0)</f>
        <v>267.84433544895751</v>
      </c>
      <c r="R14" s="360">
        <f t="shared" ref="R14" si="68">IF($B14="OUI",Q154,0)</f>
        <v>271.05846747434498</v>
      </c>
      <c r="S14" s="360">
        <f t="shared" ref="S14" si="69">IF($B14="OUI",R154,0)</f>
        <v>274.31116908403715</v>
      </c>
      <c r="T14" s="360">
        <f t="shared" ref="T14" si="70">IF($B14="OUI",S154,0)</f>
        <v>277.60290311304556</v>
      </c>
      <c r="U14" s="360">
        <f t="shared" ref="U14" si="71">IF($B14="OUI",T154,0)</f>
        <v>280.9341379504022</v>
      </c>
      <c r="V14" s="360">
        <f t="shared" ref="V14" si="72">IF($B14="OUI",U154,0)</f>
        <v>284.30534760580696</v>
      </c>
      <c r="W14" s="360">
        <f t="shared" ref="W14" si="73">IF($B14="OUI",V154,0)</f>
        <v>287.71701177707661</v>
      </c>
      <c r="X14" s="360" t="str">
        <f t="shared" ref="X14" si="74">IF($B14="OUI",W154,0)</f>
        <v/>
      </c>
      <c r="Y14" s="360" t="str">
        <f t="shared" ref="Y14" si="75">IF($B14="OUI",X154,0)</f>
        <v/>
      </c>
      <c r="Z14" s="360" t="str">
        <f t="shared" ref="Z14" si="76">IF($B14="OUI",Y154,0)</f>
        <v/>
      </c>
      <c r="AA14" s="360" t="str">
        <f t="shared" ref="AA14" si="77">IF($B14="OUI",Z154,0)</f>
        <v/>
      </c>
      <c r="AB14" s="360" t="str">
        <f t="shared" ref="AB14" si="78">IF($B14="OUI",AA154,0)</f>
        <v/>
      </c>
    </row>
    <row r="15" spans="1:28" ht="45.6" customHeight="1" x14ac:dyDescent="0.25">
      <c r="B15" s="358" t="str">
        <f>'Resultats généraux'!A58</f>
        <v>OUI</v>
      </c>
      <c r="C15" s="359" t="s">
        <v>491</v>
      </c>
      <c r="D15" s="360">
        <f t="shared" ref="D15" si="79">IF($B15="OUI",C166,0)</f>
        <v>979.05447533288293</v>
      </c>
      <c r="E15" s="360">
        <f t="shared" ref="E15" si="80">IF($B15="OUI",D166,0)</f>
        <v>990.80312903687729</v>
      </c>
      <c r="F15" s="360">
        <f t="shared" ref="F15" si="81">IF($B15="OUI",E166,0)</f>
        <v>1002.6927665853201</v>
      </c>
      <c r="G15" s="360">
        <f t="shared" ref="G15" si="82">IF($B15="OUI",F166,0)</f>
        <v>1014.725079784344</v>
      </c>
      <c r="H15" s="360">
        <f t="shared" ref="H15" si="83">IF($B15="OUI",G166,0)</f>
        <v>1026.9017807417563</v>
      </c>
      <c r="I15" s="360">
        <f t="shared" ref="I15" si="84">IF($B15="OUI",H166,0)</f>
        <v>1039.2246021106571</v>
      </c>
      <c r="J15" s="360">
        <f t="shared" ref="J15" si="85">IF($B15="OUI",I166,0)</f>
        <v>1051.6952973359853</v>
      </c>
      <c r="K15" s="360">
        <f t="shared" ref="K15" si="86">IF($B15="OUI",J166,0)</f>
        <v>1064.3156409040168</v>
      </c>
      <c r="L15" s="360">
        <f t="shared" ref="L15" si="87">IF($B15="OUI",K166,0)</f>
        <v>1077.0874285948648</v>
      </c>
      <c r="M15" s="360">
        <f t="shared" ref="M15" si="88">IF($B15="OUI",L166,0)</f>
        <v>1090.0124777380036</v>
      </c>
      <c r="N15" s="360">
        <f t="shared" ref="N15" si="89">IF($B15="OUI",M166,0)</f>
        <v>1103.0926274708597</v>
      </c>
      <c r="O15" s="360">
        <f t="shared" ref="O15" si="90">IF($B15="OUI",N166,0)</f>
        <v>1116.32973900051</v>
      </c>
      <c r="P15" s="360">
        <f t="shared" ref="P15" si="91">IF($B15="OUI",O166,0)</f>
        <v>1129.7256958685161</v>
      </c>
      <c r="Q15" s="360">
        <f t="shared" ref="Q15" si="92">IF($B15="OUI",P166,0)</f>
        <v>1143.2824042189384</v>
      </c>
      <c r="R15" s="360">
        <f t="shared" ref="R15" si="93">IF($B15="OUI",Q166,0)</f>
        <v>1157.0017930695658</v>
      </c>
      <c r="S15" s="360">
        <f t="shared" ref="S15" si="94">IF($B15="OUI",R166,0)</f>
        <v>1170.8858145864003</v>
      </c>
      <c r="T15" s="360">
        <f t="shared" ref="T15" si="95">IF($B15="OUI",S166,0)</f>
        <v>1184.9364443614372</v>
      </c>
      <c r="U15" s="360">
        <f t="shared" ref="U15" si="96">IF($B15="OUI",T166,0)</f>
        <v>1199.1556816937746</v>
      </c>
      <c r="V15" s="360">
        <f t="shared" ref="V15" si="97">IF($B15="OUI",U166,0)</f>
        <v>1213.5455498741001</v>
      </c>
      <c r="W15" s="360">
        <f t="shared" ref="W15" si="98">IF($B15="OUI",V166,0)</f>
        <v>1228.1080964725891</v>
      </c>
      <c r="X15" s="360" t="str">
        <f t="shared" ref="X15" si="99">IF($B15="OUI",W166,0)</f>
        <v/>
      </c>
      <c r="Y15" s="360" t="str">
        <f t="shared" ref="Y15" si="100">IF($B15="OUI",X166,0)</f>
        <v/>
      </c>
      <c r="Z15" s="360" t="str">
        <f t="shared" ref="Z15" si="101">IF($B15="OUI",Y166,0)</f>
        <v/>
      </c>
      <c r="AA15" s="360" t="str">
        <f t="shared" ref="AA15" si="102">IF($B15="OUI",Z166,0)</f>
        <v/>
      </c>
      <c r="AB15" s="360" t="str">
        <f t="shared" ref="AB15" si="103">IF($B15="OUI",AA166,0)</f>
        <v/>
      </c>
    </row>
    <row r="17" spans="2:27" ht="30" x14ac:dyDescent="0.25">
      <c r="B17" s="200" t="s">
        <v>1200</v>
      </c>
      <c r="C17" s="193"/>
    </row>
    <row r="18" spans="2:27" x14ac:dyDescent="0.25">
      <c r="B18" s="201" t="s">
        <v>833</v>
      </c>
      <c r="C18" s="301" t="str">
        <f>Hypothèses_projet!$C$2</f>
        <v>Colombia</v>
      </c>
    </row>
    <row r="19" spans="2:27" x14ac:dyDescent="0.25">
      <c r="B19" s="201" t="s">
        <v>835</v>
      </c>
      <c r="C19" s="203">
        <f>INDEX(FE_par_pays!$A$8:$F$242,MATCH(Terminaux_utilisateurs_IoT!C18,FE_par_pays!$A$8:$A$242,0),5)</f>
        <v>230.88184773797497</v>
      </c>
      <c r="E19" s="219"/>
      <c r="F19" s="193"/>
      <c r="G19" s="193"/>
    </row>
    <row r="21" spans="2:27" x14ac:dyDescent="0.25">
      <c r="B21" s="155"/>
      <c r="C21" s="155"/>
      <c r="D21" s="155"/>
      <c r="E21" s="155"/>
      <c r="F21" s="155"/>
    </row>
    <row r="22" spans="2:27" x14ac:dyDescent="0.25">
      <c r="B22" s="362" t="s">
        <v>1323</v>
      </c>
      <c r="C22" s="209"/>
      <c r="D22" s="209"/>
      <c r="E22" s="209"/>
      <c r="F22" s="209"/>
      <c r="G22" s="193"/>
      <c r="H22" s="193"/>
      <c r="I22" s="193"/>
      <c r="J22" s="193"/>
      <c r="K22" s="193"/>
      <c r="L22" s="193"/>
    </row>
    <row r="23" spans="2:27" x14ac:dyDescent="0.25">
      <c r="B23" s="336"/>
      <c r="C23" s="193"/>
      <c r="D23" s="193"/>
      <c r="E23" s="193"/>
      <c r="F23" s="193"/>
      <c r="G23" s="193"/>
      <c r="H23" s="193"/>
      <c r="I23" s="193"/>
      <c r="J23" s="193"/>
      <c r="K23" s="193"/>
      <c r="L23" s="193"/>
    </row>
    <row r="24" spans="2:27" ht="71.45" customHeight="1" x14ac:dyDescent="0.25">
      <c r="B24" s="332" t="s">
        <v>515</v>
      </c>
      <c r="C24" s="332"/>
      <c r="D24" s="332"/>
      <c r="E24" s="332"/>
      <c r="F24" s="332"/>
      <c r="G24" s="193"/>
      <c r="H24" s="193"/>
      <c r="I24" s="193"/>
      <c r="J24" s="193"/>
      <c r="K24" s="193"/>
      <c r="L24" s="193"/>
    </row>
    <row r="25" spans="2:27" ht="16.5" customHeight="1" x14ac:dyDescent="0.25">
      <c r="B25" s="267" t="s">
        <v>483</v>
      </c>
      <c r="C25" s="288"/>
      <c r="D25" s="288"/>
      <c r="E25" s="288"/>
      <c r="F25" s="288"/>
      <c r="G25" s="193"/>
      <c r="H25" s="193"/>
      <c r="I25" s="193"/>
      <c r="J25" s="193"/>
      <c r="K25" s="193"/>
      <c r="L25" s="193"/>
    </row>
    <row r="26" spans="2:27" ht="16.5" customHeight="1" x14ac:dyDescent="0.25">
      <c r="B26" s="267" t="s">
        <v>1335</v>
      </c>
      <c r="C26" s="288"/>
      <c r="D26" s="288"/>
      <c r="E26" s="288"/>
      <c r="F26" s="288"/>
      <c r="G26" s="193"/>
      <c r="H26" s="193"/>
      <c r="I26" s="193"/>
      <c r="J26" s="193"/>
      <c r="K26" s="193"/>
      <c r="L26" s="193"/>
    </row>
    <row r="27" spans="2:27" x14ac:dyDescent="0.25">
      <c r="B27" s="193"/>
      <c r="C27" s="193"/>
      <c r="D27" s="193"/>
      <c r="E27" s="193"/>
      <c r="F27" s="193"/>
      <c r="G27" s="193"/>
      <c r="H27" s="193"/>
      <c r="I27" s="193"/>
      <c r="J27" s="193"/>
      <c r="K27" s="193"/>
      <c r="L27" s="193"/>
    </row>
    <row r="28" spans="2:27" x14ac:dyDescent="0.25">
      <c r="B28" s="291" t="s">
        <v>29</v>
      </c>
      <c r="C28" s="291"/>
      <c r="D28" s="291"/>
      <c r="E28" s="291"/>
      <c r="F28" s="291"/>
      <c r="G28" s="291"/>
      <c r="H28" s="291"/>
      <c r="I28" s="291"/>
      <c r="J28" s="291"/>
      <c r="K28" s="291"/>
      <c r="L28" s="291"/>
    </row>
    <row r="29" spans="2:27" x14ac:dyDescent="0.25">
      <c r="B29" s="292" t="s">
        <v>171</v>
      </c>
      <c r="C29" s="293"/>
      <c r="D29" s="293"/>
      <c r="E29" s="293"/>
      <c r="F29" s="293"/>
      <c r="G29" s="293"/>
      <c r="H29" s="293"/>
      <c r="I29" s="293"/>
      <c r="J29" s="293"/>
      <c r="K29" s="293"/>
      <c r="L29" s="293"/>
    </row>
    <row r="30" spans="2:27" x14ac:dyDescent="0.25">
      <c r="B30" s="307" t="s">
        <v>26</v>
      </c>
      <c r="C30" s="307">
        <f>Hypothèses_projet!$C$3</f>
        <v>2021</v>
      </c>
      <c r="D30" s="307">
        <f>E$6</f>
        <v>2022</v>
      </c>
      <c r="E30" s="307">
        <f t="shared" ref="E30:AA30" si="104">F$6</f>
        <v>2023</v>
      </c>
      <c r="F30" s="307">
        <f t="shared" si="104"/>
        <v>2024</v>
      </c>
      <c r="G30" s="307">
        <f t="shared" si="104"/>
        <v>2025</v>
      </c>
      <c r="H30" s="307">
        <f t="shared" si="104"/>
        <v>2026</v>
      </c>
      <c r="I30" s="307">
        <f t="shared" si="104"/>
        <v>2027</v>
      </c>
      <c r="J30" s="307">
        <f t="shared" si="104"/>
        <v>2028</v>
      </c>
      <c r="K30" s="307">
        <f t="shared" si="104"/>
        <v>2029</v>
      </c>
      <c r="L30" s="307">
        <f t="shared" si="104"/>
        <v>2030</v>
      </c>
      <c r="M30" s="307">
        <f t="shared" si="104"/>
        <v>2031</v>
      </c>
      <c r="N30" s="307">
        <f t="shared" si="104"/>
        <v>2032</v>
      </c>
      <c r="O30" s="307">
        <f t="shared" si="104"/>
        <v>2033</v>
      </c>
      <c r="P30" s="307">
        <f t="shared" si="104"/>
        <v>2034</v>
      </c>
      <c r="Q30" s="307">
        <f t="shared" si="104"/>
        <v>2035</v>
      </c>
      <c r="R30" s="307">
        <f t="shared" si="104"/>
        <v>2036</v>
      </c>
      <c r="S30" s="307">
        <f t="shared" si="104"/>
        <v>2037</v>
      </c>
      <c r="T30" s="307">
        <f t="shared" si="104"/>
        <v>2038</v>
      </c>
      <c r="U30" s="307">
        <f t="shared" si="104"/>
        <v>2039</v>
      </c>
      <c r="V30" s="307">
        <f t="shared" si="104"/>
        <v>2040</v>
      </c>
      <c r="W30" s="307" t="str">
        <f t="shared" si="104"/>
        <v/>
      </c>
      <c r="X30" s="307" t="str">
        <f t="shared" si="104"/>
        <v/>
      </c>
      <c r="Y30" s="307" t="str">
        <f t="shared" si="104"/>
        <v/>
      </c>
      <c r="Z30" s="307" t="str">
        <f t="shared" si="104"/>
        <v/>
      </c>
      <c r="AA30" s="307" t="str">
        <f t="shared" si="104"/>
        <v/>
      </c>
    </row>
    <row r="31" spans="2:27" x14ac:dyDescent="0.25">
      <c r="B31" s="363" t="s">
        <v>432</v>
      </c>
      <c r="C31" s="307"/>
      <c r="D31" s="307"/>
      <c r="E31" s="307"/>
      <c r="F31" s="307"/>
      <c r="G31" s="307"/>
      <c r="H31" s="307"/>
      <c r="I31" s="307"/>
      <c r="J31" s="307"/>
      <c r="K31" s="307"/>
      <c r="L31" s="307"/>
      <c r="M31" s="307"/>
      <c r="N31" s="307"/>
      <c r="O31" s="307"/>
      <c r="P31" s="307"/>
      <c r="Q31" s="307"/>
      <c r="R31" s="307"/>
      <c r="S31" s="307"/>
      <c r="T31" s="307"/>
      <c r="U31" s="307"/>
      <c r="V31" s="307"/>
      <c r="W31" s="307"/>
      <c r="X31" s="307"/>
      <c r="Y31" s="307"/>
      <c r="Z31" s="307"/>
      <c r="AA31" s="307"/>
    </row>
    <row r="32" spans="2:27" x14ac:dyDescent="0.25">
      <c r="B32" s="364" t="s">
        <v>427</v>
      </c>
      <c r="C32" s="365">
        <f>IF(C30="","",C$39*$E$60/100*$E$76*($E$108+$E$109*$E$110)/1000)</f>
        <v>1379.58404885</v>
      </c>
      <c r="D32" s="365">
        <f t="shared" ref="D32:AA32" si="105">IF(D30="","",D$39*$E$60/100*$E$76*($E$108+$E$109*$E$110)/1000)</f>
        <v>1396.1390574362001</v>
      </c>
      <c r="E32" s="365">
        <f t="shared" si="105"/>
        <v>1412.8927261254348</v>
      </c>
      <c r="F32" s="365">
        <f t="shared" si="105"/>
        <v>1429.84743883894</v>
      </c>
      <c r="G32" s="365">
        <f t="shared" si="105"/>
        <v>1447.005608105007</v>
      </c>
      <c r="H32" s="365">
        <f t="shared" si="105"/>
        <v>1464.3696754022674</v>
      </c>
      <c r="I32" s="365">
        <f t="shared" si="105"/>
        <v>1481.9421115070948</v>
      </c>
      <c r="J32" s="365">
        <f t="shared" si="105"/>
        <v>1499.7254168451798</v>
      </c>
      <c r="K32" s="365">
        <f t="shared" si="105"/>
        <v>1517.7221218473219</v>
      </c>
      <c r="L32" s="365">
        <f t="shared" si="105"/>
        <v>1535.9347873094896</v>
      </c>
      <c r="M32" s="365">
        <f t="shared" si="105"/>
        <v>1554.3660047572037</v>
      </c>
      <c r="N32" s="365">
        <f t="shared" si="105"/>
        <v>1573.0183968142899</v>
      </c>
      <c r="O32" s="365">
        <f t="shared" si="105"/>
        <v>1591.8946175760616</v>
      </c>
      <c r="P32" s="365">
        <f t="shared" si="105"/>
        <v>1610.9973529869742</v>
      </c>
      <c r="Q32" s="365">
        <f t="shared" si="105"/>
        <v>1630.329321222818</v>
      </c>
      <c r="R32" s="365">
        <f t="shared" si="105"/>
        <v>1649.8932730774918</v>
      </c>
      <c r="S32" s="365">
        <f t="shared" si="105"/>
        <v>1669.6919923544217</v>
      </c>
      <c r="T32" s="365">
        <f t="shared" si="105"/>
        <v>1689.7282962626746</v>
      </c>
      <c r="U32" s="365">
        <f t="shared" si="105"/>
        <v>1710.0050358178269</v>
      </c>
      <c r="V32" s="365">
        <f t="shared" si="105"/>
        <v>1730.5250962476407</v>
      </c>
      <c r="W32" s="365" t="str">
        <f t="shared" si="105"/>
        <v/>
      </c>
      <c r="X32" s="365" t="str">
        <f t="shared" si="105"/>
        <v/>
      </c>
      <c r="Y32" s="365" t="str">
        <f t="shared" si="105"/>
        <v/>
      </c>
      <c r="Z32" s="365" t="str">
        <f t="shared" si="105"/>
        <v/>
      </c>
      <c r="AA32" s="365" t="str">
        <f t="shared" si="105"/>
        <v/>
      </c>
    </row>
    <row r="33" spans="2:27" x14ac:dyDescent="0.25">
      <c r="B33" s="364" t="s">
        <v>426</v>
      </c>
      <c r="C33" s="365">
        <f>IF(C30="","",C$39*$E$61/100*$E$77*($E$104+$E$105*$E$106)/1000)</f>
        <v>2958.2964302500004</v>
      </c>
      <c r="D33" s="365">
        <f t="shared" ref="D33:AA33" si="106">IF(D30="","",D$39*$E$61/100*$E$77*($E$104+$E$105*$E$106)/1000)</f>
        <v>2993.7959874130001</v>
      </c>
      <c r="E33" s="365">
        <f t="shared" si="106"/>
        <v>3029.7215392619564</v>
      </c>
      <c r="F33" s="365">
        <f t="shared" si="106"/>
        <v>3066.0781977330998</v>
      </c>
      <c r="G33" s="365">
        <f t="shared" si="106"/>
        <v>3102.8711361058972</v>
      </c>
      <c r="H33" s="365">
        <f t="shared" si="106"/>
        <v>3140.105589739168</v>
      </c>
      <c r="I33" s="365">
        <f t="shared" si="106"/>
        <v>3177.7868568160384</v>
      </c>
      <c r="J33" s="365">
        <f t="shared" si="106"/>
        <v>3215.9202990978306</v>
      </c>
      <c r="K33" s="365">
        <f t="shared" si="106"/>
        <v>3254.5113426870048</v>
      </c>
      <c r="L33" s="365">
        <f t="shared" si="106"/>
        <v>3293.5654787992489</v>
      </c>
      <c r="M33" s="365">
        <f t="shared" si="106"/>
        <v>3333.0882645448401</v>
      </c>
      <c r="N33" s="365">
        <f t="shared" si="106"/>
        <v>3373.0853237193774</v>
      </c>
      <c r="O33" s="365">
        <f t="shared" si="106"/>
        <v>3413.56234760401</v>
      </c>
      <c r="P33" s="365">
        <f t="shared" si="106"/>
        <v>3454.5250957752587</v>
      </c>
      <c r="Q33" s="365">
        <f t="shared" si="106"/>
        <v>3495.9793969245616</v>
      </c>
      <c r="R33" s="365">
        <f t="shared" si="106"/>
        <v>3537.9311496876562</v>
      </c>
      <c r="S33" s="365">
        <f t="shared" si="106"/>
        <v>3580.3863234839082</v>
      </c>
      <c r="T33" s="365">
        <f t="shared" si="106"/>
        <v>3623.3509593657154</v>
      </c>
      <c r="U33" s="365">
        <f t="shared" si="106"/>
        <v>3666.8311708781039</v>
      </c>
      <c r="V33" s="365">
        <f t="shared" si="106"/>
        <v>3710.8331449286406</v>
      </c>
      <c r="W33" s="365" t="str">
        <f t="shared" si="106"/>
        <v/>
      </c>
      <c r="X33" s="365" t="str">
        <f t="shared" si="106"/>
        <v/>
      </c>
      <c r="Y33" s="365" t="str">
        <f t="shared" si="106"/>
        <v/>
      </c>
      <c r="Z33" s="365" t="str">
        <f t="shared" si="106"/>
        <v/>
      </c>
      <c r="AA33" s="365" t="str">
        <f t="shared" si="106"/>
        <v/>
      </c>
    </row>
    <row r="34" spans="2:27" x14ac:dyDescent="0.25">
      <c r="B34" s="364" t="s">
        <v>492</v>
      </c>
      <c r="C34" s="365">
        <f>IF(C30="","",C$39*$E$62/100*$E$76*(($E$104+$E$105*$E$106)-($E$108+$E$110*$E$109))/1000)</f>
        <v>-3939.6238140000005</v>
      </c>
      <c r="D34" s="365">
        <f t="shared" ref="D34:AA34" si="107">IF(D30="","",D$39*$E$62/100*$E$76*(($E$104+$E$105*$E$106)-($E$108+$E$110*$E$109))/1000)</f>
        <v>-3986.8992997680002</v>
      </c>
      <c r="E34" s="365">
        <f t="shared" si="107"/>
        <v>-4034.7420913652168</v>
      </c>
      <c r="F34" s="365">
        <f t="shared" si="107"/>
        <v>-4083.1589964615996</v>
      </c>
      <c r="G34" s="365">
        <f t="shared" si="107"/>
        <v>-4132.1569044191392</v>
      </c>
      <c r="H34" s="365">
        <f t="shared" si="107"/>
        <v>-4181.7427872721692</v>
      </c>
      <c r="I34" s="365">
        <f t="shared" si="107"/>
        <v>-4231.9237007194351</v>
      </c>
      <c r="J34" s="365">
        <f t="shared" si="107"/>
        <v>-4282.7067851280672</v>
      </c>
      <c r="K34" s="365">
        <f t="shared" si="107"/>
        <v>-4334.0992665496051</v>
      </c>
      <c r="L34" s="365">
        <f t="shared" si="107"/>
        <v>-4386.1084577482006</v>
      </c>
      <c r="M34" s="365">
        <f t="shared" si="107"/>
        <v>-4438.7417592411784</v>
      </c>
      <c r="N34" s="365">
        <f t="shared" si="107"/>
        <v>-4492.0066603520718</v>
      </c>
      <c r="O34" s="365">
        <f t="shared" si="107"/>
        <v>-4545.9107402762975</v>
      </c>
      <c r="P34" s="365">
        <f t="shared" si="107"/>
        <v>-4600.4616691596138</v>
      </c>
      <c r="Q34" s="365">
        <f t="shared" si="107"/>
        <v>-4655.6672091895289</v>
      </c>
      <c r="R34" s="365">
        <f t="shared" si="107"/>
        <v>-4711.5352156998033</v>
      </c>
      <c r="S34" s="365">
        <f t="shared" si="107"/>
        <v>-4768.0736382882005</v>
      </c>
      <c r="T34" s="365">
        <f t="shared" si="107"/>
        <v>-4825.2905219476597</v>
      </c>
      <c r="U34" s="365">
        <f t="shared" si="107"/>
        <v>-4883.1940082110314</v>
      </c>
      <c r="V34" s="365">
        <f t="shared" si="107"/>
        <v>-4941.7923363095624</v>
      </c>
      <c r="W34" s="365" t="str">
        <f t="shared" si="107"/>
        <v/>
      </c>
      <c r="X34" s="365" t="str">
        <f t="shared" si="107"/>
        <v/>
      </c>
      <c r="Y34" s="365" t="str">
        <f t="shared" si="107"/>
        <v/>
      </c>
      <c r="Z34" s="365" t="str">
        <f t="shared" si="107"/>
        <v/>
      </c>
      <c r="AA34" s="365" t="str">
        <f t="shared" si="107"/>
        <v/>
      </c>
    </row>
    <row r="35" spans="2:27" x14ac:dyDescent="0.25">
      <c r="B35" s="366" t="s">
        <v>586</v>
      </c>
      <c r="C35" s="367">
        <f>IF(C30="","",C$39*$E$66/100*$E$78*($E$123+$E$124*$E$125)/1000)</f>
        <v>-40.254247628000002</v>
      </c>
      <c r="D35" s="367">
        <f t="shared" ref="D35:AA35" si="108">IF(D30="","",D$39*$E$66/100*$E$78*($E$123+$E$124*$E$125)/1000)</f>
        <v>-40.737298599535997</v>
      </c>
      <c r="E35" s="367">
        <f t="shared" si="108"/>
        <v>-41.226146182730439</v>
      </c>
      <c r="F35" s="367">
        <f t="shared" si="108"/>
        <v>-41.720859936923205</v>
      </c>
      <c r="G35" s="367">
        <f t="shared" si="108"/>
        <v>-42.221510256166283</v>
      </c>
      <c r="H35" s="367">
        <f t="shared" si="108"/>
        <v>-42.728168379240273</v>
      </c>
      <c r="I35" s="367">
        <f t="shared" si="108"/>
        <v>-43.240906399791164</v>
      </c>
      <c r="J35" s="367">
        <f t="shared" si="108"/>
        <v>-43.75979727658865</v>
      </c>
      <c r="K35" s="367">
        <f t="shared" si="108"/>
        <v>-44.284914843907728</v>
      </c>
      <c r="L35" s="367">
        <f t="shared" si="108"/>
        <v>-44.816333822034622</v>
      </c>
      <c r="M35" s="367">
        <f t="shared" si="108"/>
        <v>-45.35412982789903</v>
      </c>
      <c r="N35" s="367">
        <f t="shared" si="108"/>
        <v>-45.898379385833813</v>
      </c>
      <c r="O35" s="367">
        <f t="shared" si="108"/>
        <v>-46.449159938463815</v>
      </c>
      <c r="P35" s="367">
        <f t="shared" si="108"/>
        <v>-47.006549857725389</v>
      </c>
      <c r="Q35" s="367">
        <f t="shared" si="108"/>
        <v>-47.570628456018092</v>
      </c>
      <c r="R35" s="367">
        <f t="shared" si="108"/>
        <v>-48.141475997490311</v>
      </c>
      <c r="S35" s="367">
        <f t="shared" si="108"/>
        <v>-48.7191737094602</v>
      </c>
      <c r="T35" s="367">
        <f t="shared" si="108"/>
        <v>-49.303803793973728</v>
      </c>
      <c r="U35" s="367">
        <f t="shared" si="108"/>
        <v>-49.895449439501405</v>
      </c>
      <c r="V35" s="367">
        <f t="shared" si="108"/>
        <v>-50.494194832775413</v>
      </c>
      <c r="W35" s="367" t="str">
        <f t="shared" si="108"/>
        <v/>
      </c>
      <c r="X35" s="367" t="str">
        <f t="shared" si="108"/>
        <v/>
      </c>
      <c r="Y35" s="367" t="str">
        <f t="shared" si="108"/>
        <v/>
      </c>
      <c r="Z35" s="367" t="str">
        <f t="shared" si="108"/>
        <v/>
      </c>
      <c r="AA35" s="367" t="str">
        <f t="shared" si="108"/>
        <v/>
      </c>
    </row>
    <row r="36" spans="2:27" x14ac:dyDescent="0.25">
      <c r="B36" s="364" t="s">
        <v>587</v>
      </c>
      <c r="C36" s="365">
        <f>IF(C30="","",C$39*$E$65/100*$E$74*(($E$131+$E$133)/2+$E$135*$E$136)/1000)</f>
        <v>-96.382631047500013</v>
      </c>
      <c r="D36" s="365">
        <f t="shared" ref="D36:AA36" si="109">IF(D30="","",D$39*$E$65/100*$E$74*(($E$131+$E$133)/2+$E$135*$E$136)/1000)</f>
        <v>-97.539222620069992</v>
      </c>
      <c r="E36" s="365">
        <f t="shared" si="109"/>
        <v>-98.709693291510845</v>
      </c>
      <c r="F36" s="365">
        <f t="shared" si="109"/>
        <v>-99.894209611008975</v>
      </c>
      <c r="G36" s="365">
        <f t="shared" si="109"/>
        <v>-101.09294012634111</v>
      </c>
      <c r="H36" s="365">
        <f t="shared" si="109"/>
        <v>-102.30605540785719</v>
      </c>
      <c r="I36" s="365">
        <f t="shared" si="109"/>
        <v>-103.53372807275147</v>
      </c>
      <c r="J36" s="365">
        <f t="shared" si="109"/>
        <v>-104.77613280962449</v>
      </c>
      <c r="K36" s="365">
        <f t="shared" si="109"/>
        <v>-106.03344640333999</v>
      </c>
      <c r="L36" s="365">
        <f t="shared" si="109"/>
        <v>-107.30584776018007</v>
      </c>
      <c r="M36" s="365">
        <f t="shared" si="109"/>
        <v>-108.59351793330222</v>
      </c>
      <c r="N36" s="365">
        <f t="shared" si="109"/>
        <v>-109.89664014850185</v>
      </c>
      <c r="O36" s="365">
        <f t="shared" si="109"/>
        <v>-111.21539983028386</v>
      </c>
      <c r="P36" s="365">
        <f t="shared" si="109"/>
        <v>-112.54998462824729</v>
      </c>
      <c r="Q36" s="365">
        <f t="shared" si="109"/>
        <v>-113.90058444378624</v>
      </c>
      <c r="R36" s="365">
        <f t="shared" si="109"/>
        <v>-115.26739145711169</v>
      </c>
      <c r="S36" s="365">
        <f t="shared" si="109"/>
        <v>-116.65060015459702</v>
      </c>
      <c r="T36" s="365">
        <f t="shared" si="109"/>
        <v>-118.0504073564522</v>
      </c>
      <c r="U36" s="365">
        <f t="shared" si="109"/>
        <v>-119.46701224472963</v>
      </c>
      <c r="V36" s="365">
        <f t="shared" si="109"/>
        <v>-120.90061639166636</v>
      </c>
      <c r="W36" s="365" t="str">
        <f t="shared" si="109"/>
        <v/>
      </c>
      <c r="X36" s="365" t="str">
        <f t="shared" si="109"/>
        <v/>
      </c>
      <c r="Y36" s="365" t="str">
        <f t="shared" si="109"/>
        <v/>
      </c>
      <c r="Z36" s="365" t="str">
        <f t="shared" si="109"/>
        <v/>
      </c>
      <c r="AA36" s="365" t="str">
        <f t="shared" si="109"/>
        <v/>
      </c>
    </row>
    <row r="37" spans="2:27" x14ac:dyDescent="0.25">
      <c r="B37" s="364" t="s">
        <v>440</v>
      </c>
      <c r="C37" s="290"/>
      <c r="D37" s="290"/>
      <c r="E37" s="290"/>
      <c r="F37" s="290"/>
      <c r="G37" s="290"/>
      <c r="H37" s="290"/>
      <c r="I37" s="290"/>
      <c r="J37" s="290"/>
      <c r="K37" s="290"/>
      <c r="L37" s="290"/>
      <c r="M37" s="290"/>
      <c r="N37" s="290"/>
      <c r="O37" s="290"/>
      <c r="P37" s="290"/>
      <c r="Q37" s="290"/>
      <c r="R37" s="290"/>
      <c r="S37" s="290"/>
      <c r="T37" s="290"/>
      <c r="U37" s="290"/>
      <c r="V37" s="290"/>
      <c r="W37" s="290"/>
      <c r="X37" s="290"/>
      <c r="Y37" s="290"/>
      <c r="Z37" s="290"/>
      <c r="AA37" s="290"/>
    </row>
    <row r="38" spans="2:27" x14ac:dyDescent="0.25">
      <c r="B38" s="363" t="s">
        <v>176</v>
      </c>
      <c r="C38" s="290">
        <f>IF(C30="","",SUM(C32:C37))</f>
        <v>261.61978642449969</v>
      </c>
      <c r="D38" s="290">
        <f t="shared" ref="D38:AA38" si="110">IF(D30="","",SUM(D32:D37))</f>
        <v>264.75922386159425</v>
      </c>
      <c r="E38" s="290">
        <f t="shared" si="110"/>
        <v>267.9363345479332</v>
      </c>
      <c r="F38" s="290">
        <f t="shared" si="110"/>
        <v>271.15157056250757</v>
      </c>
      <c r="G38" s="290">
        <f t="shared" si="110"/>
        <v>274.40538940925717</v>
      </c>
      <c r="H38" s="290">
        <f t="shared" si="110"/>
        <v>277.69825408216894</v>
      </c>
      <c r="I38" s="290">
        <f t="shared" si="110"/>
        <v>281.03063313115513</v>
      </c>
      <c r="J38" s="290">
        <f t="shared" si="110"/>
        <v>284.40300072872986</v>
      </c>
      <c r="K38" s="290">
        <f t="shared" si="110"/>
        <v>287.81583673747434</v>
      </c>
      <c r="L38" s="290">
        <f t="shared" si="110"/>
        <v>291.26962677832296</v>
      </c>
      <c r="M38" s="290">
        <f t="shared" si="110"/>
        <v>294.76486229966423</v>
      </c>
      <c r="N38" s="290">
        <f t="shared" si="110"/>
        <v>298.30204064725956</v>
      </c>
      <c r="O38" s="290">
        <f t="shared" si="110"/>
        <v>301.88166513502694</v>
      </c>
      <c r="P38" s="290">
        <f t="shared" si="110"/>
        <v>305.50424511664613</v>
      </c>
      <c r="Q38" s="290">
        <f t="shared" si="110"/>
        <v>309.17029605804612</v>
      </c>
      <c r="R38" s="290">
        <f t="shared" si="110"/>
        <v>312.88033961074319</v>
      </c>
      <c r="S38" s="290">
        <f t="shared" si="110"/>
        <v>316.63490368607233</v>
      </c>
      <c r="T38" s="290">
        <f t="shared" si="110"/>
        <v>320.43452253030483</v>
      </c>
      <c r="U38" s="290">
        <f t="shared" si="110"/>
        <v>324.27973680066833</v>
      </c>
      <c r="V38" s="290">
        <f t="shared" si="110"/>
        <v>328.17109364227764</v>
      </c>
      <c r="W38" s="290" t="str">
        <f t="shared" si="110"/>
        <v/>
      </c>
      <c r="X38" s="290" t="str">
        <f t="shared" si="110"/>
        <v/>
      </c>
      <c r="Y38" s="290" t="str">
        <f t="shared" si="110"/>
        <v/>
      </c>
      <c r="Z38" s="290" t="str">
        <f t="shared" si="110"/>
        <v/>
      </c>
      <c r="AA38" s="290" t="str">
        <f t="shared" si="110"/>
        <v/>
      </c>
    </row>
    <row r="39" spans="2:27" x14ac:dyDescent="0.25">
      <c r="B39" s="364" t="s">
        <v>439</v>
      </c>
      <c r="C39" s="290">
        <f>Hypothèses_projet!$C$11</f>
        <v>700000</v>
      </c>
      <c r="D39" s="290">
        <f>IF(D30="","",C39*(1+Hypothèses_projet!$C$14/100))</f>
        <v>708400</v>
      </c>
      <c r="E39" s="290">
        <f>IF(E30="","",D39*(1+Hypothèses_projet!$C$14/100))</f>
        <v>716900.8</v>
      </c>
      <c r="F39" s="290">
        <f>IF(F30="","",E39*(1+Hypothèses_projet!$C$14/100))</f>
        <v>725503.60960000008</v>
      </c>
      <c r="G39" s="290">
        <f>IF(G30="","",F39*(1+Hypothèses_projet!$C$14/100))</f>
        <v>734209.6529152001</v>
      </c>
      <c r="H39" s="290">
        <f>IF(H30="","",G39*(1+Hypothèses_projet!$C$14/100))</f>
        <v>743020.16875018249</v>
      </c>
      <c r="I39" s="290">
        <f>IF(I30="","",H39*(1+Hypothèses_projet!$C$14/100))</f>
        <v>751936.41077518475</v>
      </c>
      <c r="J39" s="290">
        <f>IF(J30="","",I39*(1+Hypothèses_projet!$C$14/100))</f>
        <v>760959.64770448697</v>
      </c>
      <c r="K39" s="290">
        <f>IF(K30="","",J39*(1+Hypothèses_projet!$C$14/100))</f>
        <v>770091.16347694083</v>
      </c>
      <c r="L39" s="290">
        <f>IF(L30="","",K39*(1+Hypothèses_projet!$C$14/100))</f>
        <v>779332.25743866409</v>
      </c>
      <c r="M39" s="290">
        <f>IF(M30="","",L39*(1+Hypothèses_projet!$C$14/100))</f>
        <v>788684.24452792807</v>
      </c>
      <c r="N39" s="290">
        <f>IF(N30="","",M39*(1+Hypothèses_projet!$C$14/100))</f>
        <v>798148.4554622632</v>
      </c>
      <c r="O39" s="290">
        <f>IF(O30="","",N39*(1+Hypothèses_projet!$C$14/100))</f>
        <v>807726.23692781036</v>
      </c>
      <c r="P39" s="290">
        <f>IF(P30="","",O39*(1+Hypothèses_projet!$C$14/100))</f>
        <v>817418.95177094406</v>
      </c>
      <c r="Q39" s="290">
        <f>IF(Q30="","",P39*(1+Hypothèses_projet!$C$14/100))</f>
        <v>827227.97919219534</v>
      </c>
      <c r="R39" s="290">
        <f>IF(R30="","",Q39*(1+Hypothèses_projet!$C$14/100))</f>
        <v>837154.71494250174</v>
      </c>
      <c r="S39" s="290">
        <f>IF(S30="","",R39*(1+Hypothèses_projet!$C$14/100))</f>
        <v>847200.57152181177</v>
      </c>
      <c r="T39" s="290">
        <f>IF(T30="","",S39*(1+Hypothèses_projet!$C$14/100))</f>
        <v>857366.97838007356</v>
      </c>
      <c r="U39" s="290">
        <f>IF(U30="","",T39*(1+Hypothèses_projet!$C$14/100))</f>
        <v>867655.38212063443</v>
      </c>
      <c r="V39" s="290">
        <f>IF(V30="","",U39*(1+Hypothèses_projet!$C$14/100))</f>
        <v>878067.24670608202</v>
      </c>
      <c r="W39" s="290" t="str">
        <f>IF(W30="","",V39*(1+Hypothèses_projet!$C$14/100))</f>
        <v/>
      </c>
      <c r="X39" s="290" t="str">
        <f>IF(X30="","",W39*(1+Hypothèses_projet!$C$14/100))</f>
        <v/>
      </c>
      <c r="Y39" s="290" t="str">
        <f>IF(Y30="","",X39*(1+Hypothèses_projet!$C$14/100))</f>
        <v/>
      </c>
      <c r="Z39" s="290" t="str">
        <f>IF(Z30="","",Y39*(1+Hypothèses_projet!$C$14/100))</f>
        <v/>
      </c>
      <c r="AA39" s="290" t="str">
        <f>IF(AA30="","",Z39*(1+Hypothèses_projet!$C$14/100))</f>
        <v/>
      </c>
    </row>
    <row r="40" spans="2:27" x14ac:dyDescent="0.25">
      <c r="B40" s="364"/>
      <c r="C40" s="290"/>
      <c r="D40" s="290"/>
      <c r="E40" s="290"/>
      <c r="F40" s="290"/>
      <c r="G40" s="290"/>
      <c r="H40" s="290"/>
      <c r="I40" s="290"/>
      <c r="J40" s="290"/>
      <c r="K40" s="290"/>
      <c r="L40" s="290"/>
      <c r="M40" s="290"/>
      <c r="N40" s="290"/>
      <c r="O40" s="290"/>
      <c r="P40" s="290"/>
      <c r="Q40" s="290"/>
      <c r="R40" s="290"/>
      <c r="S40" s="290"/>
      <c r="T40" s="290"/>
      <c r="U40" s="290"/>
      <c r="V40" s="290"/>
      <c r="W40" s="290"/>
      <c r="X40" s="290"/>
      <c r="Y40" s="290"/>
      <c r="Z40" s="290"/>
      <c r="AA40" s="290"/>
    </row>
    <row r="41" spans="2:27" x14ac:dyDescent="0.25">
      <c r="B41" s="363" t="s">
        <v>433</v>
      </c>
      <c r="C41" s="290"/>
      <c r="D41" s="290"/>
      <c r="E41" s="290"/>
      <c r="F41" s="290"/>
      <c r="G41" s="290"/>
      <c r="H41" s="290"/>
      <c r="I41" s="290"/>
      <c r="J41" s="290"/>
      <c r="K41" s="290"/>
      <c r="L41" s="290"/>
      <c r="M41" s="290"/>
      <c r="N41" s="290"/>
      <c r="O41" s="290"/>
      <c r="P41" s="290"/>
      <c r="Q41" s="290"/>
      <c r="R41" s="290"/>
      <c r="S41" s="290"/>
      <c r="T41" s="290"/>
      <c r="U41" s="290"/>
      <c r="V41" s="290"/>
      <c r="W41" s="290"/>
      <c r="X41" s="290"/>
      <c r="Y41" s="290"/>
      <c r="Z41" s="290"/>
      <c r="AA41" s="290"/>
    </row>
    <row r="42" spans="2:27" x14ac:dyDescent="0.25">
      <c r="B42" s="364" t="s">
        <v>175</v>
      </c>
      <c r="C42" s="290">
        <f>IF(C30="","",C$52*$E$59/100*$E$82*($E$99+$E$101*$E$102))</f>
        <v>6617.2755150000003</v>
      </c>
      <c r="D42" s="290">
        <f t="shared" ref="D42:AA42" si="111">IF(D30="","",D$52*$E$59/100*$E$82*($E$99+$E$101*$E$102))</f>
        <v>6696.6828211800002</v>
      </c>
      <c r="E42" s="290">
        <f t="shared" si="111"/>
        <v>6777.0430150341599</v>
      </c>
      <c r="F42" s="290">
        <f t="shared" si="111"/>
        <v>6858.3675312145706</v>
      </c>
      <c r="G42" s="290">
        <f t="shared" si="111"/>
        <v>6940.6679415891458</v>
      </c>
      <c r="H42" s="290">
        <f t="shared" si="111"/>
        <v>7023.955956888215</v>
      </c>
      <c r="I42" s="290">
        <f t="shared" si="111"/>
        <v>7108.2434283708744</v>
      </c>
      <c r="J42" s="290">
        <f t="shared" si="111"/>
        <v>7193.5423495113255</v>
      </c>
      <c r="K42" s="290">
        <f t="shared" si="111"/>
        <v>7279.8648577054619</v>
      </c>
      <c r="L42" s="290">
        <f t="shared" si="111"/>
        <v>7367.2232359979271</v>
      </c>
      <c r="M42" s="290">
        <f t="shared" si="111"/>
        <v>7455.6299148299022</v>
      </c>
      <c r="N42" s="290">
        <f t="shared" si="111"/>
        <v>7545.0974738078603</v>
      </c>
      <c r="O42" s="290">
        <f t="shared" si="111"/>
        <v>7635.6386434935566</v>
      </c>
      <c r="P42" s="290">
        <f t="shared" si="111"/>
        <v>7727.2663072154801</v>
      </c>
      <c r="Q42" s="290">
        <f t="shared" si="111"/>
        <v>7819.9935029020662</v>
      </c>
      <c r="R42" s="290">
        <f t="shared" si="111"/>
        <v>7913.8334249368882</v>
      </c>
      <c r="S42" s="290">
        <f t="shared" si="111"/>
        <v>8008.799426036132</v>
      </c>
      <c r="T42" s="290">
        <f t="shared" si="111"/>
        <v>8104.9050191485658</v>
      </c>
      <c r="U42" s="290">
        <f t="shared" si="111"/>
        <v>8202.1638793783495</v>
      </c>
      <c r="V42" s="290">
        <f t="shared" si="111"/>
        <v>8300.5898459308901</v>
      </c>
      <c r="W42" s="290" t="str">
        <f t="shared" si="111"/>
        <v/>
      </c>
      <c r="X42" s="290" t="str">
        <f t="shared" si="111"/>
        <v/>
      </c>
      <c r="Y42" s="290" t="str">
        <f t="shared" si="111"/>
        <v/>
      </c>
      <c r="Z42" s="290" t="str">
        <f t="shared" si="111"/>
        <v/>
      </c>
      <c r="AA42" s="290" t="str">
        <f t="shared" si="111"/>
        <v/>
      </c>
    </row>
    <row r="43" spans="2:27" x14ac:dyDescent="0.25">
      <c r="B43" s="364" t="s">
        <v>427</v>
      </c>
      <c r="C43" s="290">
        <f>IF(C30="","",C$52*$E$60/100*$E$84*($E$108+$E$109*$E$110))</f>
        <v>1182.5006133000002</v>
      </c>
      <c r="D43" s="290">
        <f t="shared" ref="D43:AA43" si="112">IF(D30="","",D$52*$E$60/100*$E$84*($E$108+$E$109*$E$110))</f>
        <v>1196.6906206596002</v>
      </c>
      <c r="E43" s="290">
        <f t="shared" si="112"/>
        <v>1211.0509081075154</v>
      </c>
      <c r="F43" s="290">
        <f t="shared" si="112"/>
        <v>1225.5835190048056</v>
      </c>
      <c r="G43" s="290">
        <f t="shared" si="112"/>
        <v>1240.2905212328635</v>
      </c>
      <c r="H43" s="290">
        <f t="shared" si="112"/>
        <v>1255.1740074876577</v>
      </c>
      <c r="I43" s="290">
        <f t="shared" si="112"/>
        <v>1270.2360955775096</v>
      </c>
      <c r="J43" s="290">
        <f t="shared" si="112"/>
        <v>1285.4789287244398</v>
      </c>
      <c r="K43" s="290">
        <f t="shared" si="112"/>
        <v>1300.9046758691329</v>
      </c>
      <c r="L43" s="290">
        <f t="shared" si="112"/>
        <v>1316.5155319795626</v>
      </c>
      <c r="M43" s="290">
        <f t="shared" si="112"/>
        <v>1332.3137183633175</v>
      </c>
      <c r="N43" s="290">
        <f t="shared" si="112"/>
        <v>1348.3014829836773</v>
      </c>
      <c r="O43" s="290">
        <f t="shared" si="112"/>
        <v>1364.4811007794815</v>
      </c>
      <c r="P43" s="290">
        <f t="shared" si="112"/>
        <v>1380.8548739888354</v>
      </c>
      <c r="Q43" s="290">
        <f t="shared" si="112"/>
        <v>1397.4251324767015</v>
      </c>
      <c r="R43" s="290">
        <f t="shared" si="112"/>
        <v>1414.1942340664218</v>
      </c>
      <c r="S43" s="290">
        <f t="shared" si="112"/>
        <v>1431.164564875219</v>
      </c>
      <c r="T43" s="290">
        <f t="shared" si="112"/>
        <v>1448.3385396537215</v>
      </c>
      <c r="U43" s="290">
        <f t="shared" si="112"/>
        <v>1465.7186021295663</v>
      </c>
      <c r="V43" s="290">
        <f t="shared" si="112"/>
        <v>1483.3072253551211</v>
      </c>
      <c r="W43" s="290" t="str">
        <f t="shared" si="112"/>
        <v/>
      </c>
      <c r="X43" s="290" t="str">
        <f t="shared" si="112"/>
        <v/>
      </c>
      <c r="Y43" s="290" t="str">
        <f t="shared" si="112"/>
        <v/>
      </c>
      <c r="Z43" s="290" t="str">
        <f t="shared" si="112"/>
        <v/>
      </c>
      <c r="AA43" s="290" t="str">
        <f t="shared" si="112"/>
        <v/>
      </c>
    </row>
    <row r="44" spans="2:27" x14ac:dyDescent="0.25">
      <c r="B44" s="364" t="s">
        <v>426</v>
      </c>
      <c r="C44" s="290">
        <f>IF(C30="","",C$52*$E$61/100*$E$85*($E$104+$E$105*$E$106))</f>
        <v>2535.6826544999999</v>
      </c>
      <c r="D44" s="290">
        <f t="shared" ref="D44:AA44" si="113">IF(D30="","",D$52*$E$61/100*$E$85*($E$104+$E$105*$E$106))</f>
        <v>2566.1108463539999</v>
      </c>
      <c r="E44" s="290">
        <f t="shared" si="113"/>
        <v>2596.9041765102479</v>
      </c>
      <c r="F44" s="290">
        <f t="shared" si="113"/>
        <v>2628.0670266283714</v>
      </c>
      <c r="G44" s="290">
        <f t="shared" si="113"/>
        <v>2659.6038309479118</v>
      </c>
      <c r="H44" s="290">
        <f t="shared" si="113"/>
        <v>2691.5190769192868</v>
      </c>
      <c r="I44" s="290">
        <f t="shared" si="113"/>
        <v>2723.8173058423181</v>
      </c>
      <c r="J44" s="290">
        <f t="shared" si="113"/>
        <v>2756.5031135124264</v>
      </c>
      <c r="K44" s="290">
        <f t="shared" si="113"/>
        <v>2789.5811508745755</v>
      </c>
      <c r="L44" s="290">
        <f t="shared" si="113"/>
        <v>2823.0561246850702</v>
      </c>
      <c r="M44" s="290">
        <f t="shared" si="113"/>
        <v>2856.9327981812917</v>
      </c>
      <c r="N44" s="290">
        <f t="shared" si="113"/>
        <v>2891.2159917594668</v>
      </c>
      <c r="O44" s="290">
        <f t="shared" si="113"/>
        <v>2925.9105836605809</v>
      </c>
      <c r="P44" s="290">
        <f t="shared" si="113"/>
        <v>2961.0215106645082</v>
      </c>
      <c r="Q44" s="290">
        <f t="shared" si="113"/>
        <v>2996.5537687924825</v>
      </c>
      <c r="R44" s="290">
        <f t="shared" si="113"/>
        <v>3032.5124140179914</v>
      </c>
      <c r="S44" s="290">
        <f t="shared" si="113"/>
        <v>3068.9025629862076</v>
      </c>
      <c r="T44" s="290">
        <f t="shared" si="113"/>
        <v>3105.7293937420418</v>
      </c>
      <c r="U44" s="290">
        <f t="shared" si="113"/>
        <v>3142.9981464669468</v>
      </c>
      <c r="V44" s="290">
        <f t="shared" si="113"/>
        <v>3180.7141242245502</v>
      </c>
      <c r="W44" s="290" t="str">
        <f t="shared" si="113"/>
        <v/>
      </c>
      <c r="X44" s="290" t="str">
        <f t="shared" si="113"/>
        <v/>
      </c>
      <c r="Y44" s="290" t="str">
        <f t="shared" si="113"/>
        <v/>
      </c>
      <c r="Z44" s="290" t="str">
        <f t="shared" si="113"/>
        <v/>
      </c>
      <c r="AA44" s="290" t="str">
        <f t="shared" si="113"/>
        <v/>
      </c>
    </row>
    <row r="45" spans="2:27" x14ac:dyDescent="0.25">
      <c r="B45" s="364" t="s">
        <v>187</v>
      </c>
      <c r="C45" s="290">
        <f>IF(C30="","",C$52*$E$63/100*$E$88/100*($E$113+$E$115*$E$116))</f>
        <v>733.22184494400005</v>
      </c>
      <c r="D45" s="290">
        <f t="shared" ref="D45:AA45" si="114">IF(D30="","",D$52*$E$63/100*$E$88/100*($E$113+$E$115*$E$116))</f>
        <v>742.02050708332808</v>
      </c>
      <c r="E45" s="290">
        <f t="shared" si="114"/>
        <v>750.92475316832804</v>
      </c>
      <c r="F45" s="290">
        <f t="shared" si="114"/>
        <v>759.93585020634805</v>
      </c>
      <c r="G45" s="290">
        <f t="shared" si="114"/>
        <v>769.05508040882421</v>
      </c>
      <c r="H45" s="290">
        <f t="shared" si="114"/>
        <v>778.28374137373009</v>
      </c>
      <c r="I45" s="290">
        <f t="shared" si="114"/>
        <v>787.62314627021487</v>
      </c>
      <c r="J45" s="290">
        <f t="shared" si="114"/>
        <v>797.07462402545741</v>
      </c>
      <c r="K45" s="290">
        <f t="shared" si="114"/>
        <v>806.63951951376293</v>
      </c>
      <c r="L45" s="290">
        <f t="shared" si="114"/>
        <v>816.31919374792813</v>
      </c>
      <c r="M45" s="290">
        <f t="shared" si="114"/>
        <v>826.11502407290334</v>
      </c>
      <c r="N45" s="290">
        <f t="shared" si="114"/>
        <v>836.02840436177814</v>
      </c>
      <c r="O45" s="290">
        <f t="shared" si="114"/>
        <v>846.06074521411972</v>
      </c>
      <c r="P45" s="290">
        <f t="shared" si="114"/>
        <v>856.21347415668924</v>
      </c>
      <c r="Q45" s="290">
        <f t="shared" si="114"/>
        <v>866.48803584656935</v>
      </c>
      <c r="R45" s="290">
        <f t="shared" si="114"/>
        <v>876.88589227672799</v>
      </c>
      <c r="S45" s="290">
        <f t="shared" si="114"/>
        <v>887.40852298404889</v>
      </c>
      <c r="T45" s="290">
        <f t="shared" si="114"/>
        <v>898.0574252598575</v>
      </c>
      <c r="U45" s="290">
        <f t="shared" si="114"/>
        <v>908.83411436297581</v>
      </c>
      <c r="V45" s="290">
        <f t="shared" si="114"/>
        <v>919.74012373533162</v>
      </c>
      <c r="W45" s="290" t="str">
        <f t="shared" si="114"/>
        <v/>
      </c>
      <c r="X45" s="290" t="str">
        <f t="shared" si="114"/>
        <v/>
      </c>
      <c r="Y45" s="290" t="str">
        <f t="shared" si="114"/>
        <v/>
      </c>
      <c r="Z45" s="290" t="str">
        <f t="shared" si="114"/>
        <v/>
      </c>
      <c r="AA45" s="290" t="str">
        <f t="shared" si="114"/>
        <v/>
      </c>
    </row>
    <row r="46" spans="2:27" x14ac:dyDescent="0.25">
      <c r="B46" s="364" t="s">
        <v>188</v>
      </c>
      <c r="C46" s="290">
        <f>IF(C30="","",C$52*$E$64/100*$E$86*($E$118+$E$119*$E$120))</f>
        <v>525.05119908750009</v>
      </c>
      <c r="D46" s="290">
        <f t="shared" ref="D46:AA46" si="115">IF(D30="","",D$52*$E$64/100*$E$86*($E$118+$E$119*$E$120))</f>
        <v>531.35181347655009</v>
      </c>
      <c r="E46" s="290">
        <f t="shared" si="115"/>
        <v>537.72803523826872</v>
      </c>
      <c r="F46" s="290">
        <f t="shared" si="115"/>
        <v>544.18077166112801</v>
      </c>
      <c r="G46" s="290">
        <f t="shared" si="115"/>
        <v>550.71094092106148</v>
      </c>
      <c r="H46" s="290">
        <f t="shared" si="115"/>
        <v>557.31947221211431</v>
      </c>
      <c r="I46" s="290">
        <f t="shared" si="115"/>
        <v>564.00730587865962</v>
      </c>
      <c r="J46" s="290">
        <f t="shared" si="115"/>
        <v>570.77539354920361</v>
      </c>
      <c r="K46" s="290">
        <f t="shared" si="115"/>
        <v>577.62469827179405</v>
      </c>
      <c r="L46" s="290">
        <f t="shared" si="115"/>
        <v>584.55619465105553</v>
      </c>
      <c r="M46" s="290">
        <f t="shared" si="115"/>
        <v>591.57086898686828</v>
      </c>
      <c r="N46" s="290">
        <f t="shared" si="115"/>
        <v>598.6697194147107</v>
      </c>
      <c r="O46" s="290">
        <f t="shared" si="115"/>
        <v>605.85375604768728</v>
      </c>
      <c r="P46" s="290">
        <f t="shared" si="115"/>
        <v>613.12400112025955</v>
      </c>
      <c r="Q46" s="290">
        <f t="shared" si="115"/>
        <v>620.48148913370278</v>
      </c>
      <c r="R46" s="290">
        <f t="shared" si="115"/>
        <v>627.92726700330695</v>
      </c>
      <c r="S46" s="290">
        <f t="shared" si="115"/>
        <v>635.46239420734673</v>
      </c>
      <c r="T46" s="290">
        <f t="shared" si="115"/>
        <v>643.0879429378349</v>
      </c>
      <c r="U46" s="290">
        <f t="shared" si="115"/>
        <v>650.80499825308902</v>
      </c>
      <c r="V46" s="290">
        <f t="shared" si="115"/>
        <v>658.61465823212609</v>
      </c>
      <c r="W46" s="290" t="str">
        <f t="shared" si="115"/>
        <v/>
      </c>
      <c r="X46" s="290" t="str">
        <f t="shared" si="115"/>
        <v/>
      </c>
      <c r="Y46" s="290" t="str">
        <f t="shared" si="115"/>
        <v/>
      </c>
      <c r="Z46" s="290" t="str">
        <f t="shared" si="115"/>
        <v/>
      </c>
      <c r="AA46" s="290" t="str">
        <f t="shared" si="115"/>
        <v/>
      </c>
    </row>
    <row r="47" spans="2:27" x14ac:dyDescent="0.25">
      <c r="B47" s="364" t="s">
        <v>425</v>
      </c>
      <c r="C47" s="290">
        <f>IF(C30="","",C$52*$E$68/100*$E$83*($E$127+$E$128*$E$129))</f>
        <v>459.59163389999998</v>
      </c>
      <c r="D47" s="290">
        <f t="shared" ref="D47:AA47" si="116">IF(D30="","",D$52*$E$68/100*$E$83*($E$127+$E$128*$E$129))</f>
        <v>465.10673350679997</v>
      </c>
      <c r="E47" s="290">
        <f t="shared" si="116"/>
        <v>470.68801430888163</v>
      </c>
      <c r="F47" s="290">
        <f t="shared" si="116"/>
        <v>476.33627048058821</v>
      </c>
      <c r="G47" s="290">
        <f t="shared" si="116"/>
        <v>482.05230572635531</v>
      </c>
      <c r="H47" s="290">
        <f t="shared" si="116"/>
        <v>487.83693339507158</v>
      </c>
      <c r="I47" s="290">
        <f t="shared" si="116"/>
        <v>493.6909765958124</v>
      </c>
      <c r="J47" s="290">
        <f t="shared" si="116"/>
        <v>499.61526831496224</v>
      </c>
      <c r="K47" s="290">
        <f t="shared" si="116"/>
        <v>505.61065153474181</v>
      </c>
      <c r="L47" s="290">
        <f t="shared" si="116"/>
        <v>511.67797935315866</v>
      </c>
      <c r="M47" s="290">
        <f t="shared" si="116"/>
        <v>517.8181151053966</v>
      </c>
      <c r="N47" s="290">
        <f t="shared" si="116"/>
        <v>524.03193248666139</v>
      </c>
      <c r="O47" s="290">
        <f t="shared" si="116"/>
        <v>530.32031567650142</v>
      </c>
      <c r="P47" s="290">
        <f t="shared" si="116"/>
        <v>536.68415946461948</v>
      </c>
      <c r="Q47" s="290">
        <f t="shared" si="116"/>
        <v>543.12436937819484</v>
      </c>
      <c r="R47" s="290">
        <f t="shared" si="116"/>
        <v>549.64186181073308</v>
      </c>
      <c r="S47" s="290">
        <f t="shared" si="116"/>
        <v>556.23756415246191</v>
      </c>
      <c r="T47" s="290">
        <f t="shared" si="116"/>
        <v>562.91241492229153</v>
      </c>
      <c r="U47" s="290">
        <f t="shared" si="116"/>
        <v>569.66736390135907</v>
      </c>
      <c r="V47" s="290">
        <f t="shared" si="116"/>
        <v>576.50337226817533</v>
      </c>
      <c r="W47" s="290" t="str">
        <f t="shared" si="116"/>
        <v/>
      </c>
      <c r="X47" s="290" t="str">
        <f t="shared" si="116"/>
        <v/>
      </c>
      <c r="Y47" s="290" t="str">
        <f t="shared" si="116"/>
        <v/>
      </c>
      <c r="Z47" s="290" t="str">
        <f t="shared" si="116"/>
        <v/>
      </c>
      <c r="AA47" s="290" t="str">
        <f t="shared" si="116"/>
        <v/>
      </c>
    </row>
    <row r="48" spans="2:27" x14ac:dyDescent="0.25">
      <c r="B48" s="364" t="s">
        <v>450</v>
      </c>
      <c r="C48" s="290">
        <f>IF(C30="","",C$52*$E$67/100*$E$87*($E$123+$E$124*$E$125))</f>
        <v>862.59102060000009</v>
      </c>
      <c r="D48" s="290">
        <f t="shared" ref="D48:AA48" si="117">IF(D30="","",D$52*$E$67/100*$E$87*($E$123+$E$124*$E$125))</f>
        <v>872.94211284720006</v>
      </c>
      <c r="E48" s="290">
        <f t="shared" si="117"/>
        <v>883.41741820136644</v>
      </c>
      <c r="F48" s="290">
        <f t="shared" si="117"/>
        <v>894.01842721978289</v>
      </c>
      <c r="G48" s="290">
        <f t="shared" si="117"/>
        <v>904.74664834642033</v>
      </c>
      <c r="H48" s="290">
        <f t="shared" si="117"/>
        <v>915.60360812657746</v>
      </c>
      <c r="I48" s="290">
        <f t="shared" si="117"/>
        <v>926.59085142409629</v>
      </c>
      <c r="J48" s="290">
        <f t="shared" si="117"/>
        <v>937.70994164118565</v>
      </c>
      <c r="K48" s="290">
        <f t="shared" si="117"/>
        <v>948.96246094087985</v>
      </c>
      <c r="L48" s="290">
        <f t="shared" si="117"/>
        <v>960.35001047217042</v>
      </c>
      <c r="M48" s="290">
        <f t="shared" si="117"/>
        <v>971.87421059783651</v>
      </c>
      <c r="N48" s="290">
        <f t="shared" si="117"/>
        <v>983.53670112501038</v>
      </c>
      <c r="O48" s="290">
        <f t="shared" si="117"/>
        <v>995.33914153851083</v>
      </c>
      <c r="P48" s="290">
        <f t="shared" si="117"/>
        <v>1007.283211236973</v>
      </c>
      <c r="Q48" s="290">
        <f t="shared" si="117"/>
        <v>1019.3706097718167</v>
      </c>
      <c r="R48" s="290">
        <f t="shared" si="117"/>
        <v>1031.6030570890782</v>
      </c>
      <c r="S48" s="290">
        <f t="shared" si="117"/>
        <v>1043.9822937741474</v>
      </c>
      <c r="T48" s="290">
        <f t="shared" si="117"/>
        <v>1056.5100812994369</v>
      </c>
      <c r="U48" s="290">
        <f t="shared" si="117"/>
        <v>1069.1882022750303</v>
      </c>
      <c r="V48" s="290">
        <f t="shared" si="117"/>
        <v>1082.0184607023309</v>
      </c>
      <c r="W48" s="290" t="str">
        <f t="shared" si="117"/>
        <v/>
      </c>
      <c r="X48" s="290" t="str">
        <f t="shared" si="117"/>
        <v/>
      </c>
      <c r="Y48" s="290" t="str">
        <f t="shared" si="117"/>
        <v/>
      </c>
      <c r="Z48" s="290" t="str">
        <f t="shared" si="117"/>
        <v/>
      </c>
      <c r="AA48" s="290" t="str">
        <f t="shared" si="117"/>
        <v/>
      </c>
    </row>
    <row r="49" spans="2:27" x14ac:dyDescent="0.25">
      <c r="B49" s="364" t="s">
        <v>507</v>
      </c>
      <c r="C49" s="290"/>
      <c r="D49" s="290"/>
      <c r="E49" s="290"/>
      <c r="F49" s="290"/>
      <c r="G49" s="290"/>
      <c r="H49" s="290"/>
      <c r="I49" s="290"/>
      <c r="J49" s="290"/>
      <c r="K49" s="290"/>
      <c r="L49" s="290"/>
      <c r="M49" s="290"/>
      <c r="N49" s="290"/>
      <c r="O49" s="290"/>
      <c r="P49" s="290"/>
      <c r="Q49" s="290"/>
      <c r="R49" s="290"/>
      <c r="S49" s="290"/>
      <c r="T49" s="290"/>
      <c r="U49" s="290"/>
      <c r="V49" s="290"/>
      <c r="W49" s="290"/>
      <c r="X49" s="290"/>
      <c r="Y49" s="290"/>
      <c r="Z49" s="290"/>
      <c r="AA49" s="290"/>
    </row>
    <row r="50" spans="2:27" x14ac:dyDescent="0.25">
      <c r="B50" s="363" t="s">
        <v>176</v>
      </c>
      <c r="C50" s="290">
        <f>IF(C30="","",SUM(C42:C49))</f>
        <v>12915.914481331502</v>
      </c>
      <c r="D50" s="290">
        <f t="shared" ref="D50:AA50" si="118">IF(D30="","",SUM(D42:D49))</f>
        <v>13070.905455107479</v>
      </c>
      <c r="E50" s="290">
        <f t="shared" si="118"/>
        <v>13227.756320568769</v>
      </c>
      <c r="F50" s="290">
        <f t="shared" si="118"/>
        <v>13386.489396415593</v>
      </c>
      <c r="G50" s="290">
        <f t="shared" si="118"/>
        <v>13547.127269172579</v>
      </c>
      <c r="H50" s="290">
        <f t="shared" si="118"/>
        <v>13709.692796402654</v>
      </c>
      <c r="I50" s="290">
        <f t="shared" si="118"/>
        <v>13874.209109959485</v>
      </c>
      <c r="J50" s="290">
        <f t="shared" si="118"/>
        <v>14040.699619279001</v>
      </c>
      <c r="K50" s="290">
        <f t="shared" si="118"/>
        <v>14209.188014710351</v>
      </c>
      <c r="L50" s="290">
        <f t="shared" si="118"/>
        <v>14379.698270886871</v>
      </c>
      <c r="M50" s="290">
        <f t="shared" si="118"/>
        <v>14552.254650137515</v>
      </c>
      <c r="N50" s="290">
        <f t="shared" si="118"/>
        <v>14726.881705939166</v>
      </c>
      <c r="O50" s="290">
        <f t="shared" si="118"/>
        <v>14903.604286410437</v>
      </c>
      <c r="P50" s="290">
        <f t="shared" si="118"/>
        <v>15082.447537847363</v>
      </c>
      <c r="Q50" s="290">
        <f t="shared" si="118"/>
        <v>15263.436908301534</v>
      </c>
      <c r="R50" s="290">
        <f t="shared" si="118"/>
        <v>15446.598151201146</v>
      </c>
      <c r="S50" s="290">
        <f t="shared" si="118"/>
        <v>15631.957329015564</v>
      </c>
      <c r="T50" s="290">
        <f t="shared" si="118"/>
        <v>15819.54081696375</v>
      </c>
      <c r="U50" s="290">
        <f t="shared" si="118"/>
        <v>16009.375306767315</v>
      </c>
      <c r="V50" s="290">
        <f t="shared" si="118"/>
        <v>16201.487810448525</v>
      </c>
      <c r="W50" s="290" t="str">
        <f t="shared" si="118"/>
        <v/>
      </c>
      <c r="X50" s="290" t="str">
        <f t="shared" si="118"/>
        <v/>
      </c>
      <c r="Y50" s="290" t="str">
        <f t="shared" si="118"/>
        <v/>
      </c>
      <c r="Z50" s="290" t="str">
        <f t="shared" si="118"/>
        <v/>
      </c>
      <c r="AA50" s="290" t="str">
        <f t="shared" si="118"/>
        <v/>
      </c>
    </row>
    <row r="51" spans="2:27" x14ac:dyDescent="0.25">
      <c r="B51" s="248" t="s">
        <v>481</v>
      </c>
      <c r="C51" s="290">
        <f>Hypothèses_projet!$C$10</f>
        <v>1500000</v>
      </c>
      <c r="D51" s="290">
        <f>IF(D30="","",C51*(1+Hypothèses_projet!$C$14/100))</f>
        <v>1518000</v>
      </c>
      <c r="E51" s="290">
        <f>IF(E30="","",D51*(1+Hypothèses_projet!$C$14/100))</f>
        <v>1536216</v>
      </c>
      <c r="F51" s="290">
        <f>IF(F30="","",E51*(1+Hypothèses_projet!$C$14/100))</f>
        <v>1554650.5919999999</v>
      </c>
      <c r="G51" s="290">
        <f>IF(G30="","",F51*(1+Hypothèses_projet!$C$14/100))</f>
        <v>1573306.3991040001</v>
      </c>
      <c r="H51" s="290">
        <f>IF(H30="","",G51*(1+Hypothèses_projet!$C$14/100))</f>
        <v>1592186.0758932482</v>
      </c>
      <c r="I51" s="290">
        <f>IF(I30="","",H51*(1+Hypothèses_projet!$C$14/100))</f>
        <v>1611292.3088039672</v>
      </c>
      <c r="J51" s="290">
        <f>IF(J30="","",I51*(1+Hypothèses_projet!$C$14/100))</f>
        <v>1630627.8165096149</v>
      </c>
      <c r="K51" s="290">
        <f>IF(K30="","",J51*(1+Hypothèses_projet!$C$14/100))</f>
        <v>1650195.3503077303</v>
      </c>
      <c r="L51" s="290">
        <f>IF(L30="","",K51*(1+Hypothèses_projet!$C$14/100))</f>
        <v>1669997.6945114231</v>
      </c>
      <c r="M51" s="290">
        <f>IF(M30="","",L51*(1+Hypothèses_projet!$C$14/100))</f>
        <v>1690037.6668455603</v>
      </c>
      <c r="N51" s="290">
        <f>IF(N30="","",M51*(1+Hypothèses_projet!$C$14/100))</f>
        <v>1710318.1188477071</v>
      </c>
      <c r="O51" s="290">
        <f>IF(O30="","",N51*(1+Hypothèses_projet!$C$14/100))</f>
        <v>1730841.9362738796</v>
      </c>
      <c r="P51" s="290">
        <f>IF(P30="","",O51*(1+Hypothèses_projet!$C$14/100))</f>
        <v>1751612.0395091663</v>
      </c>
      <c r="Q51" s="290">
        <f>IF(Q30="","",P51*(1+Hypothèses_projet!$C$14/100))</f>
        <v>1772631.3839832763</v>
      </c>
      <c r="R51" s="290">
        <f>IF(R30="","",Q51*(1+Hypothèses_projet!$C$14/100))</f>
        <v>1793902.9605910757</v>
      </c>
      <c r="S51" s="290">
        <f>IF(S30="","",R51*(1+Hypothèses_projet!$C$14/100))</f>
        <v>1815429.7961181686</v>
      </c>
      <c r="T51" s="290">
        <f>IF(T30="","",S51*(1+Hypothèses_projet!$C$14/100))</f>
        <v>1837214.9536715867</v>
      </c>
      <c r="U51" s="290">
        <f>IF(U30="","",T51*(1+Hypothèses_projet!$C$14/100))</f>
        <v>1859261.5331156459</v>
      </c>
      <c r="V51" s="290">
        <f>IF(V30="","",U51*(1+Hypothèses_projet!$C$14/100))</f>
        <v>1881572.6715130336</v>
      </c>
      <c r="W51" s="290" t="str">
        <f>IF(W30="","",V51*(1+Hypothèses_projet!$C$14/100))</f>
        <v/>
      </c>
      <c r="X51" s="290" t="str">
        <f>IF(X30="","",W51*(1+Hypothèses_projet!$C$14/100))</f>
        <v/>
      </c>
      <c r="Y51" s="290" t="str">
        <f>IF(Y30="","",X51*(1+Hypothèses_projet!$C$14/100))</f>
        <v/>
      </c>
      <c r="Z51" s="290" t="str">
        <f>IF(Z30="","",Y51*(1+Hypothèses_projet!$C$14/100))</f>
        <v/>
      </c>
      <c r="AA51" s="290" t="str">
        <f>IF(AA30="","",Z51*(1+Hypothèses_projet!$C$14/100))</f>
        <v/>
      </c>
    </row>
    <row r="52" spans="2:27" x14ac:dyDescent="0.25">
      <c r="B52" s="248" t="s">
        <v>482</v>
      </c>
      <c r="C52" s="290">
        <f>Hypothèses_projet!$C$12</f>
        <v>300000</v>
      </c>
      <c r="D52" s="290">
        <f>IF(D30="","",C52*(1+Hypothèses_projet!$C$14/100))</f>
        <v>303600</v>
      </c>
      <c r="E52" s="290">
        <f>IF(E30="","",D52*(1+Hypothèses_projet!$C$14/100))</f>
        <v>307243.2</v>
      </c>
      <c r="F52" s="290">
        <f>IF(F30="","",E52*(1+Hypothèses_projet!$C$14/100))</f>
        <v>310930.11840000004</v>
      </c>
      <c r="G52" s="290">
        <f>IF(G30="","",F52*(1+Hypothèses_projet!$C$14/100))</f>
        <v>314661.27982080006</v>
      </c>
      <c r="H52" s="290">
        <f>IF(H30="","",G52*(1+Hypothèses_projet!$C$14/100))</f>
        <v>318437.21517864964</v>
      </c>
      <c r="I52" s="290">
        <f>IF(I30="","",H52*(1+Hypothèses_projet!$C$14/100))</f>
        <v>322258.46176079346</v>
      </c>
      <c r="J52" s="290">
        <f>IF(J30="","",I52*(1+Hypothèses_projet!$C$14/100))</f>
        <v>326125.56330192299</v>
      </c>
      <c r="K52" s="290">
        <f>IF(K30="","",J52*(1+Hypothèses_projet!$C$14/100))</f>
        <v>330039.07006154605</v>
      </c>
      <c r="L52" s="290">
        <f>IF(L30="","",K52*(1+Hypothèses_projet!$C$14/100))</f>
        <v>333999.53890228464</v>
      </c>
      <c r="M52" s="290">
        <f>IF(M30="","",L52*(1+Hypothèses_projet!$C$14/100))</f>
        <v>338007.53336911206</v>
      </c>
      <c r="N52" s="290">
        <f>IF(N30="","",M52*(1+Hypothèses_projet!$C$14/100))</f>
        <v>342063.62376954139</v>
      </c>
      <c r="O52" s="290">
        <f>IF(O30="","",N52*(1+Hypothèses_projet!$C$14/100))</f>
        <v>346168.38725477591</v>
      </c>
      <c r="P52" s="290">
        <f>IF(P30="","",O52*(1+Hypothèses_projet!$C$14/100))</f>
        <v>350322.40790183324</v>
      </c>
      <c r="Q52" s="290">
        <f>IF(Q30="","",P52*(1+Hypothèses_projet!$C$14/100))</f>
        <v>354526.27679665526</v>
      </c>
      <c r="R52" s="290">
        <f>IF(R30="","",Q52*(1+Hypothèses_projet!$C$14/100))</f>
        <v>358780.59211821511</v>
      </c>
      <c r="S52" s="290">
        <f>IF(S30="","",R52*(1+Hypothèses_projet!$C$14/100))</f>
        <v>363085.95922363369</v>
      </c>
      <c r="T52" s="290">
        <f>IF(T30="","",S52*(1+Hypothèses_projet!$C$14/100))</f>
        <v>367442.99073431728</v>
      </c>
      <c r="U52" s="290">
        <f>IF(U30="","",T52*(1+Hypothèses_projet!$C$14/100))</f>
        <v>371852.30662312912</v>
      </c>
      <c r="V52" s="290">
        <f>IF(V30="","",U52*(1+Hypothèses_projet!$C$14/100))</f>
        <v>376314.53430260665</v>
      </c>
      <c r="W52" s="290" t="str">
        <f>IF(W30="","",V52*(1+Hypothèses_projet!$C$14/100))</f>
        <v/>
      </c>
      <c r="X52" s="290" t="str">
        <f>IF(X30="","",W52*(1+Hypothèses_projet!$C$14/100))</f>
        <v/>
      </c>
      <c r="Y52" s="290" t="str">
        <f>IF(Y30="","",X52*(1+Hypothèses_projet!$C$14/100))</f>
        <v/>
      </c>
      <c r="Z52" s="290" t="str">
        <f>IF(Z30="","",Y52*(1+Hypothèses_projet!$C$14/100))</f>
        <v/>
      </c>
      <c r="AA52" s="290" t="str">
        <f>IF(AA30="","",Z52*(1+Hypothèses_projet!$C$14/100))</f>
        <v/>
      </c>
    </row>
    <row r="53" spans="2:27" x14ac:dyDescent="0.25">
      <c r="B53" s="368"/>
      <c r="C53" s="369"/>
      <c r="D53" s="369"/>
      <c r="E53" s="369"/>
      <c r="F53" s="369"/>
      <c r="G53" s="369"/>
      <c r="H53" s="369"/>
      <c r="I53" s="369"/>
      <c r="J53" s="369"/>
      <c r="K53" s="369"/>
      <c r="L53" s="369"/>
    </row>
    <row r="54" spans="2:27" x14ac:dyDescent="0.25">
      <c r="B54" s="370" t="s">
        <v>458</v>
      </c>
      <c r="C54" s="249"/>
      <c r="D54" s="205"/>
      <c r="E54" s="249" t="s">
        <v>19</v>
      </c>
      <c r="F54" s="205"/>
      <c r="G54" s="249" t="s">
        <v>4</v>
      </c>
      <c r="H54" s="205"/>
      <c r="I54" s="249" t="s">
        <v>83</v>
      </c>
      <c r="J54" s="369"/>
      <c r="K54" s="369"/>
      <c r="L54" s="369"/>
    </row>
    <row r="55" spans="2:27" x14ac:dyDescent="0.25">
      <c r="B55" s="336"/>
      <c r="C55" s="336"/>
      <c r="D55" s="336"/>
      <c r="E55" s="336"/>
      <c r="F55" s="336"/>
      <c r="G55" s="336"/>
      <c r="H55" s="336"/>
      <c r="I55" s="336"/>
      <c r="J55" s="336"/>
      <c r="K55" s="369"/>
      <c r="L55" s="369"/>
    </row>
    <row r="56" spans="2:27" x14ac:dyDescent="0.25">
      <c r="B56" s="371" t="s">
        <v>499</v>
      </c>
      <c r="C56" s="371"/>
      <c r="D56" s="371"/>
      <c r="E56" s="371"/>
      <c r="F56" s="371"/>
      <c r="G56" s="371"/>
      <c r="H56" s="371"/>
      <c r="I56" s="371"/>
      <c r="J56" s="336"/>
      <c r="K56" s="369"/>
      <c r="L56" s="369"/>
    </row>
    <row r="57" spans="2:27" x14ac:dyDescent="0.25">
      <c r="B57" s="371"/>
      <c r="C57" s="371"/>
      <c r="D57" s="371"/>
      <c r="E57" s="371"/>
      <c r="F57" s="371"/>
      <c r="G57" s="371"/>
      <c r="H57" s="371"/>
      <c r="I57" s="371"/>
      <c r="J57" s="336"/>
      <c r="K57" s="369"/>
      <c r="L57" s="369"/>
    </row>
    <row r="58" spans="2:27" x14ac:dyDescent="0.25">
      <c r="B58" s="336"/>
      <c r="C58" s="336"/>
      <c r="D58" s="336"/>
      <c r="E58" s="336"/>
      <c r="F58" s="336"/>
      <c r="G58" s="336"/>
      <c r="H58" s="336"/>
      <c r="I58" s="336"/>
      <c r="J58" s="336"/>
      <c r="K58" s="193"/>
      <c r="L58" s="193"/>
    </row>
    <row r="59" spans="2:27" x14ac:dyDescent="0.25">
      <c r="B59" s="252" t="s">
        <v>493</v>
      </c>
      <c r="C59" s="193"/>
      <c r="D59" s="193"/>
      <c r="E59" s="163">
        <v>5</v>
      </c>
      <c r="F59" s="193"/>
      <c r="G59" s="193" t="s">
        <v>1</v>
      </c>
      <c r="H59" s="193"/>
      <c r="I59" s="193"/>
      <c r="J59" s="193"/>
      <c r="K59" s="193"/>
      <c r="L59" s="193"/>
    </row>
    <row r="60" spans="2:27" x14ac:dyDescent="0.25">
      <c r="B60" s="252" t="s">
        <v>494</v>
      </c>
      <c r="C60" s="193"/>
      <c r="D60" s="193"/>
      <c r="E60" s="163">
        <v>1</v>
      </c>
      <c r="F60" s="193"/>
      <c r="G60" s="193" t="s">
        <v>1</v>
      </c>
      <c r="H60" s="193"/>
      <c r="I60" s="193"/>
      <c r="J60" s="193"/>
      <c r="K60" s="193"/>
      <c r="L60" s="193"/>
    </row>
    <row r="61" spans="2:27" x14ac:dyDescent="0.25">
      <c r="B61" s="252" t="s">
        <v>495</v>
      </c>
      <c r="C61" s="193"/>
      <c r="D61" s="193"/>
      <c r="E61" s="163">
        <v>5</v>
      </c>
      <c r="F61" s="193"/>
      <c r="G61" s="193" t="s">
        <v>1</v>
      </c>
      <c r="H61" s="193"/>
      <c r="I61" s="193"/>
      <c r="J61" s="193"/>
      <c r="K61" s="193"/>
      <c r="L61" s="193"/>
    </row>
    <row r="62" spans="2:27" x14ac:dyDescent="0.25">
      <c r="B62" s="252" t="s">
        <v>504</v>
      </c>
      <c r="C62" s="193"/>
      <c r="D62" s="193"/>
      <c r="E62" s="163">
        <v>5</v>
      </c>
      <c r="F62" s="193"/>
      <c r="G62" s="193" t="s">
        <v>1</v>
      </c>
      <c r="H62" s="193"/>
      <c r="I62" s="193"/>
      <c r="J62" s="193"/>
      <c r="K62" s="193"/>
      <c r="L62" s="193"/>
    </row>
    <row r="63" spans="2:27" x14ac:dyDescent="0.25">
      <c r="B63" s="252" t="s">
        <v>496</v>
      </c>
      <c r="C63" s="193"/>
      <c r="D63" s="193"/>
      <c r="E63" s="163">
        <v>5</v>
      </c>
      <c r="F63" s="193"/>
      <c r="G63" s="193" t="s">
        <v>1</v>
      </c>
      <c r="H63" s="193"/>
      <c r="I63" s="193"/>
      <c r="J63" s="193"/>
      <c r="K63" s="193"/>
      <c r="L63" s="193"/>
    </row>
    <row r="64" spans="2:27" x14ac:dyDescent="0.25">
      <c r="B64" s="252" t="s">
        <v>497</v>
      </c>
      <c r="C64" s="193"/>
      <c r="D64" s="193"/>
      <c r="E64" s="163">
        <v>5</v>
      </c>
      <c r="F64" s="193"/>
      <c r="G64" s="193" t="s">
        <v>1</v>
      </c>
      <c r="H64" s="193"/>
      <c r="I64" s="193"/>
      <c r="J64" s="193"/>
      <c r="K64" s="193"/>
      <c r="L64" s="193"/>
    </row>
    <row r="65" spans="2:12" x14ac:dyDescent="0.25">
      <c r="B65" s="252" t="s">
        <v>498</v>
      </c>
      <c r="C65" s="193"/>
      <c r="D65" s="193"/>
      <c r="E65" s="163">
        <v>-5</v>
      </c>
      <c r="F65" s="193"/>
      <c r="G65" s="193" t="s">
        <v>1</v>
      </c>
      <c r="H65" s="193"/>
      <c r="I65" s="193"/>
      <c r="J65" s="193"/>
      <c r="K65" s="193"/>
      <c r="L65" s="193"/>
    </row>
    <row r="66" spans="2:12" x14ac:dyDescent="0.25">
      <c r="B66" s="252" t="s">
        <v>503</v>
      </c>
      <c r="C66" s="193"/>
      <c r="D66" s="193"/>
      <c r="E66" s="163">
        <v>-5</v>
      </c>
      <c r="F66" s="193"/>
      <c r="G66" s="193" t="s">
        <v>1</v>
      </c>
      <c r="H66" s="193"/>
      <c r="I66" s="193"/>
      <c r="J66" s="193"/>
      <c r="K66" s="193"/>
      <c r="L66" s="193"/>
    </row>
    <row r="67" spans="2:12" x14ac:dyDescent="0.25">
      <c r="B67" s="252" t="s">
        <v>505</v>
      </c>
      <c r="C67" s="193"/>
      <c r="D67" s="193"/>
      <c r="E67" s="163">
        <v>5</v>
      </c>
      <c r="F67" s="193"/>
      <c r="G67" s="193" t="s">
        <v>1</v>
      </c>
      <c r="H67" s="193"/>
      <c r="I67" s="193"/>
      <c r="J67" s="193"/>
      <c r="K67" s="193"/>
      <c r="L67" s="193"/>
    </row>
    <row r="68" spans="2:12" x14ac:dyDescent="0.25">
      <c r="B68" s="252" t="s">
        <v>506</v>
      </c>
      <c r="C68" s="193"/>
      <c r="D68" s="193"/>
      <c r="E68" s="163">
        <v>5</v>
      </c>
      <c r="F68" s="193"/>
      <c r="G68" s="193" t="s">
        <v>1</v>
      </c>
      <c r="H68" s="193"/>
      <c r="I68" s="193"/>
      <c r="J68" s="193"/>
      <c r="K68" s="193"/>
      <c r="L68" s="193"/>
    </row>
    <row r="69" spans="2:12" x14ac:dyDescent="0.25">
      <c r="B69" s="372"/>
      <c r="C69" s="193"/>
      <c r="D69" s="193"/>
      <c r="E69" s="193"/>
      <c r="F69" s="193"/>
      <c r="G69" s="193"/>
      <c r="H69" s="193"/>
      <c r="I69" s="193"/>
      <c r="J69" s="193"/>
      <c r="K69" s="193"/>
      <c r="L69" s="193"/>
    </row>
    <row r="70" spans="2:12" x14ac:dyDescent="0.25">
      <c r="B70" s="373" t="s">
        <v>432</v>
      </c>
      <c r="C70" s="193"/>
      <c r="D70" s="193"/>
      <c r="E70" s="193"/>
      <c r="F70" s="193"/>
      <c r="G70" s="193"/>
      <c r="H70" s="193"/>
      <c r="I70" s="193"/>
      <c r="J70" s="193"/>
      <c r="K70" s="193"/>
      <c r="L70" s="193"/>
    </row>
    <row r="71" spans="2:12" x14ac:dyDescent="0.25">
      <c r="B71" s="193"/>
      <c r="C71" s="193"/>
      <c r="D71" s="193"/>
      <c r="E71" s="193"/>
      <c r="F71" s="193"/>
      <c r="G71" s="193"/>
      <c r="H71" s="193"/>
      <c r="I71" s="193"/>
      <c r="J71" s="193"/>
      <c r="K71" s="193"/>
      <c r="L71" s="193"/>
    </row>
    <row r="72" spans="2:12" x14ac:dyDescent="0.25">
      <c r="B72" s="343" t="s">
        <v>502</v>
      </c>
      <c r="C72" s="193"/>
      <c r="D72" s="193"/>
      <c r="E72" s="193"/>
      <c r="F72" s="193"/>
      <c r="G72" s="193"/>
      <c r="H72" s="193"/>
      <c r="I72" s="193"/>
      <c r="J72" s="193"/>
      <c r="K72" s="193"/>
      <c r="L72" s="193"/>
    </row>
    <row r="73" spans="2:12" x14ac:dyDescent="0.25">
      <c r="B73" s="193"/>
      <c r="C73" s="193"/>
      <c r="D73" s="193"/>
      <c r="E73" s="193"/>
      <c r="F73" s="193"/>
      <c r="G73" s="193"/>
      <c r="H73" s="193"/>
      <c r="I73" s="193"/>
      <c r="J73" s="193"/>
      <c r="K73" s="193"/>
      <c r="L73" s="193"/>
    </row>
    <row r="74" spans="2:12" x14ac:dyDescent="0.25">
      <c r="B74" s="372" t="s">
        <v>488</v>
      </c>
      <c r="C74" s="193"/>
      <c r="D74" s="193"/>
      <c r="E74" s="163">
        <v>5</v>
      </c>
      <c r="F74" s="193"/>
      <c r="G74" s="193"/>
      <c r="H74" s="193"/>
      <c r="I74" s="343" t="s">
        <v>501</v>
      </c>
      <c r="J74" s="193"/>
      <c r="K74" s="193"/>
      <c r="L74" s="193"/>
    </row>
    <row r="75" spans="2:12" x14ac:dyDescent="0.25">
      <c r="B75" s="372" t="s">
        <v>487</v>
      </c>
      <c r="C75" s="193"/>
      <c r="D75" s="193"/>
      <c r="E75" s="163">
        <v>5</v>
      </c>
      <c r="F75" s="193"/>
      <c r="G75" s="193"/>
      <c r="H75" s="193"/>
      <c r="I75" s="343" t="s">
        <v>501</v>
      </c>
      <c r="J75" s="193"/>
      <c r="K75" s="193"/>
      <c r="L75" s="193"/>
    </row>
    <row r="76" spans="2:12" x14ac:dyDescent="0.25">
      <c r="B76" s="372" t="s">
        <v>486</v>
      </c>
      <c r="C76" s="193"/>
      <c r="D76" s="193"/>
      <c r="E76" s="163">
        <v>500</v>
      </c>
      <c r="F76" s="193"/>
      <c r="G76" s="193"/>
      <c r="H76" s="193"/>
      <c r="I76" s="343" t="s">
        <v>501</v>
      </c>
      <c r="J76" s="193"/>
      <c r="K76" s="193"/>
      <c r="L76" s="193"/>
    </row>
    <row r="77" spans="2:12" x14ac:dyDescent="0.25">
      <c r="B77" s="372" t="s">
        <v>485</v>
      </c>
      <c r="C77" s="193"/>
      <c r="D77" s="193"/>
      <c r="E77" s="163">
        <v>500</v>
      </c>
      <c r="F77" s="193"/>
      <c r="G77" s="193"/>
      <c r="H77" s="193"/>
      <c r="I77" s="343" t="s">
        <v>501</v>
      </c>
      <c r="J77" s="193"/>
      <c r="K77" s="193"/>
      <c r="L77" s="193"/>
    </row>
    <row r="78" spans="2:12" x14ac:dyDescent="0.25">
      <c r="B78" s="372" t="s">
        <v>484</v>
      </c>
      <c r="C78" s="193"/>
      <c r="D78" s="193"/>
      <c r="E78" s="163">
        <v>10</v>
      </c>
      <c r="F78" s="193"/>
      <c r="G78" s="193"/>
      <c r="H78" s="193"/>
      <c r="I78" s="343" t="s">
        <v>501</v>
      </c>
      <c r="J78" s="193"/>
      <c r="K78" s="193"/>
      <c r="L78" s="193"/>
    </row>
    <row r="79" spans="2:12" x14ac:dyDescent="0.25">
      <c r="B79" s="372"/>
      <c r="C79" s="193"/>
      <c r="D79" s="193"/>
      <c r="E79" s="193"/>
      <c r="F79" s="193"/>
      <c r="G79" s="193"/>
      <c r="H79" s="193"/>
      <c r="I79" s="193"/>
      <c r="J79" s="193"/>
      <c r="K79" s="193"/>
      <c r="L79" s="193"/>
    </row>
    <row r="80" spans="2:12" x14ac:dyDescent="0.25">
      <c r="B80" s="373" t="s">
        <v>433</v>
      </c>
      <c r="C80" s="193"/>
      <c r="D80" s="193"/>
      <c r="E80" s="193"/>
      <c r="F80" s="193"/>
      <c r="G80" s="193"/>
      <c r="H80" s="193"/>
      <c r="I80" s="193"/>
      <c r="J80" s="193"/>
      <c r="K80" s="193"/>
      <c r="L80" s="193"/>
    </row>
    <row r="81" spans="2:12" x14ac:dyDescent="0.25">
      <c r="B81" s="372"/>
      <c r="C81" s="193"/>
      <c r="D81" s="193"/>
      <c r="E81" s="193"/>
      <c r="F81" s="193"/>
      <c r="G81" s="193"/>
      <c r="H81" s="193"/>
      <c r="I81" s="193"/>
      <c r="J81" s="193"/>
      <c r="K81" s="193"/>
      <c r="L81" s="193"/>
    </row>
    <row r="82" spans="2:12" x14ac:dyDescent="0.25">
      <c r="B82" s="372" t="s">
        <v>178</v>
      </c>
      <c r="C82" s="193"/>
      <c r="D82" s="193"/>
      <c r="E82" s="163">
        <v>1</v>
      </c>
      <c r="F82" s="193"/>
      <c r="G82" s="193"/>
      <c r="H82" s="193"/>
      <c r="I82" s="343" t="s">
        <v>309</v>
      </c>
      <c r="J82" s="193"/>
      <c r="K82" s="193"/>
      <c r="L82" s="193"/>
    </row>
    <row r="83" spans="2:12" x14ac:dyDescent="0.25">
      <c r="B83" s="372" t="s">
        <v>435</v>
      </c>
      <c r="C83" s="193"/>
      <c r="D83" s="193"/>
      <c r="E83" s="163">
        <v>0.2</v>
      </c>
      <c r="F83" s="193"/>
      <c r="G83" s="193"/>
      <c r="H83" s="193"/>
      <c r="I83" s="343" t="s">
        <v>309</v>
      </c>
      <c r="J83" s="193"/>
      <c r="K83" s="193"/>
      <c r="L83" s="193"/>
    </row>
    <row r="84" spans="2:12" x14ac:dyDescent="0.25">
      <c r="B84" s="372" t="s">
        <v>436</v>
      </c>
      <c r="C84" s="193"/>
      <c r="D84" s="193"/>
      <c r="E84" s="163">
        <v>1</v>
      </c>
      <c r="F84" s="193"/>
      <c r="G84" s="193"/>
      <c r="H84" s="193"/>
      <c r="I84" s="343" t="s">
        <v>309</v>
      </c>
      <c r="J84" s="193"/>
      <c r="K84" s="193"/>
      <c r="L84" s="193"/>
    </row>
    <row r="85" spans="2:12" x14ac:dyDescent="0.25">
      <c r="B85" s="372" t="s">
        <v>437</v>
      </c>
      <c r="C85" s="193"/>
      <c r="D85" s="193"/>
      <c r="E85" s="163">
        <v>1</v>
      </c>
      <c r="F85" s="193"/>
      <c r="G85" s="193"/>
      <c r="H85" s="193"/>
      <c r="I85" s="343" t="s">
        <v>309</v>
      </c>
      <c r="J85" s="193"/>
      <c r="K85" s="193"/>
      <c r="L85" s="193"/>
    </row>
    <row r="86" spans="2:12" x14ac:dyDescent="0.25">
      <c r="B86" s="372" t="s">
        <v>182</v>
      </c>
      <c r="C86" s="193"/>
      <c r="D86" s="193"/>
      <c r="E86" s="163">
        <v>0.5</v>
      </c>
      <c r="F86" s="193"/>
      <c r="G86" s="193"/>
      <c r="H86" s="193"/>
      <c r="I86" s="343" t="s">
        <v>309</v>
      </c>
      <c r="J86" s="193"/>
      <c r="K86" s="193"/>
      <c r="L86" s="193"/>
    </row>
    <row r="87" spans="2:12" x14ac:dyDescent="0.25">
      <c r="B87" s="372" t="s">
        <v>438</v>
      </c>
      <c r="C87" s="193"/>
      <c r="D87" s="193"/>
      <c r="E87" s="163">
        <v>0.5</v>
      </c>
      <c r="F87" s="193"/>
      <c r="G87" s="193"/>
      <c r="H87" s="193"/>
      <c r="I87" s="343" t="s">
        <v>309</v>
      </c>
      <c r="J87" s="193"/>
      <c r="K87" s="193"/>
      <c r="L87" s="193"/>
    </row>
    <row r="88" spans="2:12" x14ac:dyDescent="0.25">
      <c r="B88" s="372" t="s">
        <v>177</v>
      </c>
      <c r="C88" s="193"/>
      <c r="D88" s="193"/>
      <c r="E88" s="374">
        <v>80</v>
      </c>
      <c r="F88" s="193"/>
      <c r="G88" s="193" t="s">
        <v>1</v>
      </c>
      <c r="H88" s="193"/>
      <c r="I88" s="266" t="s">
        <v>318</v>
      </c>
      <c r="J88" s="193"/>
      <c r="K88" s="193"/>
      <c r="L88" s="193"/>
    </row>
    <row r="89" spans="2:12" x14ac:dyDescent="0.25">
      <c r="B89" s="372"/>
      <c r="C89" s="193"/>
      <c r="D89" s="193"/>
      <c r="E89" s="193"/>
      <c r="F89" s="193"/>
      <c r="G89" s="193"/>
      <c r="H89" s="193"/>
      <c r="I89" s="266"/>
      <c r="J89" s="193"/>
      <c r="K89" s="193"/>
      <c r="L89" s="193"/>
    </row>
    <row r="90" spans="2:12" hidden="1" x14ac:dyDescent="0.25">
      <c r="B90" s="372" t="s">
        <v>189</v>
      </c>
      <c r="C90" s="193"/>
      <c r="D90" s="193"/>
      <c r="E90" s="163">
        <v>8</v>
      </c>
      <c r="F90" s="193"/>
      <c r="G90" s="193" t="s">
        <v>1</v>
      </c>
      <c r="H90" s="193"/>
      <c r="I90" s="266" t="s">
        <v>367</v>
      </c>
      <c r="J90" s="193"/>
      <c r="K90" s="193"/>
      <c r="L90" s="193"/>
    </row>
    <row r="91" spans="2:12" hidden="1" x14ac:dyDescent="0.25">
      <c r="B91" s="372" t="s">
        <v>190</v>
      </c>
      <c r="C91" s="193"/>
      <c r="D91" s="193"/>
      <c r="E91" s="163">
        <v>8</v>
      </c>
      <c r="F91" s="193"/>
      <c r="G91" s="193" t="s">
        <v>1</v>
      </c>
      <c r="H91" s="193"/>
      <c r="I91" s="266" t="s">
        <v>367</v>
      </c>
      <c r="J91" s="193"/>
      <c r="K91" s="193"/>
      <c r="L91" s="193"/>
    </row>
    <row r="92" spans="2:12" hidden="1" x14ac:dyDescent="0.25">
      <c r="B92" s="266" t="s">
        <v>191</v>
      </c>
      <c r="C92" s="193"/>
      <c r="D92" s="193"/>
      <c r="E92" s="163">
        <v>8</v>
      </c>
      <c r="F92" s="193"/>
      <c r="G92" s="193" t="s">
        <v>1</v>
      </c>
      <c r="H92" s="193"/>
      <c r="I92" s="266" t="s">
        <v>367</v>
      </c>
      <c r="J92" s="193"/>
      <c r="K92" s="193"/>
      <c r="L92" s="193"/>
    </row>
    <row r="93" spans="2:12" hidden="1" x14ac:dyDescent="0.25">
      <c r="B93" s="266" t="s">
        <v>192</v>
      </c>
      <c r="C93" s="193"/>
      <c r="D93" s="193"/>
      <c r="E93" s="163">
        <v>8</v>
      </c>
      <c r="F93" s="193"/>
      <c r="G93" s="193" t="s">
        <v>1</v>
      </c>
      <c r="H93" s="193"/>
      <c r="I93" s="266" t="s">
        <v>367</v>
      </c>
      <c r="J93" s="193"/>
      <c r="K93" s="193"/>
      <c r="L93" s="193"/>
    </row>
    <row r="94" spans="2:12" hidden="1" x14ac:dyDescent="0.25">
      <c r="B94" s="372" t="s">
        <v>186</v>
      </c>
      <c r="C94" s="193"/>
      <c r="D94" s="193"/>
      <c r="E94" s="374">
        <v>20</v>
      </c>
      <c r="F94" s="193"/>
      <c r="G94" s="193" t="s">
        <v>43</v>
      </c>
      <c r="H94" s="193"/>
      <c r="I94" s="266" t="s">
        <v>44</v>
      </c>
      <c r="J94" s="193"/>
      <c r="K94" s="193"/>
      <c r="L94" s="193"/>
    </row>
    <row r="95" spans="2:12" x14ac:dyDescent="0.25">
      <c r="B95" s="336"/>
      <c r="C95" s="193"/>
      <c r="D95" s="193"/>
      <c r="E95" s="193"/>
      <c r="F95" s="193"/>
      <c r="G95" s="193"/>
      <c r="H95" s="193"/>
      <c r="I95" s="193"/>
      <c r="J95" s="193"/>
      <c r="K95" s="193"/>
      <c r="L95" s="193"/>
    </row>
    <row r="96" spans="2:12" x14ac:dyDescent="0.25">
      <c r="B96" s="375" t="s">
        <v>434</v>
      </c>
      <c r="C96" s="193"/>
      <c r="D96" s="193"/>
      <c r="E96" s="193"/>
      <c r="F96" s="193"/>
      <c r="G96" s="193"/>
      <c r="H96" s="193"/>
      <c r="I96" s="193"/>
      <c r="J96" s="193"/>
      <c r="K96" s="193"/>
      <c r="L96" s="193"/>
    </row>
    <row r="97" spans="2:12" x14ac:dyDescent="0.25">
      <c r="B97" s="376" t="s">
        <v>500</v>
      </c>
      <c r="C97" s="193"/>
      <c r="D97" s="193"/>
      <c r="E97" s="193"/>
      <c r="F97" s="193"/>
      <c r="G97" s="193"/>
      <c r="H97" s="193"/>
      <c r="I97" s="193"/>
      <c r="J97" s="193"/>
      <c r="K97" s="193"/>
      <c r="L97" s="193"/>
    </row>
    <row r="98" spans="2:12" x14ac:dyDescent="0.25">
      <c r="B98" s="376"/>
      <c r="C98" s="193"/>
      <c r="D98" s="193"/>
      <c r="E98" s="193"/>
      <c r="F98" s="193"/>
      <c r="G98" s="193"/>
      <c r="H98" s="193"/>
      <c r="I98" s="193"/>
      <c r="J98" s="193"/>
      <c r="K98" s="193"/>
      <c r="L98" s="193"/>
    </row>
    <row r="99" spans="2:12" ht="18" hidden="1" outlineLevel="1" x14ac:dyDescent="0.25">
      <c r="B99" s="252" t="s">
        <v>100</v>
      </c>
      <c r="C99" s="254"/>
      <c r="D99" s="254"/>
      <c r="E99" s="348">
        <f>441/1000</f>
        <v>0.441</v>
      </c>
      <c r="F99" s="254"/>
      <c r="G99" s="255" t="s">
        <v>1328</v>
      </c>
      <c r="H99" s="193"/>
      <c r="I99" s="193" t="s">
        <v>184</v>
      </c>
      <c r="J99" s="193"/>
      <c r="K99" s="193"/>
      <c r="L99" s="193"/>
    </row>
    <row r="100" spans="2:12" ht="18" hidden="1" outlineLevel="1" x14ac:dyDescent="0.25">
      <c r="B100" s="252" t="s">
        <v>45</v>
      </c>
      <c r="C100" s="254"/>
      <c r="D100" s="254"/>
      <c r="E100" s="348">
        <f>422/1000</f>
        <v>0.42199999999999999</v>
      </c>
      <c r="F100" s="254"/>
      <c r="G100" s="255" t="s">
        <v>1328</v>
      </c>
      <c r="H100" s="254"/>
      <c r="I100" s="345" t="s">
        <v>35</v>
      </c>
      <c r="J100" s="254"/>
      <c r="K100" s="193"/>
      <c r="L100" s="193"/>
    </row>
    <row r="101" spans="2:12" ht="18" hidden="1" outlineLevel="1" x14ac:dyDescent="0.25">
      <c r="B101" s="252" t="s">
        <v>36</v>
      </c>
      <c r="C101" s="254"/>
      <c r="D101" s="254"/>
      <c r="E101" s="377">
        <f>(21.3538+8.9864)/2000</f>
        <v>1.5170099999999999E-2</v>
      </c>
      <c r="F101" s="254"/>
      <c r="G101" s="255" t="s">
        <v>1331</v>
      </c>
      <c r="H101" s="346"/>
      <c r="I101" s="347" t="s">
        <v>38</v>
      </c>
      <c r="J101" s="254"/>
      <c r="K101" s="193"/>
      <c r="L101" s="193"/>
    </row>
    <row r="102" spans="2:12" hidden="1" outlineLevel="1" x14ac:dyDescent="0.25">
      <c r="B102" s="252" t="s">
        <v>46</v>
      </c>
      <c r="C102" s="254"/>
      <c r="D102" s="254"/>
      <c r="E102" s="255">
        <f>10/1000</f>
        <v>0.01</v>
      </c>
      <c r="F102" s="254"/>
      <c r="G102" s="255" t="s">
        <v>40</v>
      </c>
      <c r="H102" s="346"/>
      <c r="I102" s="180" t="s">
        <v>47</v>
      </c>
      <c r="J102" s="254"/>
      <c r="K102" s="193"/>
      <c r="L102" s="193"/>
    </row>
    <row r="103" spans="2:12" hidden="1" outlineLevel="1" x14ac:dyDescent="0.25">
      <c r="B103" s="193"/>
      <c r="C103" s="254"/>
      <c r="D103" s="254"/>
      <c r="E103" s="255"/>
      <c r="F103" s="254"/>
      <c r="G103" s="255"/>
      <c r="H103" s="346"/>
      <c r="I103" s="180"/>
      <c r="J103" s="254"/>
      <c r="K103" s="193"/>
      <c r="L103" s="193"/>
    </row>
    <row r="104" spans="2:12" ht="29.45" hidden="1" customHeight="1" outlineLevel="1" x14ac:dyDescent="0.25">
      <c r="B104" s="378" t="s">
        <v>428</v>
      </c>
      <c r="C104" s="378"/>
      <c r="D104" s="378"/>
      <c r="E104" s="348">
        <f>169/1000</f>
        <v>0.16900000000000001</v>
      </c>
      <c r="F104" s="254"/>
      <c r="G104" s="255" t="s">
        <v>185</v>
      </c>
      <c r="H104" s="193"/>
      <c r="I104" s="345" t="s">
        <v>35</v>
      </c>
      <c r="J104" s="193"/>
      <c r="K104" s="343"/>
      <c r="L104" s="193"/>
    </row>
    <row r="105" spans="2:12" ht="18" hidden="1" outlineLevel="1" x14ac:dyDescent="0.25">
      <c r="B105" s="252" t="s">
        <v>48</v>
      </c>
      <c r="C105" s="254"/>
      <c r="D105" s="254"/>
      <c r="E105" s="377">
        <f>(21.3538+8.9864)/2000</f>
        <v>1.5170099999999999E-2</v>
      </c>
      <c r="F105" s="254"/>
      <c r="G105" s="255" t="s">
        <v>1331</v>
      </c>
      <c r="H105" s="346"/>
      <c r="I105" s="347" t="s">
        <v>38</v>
      </c>
      <c r="J105" s="254"/>
      <c r="K105" s="193"/>
      <c r="L105" s="193"/>
    </row>
    <row r="106" spans="2:12" hidden="1" outlineLevel="1" x14ac:dyDescent="0.25">
      <c r="B106" s="252" t="s">
        <v>422</v>
      </c>
      <c r="C106" s="254"/>
      <c r="D106" s="254"/>
      <c r="E106" s="255">
        <f>3/1000</f>
        <v>3.0000000000000001E-3</v>
      </c>
      <c r="F106" s="254"/>
      <c r="G106" s="255" t="s">
        <v>50</v>
      </c>
      <c r="H106" s="346"/>
      <c r="I106" s="347" t="s">
        <v>51</v>
      </c>
      <c r="J106" s="254"/>
      <c r="K106" s="193"/>
      <c r="L106" s="193"/>
    </row>
    <row r="107" spans="2:12" hidden="1" outlineLevel="1" x14ac:dyDescent="0.25">
      <c r="B107" s="252"/>
      <c r="C107" s="254"/>
      <c r="D107" s="254"/>
      <c r="E107" s="255"/>
      <c r="F107" s="254"/>
      <c r="G107" s="255"/>
      <c r="H107" s="346"/>
      <c r="I107" s="347"/>
      <c r="J107" s="254"/>
      <c r="K107" s="193"/>
      <c r="L107" s="193"/>
    </row>
    <row r="108" spans="2:12" hidden="1" outlineLevel="1" x14ac:dyDescent="0.25">
      <c r="B108" s="379" t="s">
        <v>423</v>
      </c>
      <c r="C108" s="379"/>
      <c r="D108" s="379"/>
      <c r="E108" s="372">
        <f>0.394</f>
        <v>0.39400000000000002</v>
      </c>
      <c r="F108" s="254"/>
      <c r="G108" s="255" t="s">
        <v>185</v>
      </c>
      <c r="H108" s="193"/>
      <c r="I108" s="345" t="s">
        <v>35</v>
      </c>
      <c r="J108" s="254"/>
      <c r="K108" s="193"/>
      <c r="L108" s="193"/>
    </row>
    <row r="109" spans="2:12" ht="18" hidden="1" outlineLevel="1" x14ac:dyDescent="0.25">
      <c r="B109" s="252" t="s">
        <v>48</v>
      </c>
      <c r="C109" s="254"/>
      <c r="D109" s="254"/>
      <c r="E109" s="377">
        <f>(21.3538+8.9864)/2000</f>
        <v>1.5170099999999999E-2</v>
      </c>
      <c r="F109" s="254"/>
      <c r="G109" s="255" t="s">
        <v>1331</v>
      </c>
      <c r="H109" s="346"/>
      <c r="I109" s="347" t="s">
        <v>38</v>
      </c>
      <c r="J109" s="254"/>
      <c r="K109" s="193"/>
      <c r="L109" s="193"/>
    </row>
    <row r="110" spans="2:12" hidden="1" outlineLevel="1" x14ac:dyDescent="0.25">
      <c r="B110" s="252" t="s">
        <v>424</v>
      </c>
      <c r="C110" s="254"/>
      <c r="D110" s="254"/>
      <c r="E110" s="255">
        <f>0.011</f>
        <v>1.0999999999999999E-2</v>
      </c>
      <c r="F110" s="254"/>
      <c r="G110" s="255" t="s">
        <v>50</v>
      </c>
      <c r="H110" s="346"/>
      <c r="I110" s="347" t="s">
        <v>51</v>
      </c>
      <c r="J110" s="254"/>
      <c r="K110" s="193"/>
      <c r="L110" s="193"/>
    </row>
    <row r="111" spans="2:12" hidden="1" outlineLevel="1" x14ac:dyDescent="0.25">
      <c r="B111" s="252"/>
      <c r="C111" s="254"/>
      <c r="D111" s="254"/>
      <c r="E111" s="255"/>
      <c r="F111" s="254"/>
      <c r="G111" s="255"/>
      <c r="H111" s="346"/>
      <c r="I111" s="347"/>
      <c r="J111" s="254"/>
      <c r="K111" s="193"/>
      <c r="L111" s="193"/>
    </row>
    <row r="112" spans="2:12" hidden="1" outlineLevel="1" x14ac:dyDescent="0.25">
      <c r="B112" s="252"/>
      <c r="C112" s="254"/>
      <c r="D112" s="254"/>
      <c r="E112" s="255"/>
      <c r="F112" s="254"/>
      <c r="G112" s="255"/>
      <c r="H112" s="346"/>
      <c r="I112" s="347"/>
      <c r="J112" s="254"/>
      <c r="K112" s="193"/>
      <c r="L112" s="193"/>
    </row>
    <row r="113" spans="2:12" hidden="1" outlineLevel="1" x14ac:dyDescent="0.25">
      <c r="B113" s="252" t="s">
        <v>102</v>
      </c>
      <c r="C113" s="254"/>
      <c r="D113" s="254"/>
      <c r="E113" s="348">
        <f>61.1/1000</f>
        <v>6.1100000000000002E-2</v>
      </c>
      <c r="F113" s="254"/>
      <c r="G113" s="255" t="s">
        <v>185</v>
      </c>
      <c r="H113" s="346"/>
      <c r="I113" s="193" t="s">
        <v>184</v>
      </c>
      <c r="J113" s="254"/>
      <c r="K113" s="193"/>
      <c r="L113" s="193"/>
    </row>
    <row r="114" spans="2:12" ht="18" hidden="1" outlineLevel="1" x14ac:dyDescent="0.25">
      <c r="B114" s="252" t="s">
        <v>54</v>
      </c>
      <c r="C114" s="254"/>
      <c r="D114" s="348"/>
      <c r="E114" s="348">
        <f>32/1000</f>
        <v>3.2000000000000001E-2</v>
      </c>
      <c r="F114" s="254"/>
      <c r="G114" s="255" t="s">
        <v>1328</v>
      </c>
      <c r="H114" s="254"/>
      <c r="I114" s="345" t="s">
        <v>35</v>
      </c>
      <c r="J114" s="254"/>
      <c r="K114" s="193"/>
      <c r="L114" s="193"/>
    </row>
    <row r="115" spans="2:12" ht="18" hidden="1" outlineLevel="1" x14ac:dyDescent="0.25">
      <c r="B115" s="252" t="s">
        <v>36</v>
      </c>
      <c r="C115" s="254"/>
      <c r="D115" s="254"/>
      <c r="E115" s="377">
        <f>(21.3538+8.9864)/2000</f>
        <v>1.5170099999999999E-2</v>
      </c>
      <c r="F115" s="254"/>
      <c r="G115" s="255" t="s">
        <v>1331</v>
      </c>
      <c r="H115" s="346"/>
      <c r="I115" s="347" t="s">
        <v>38</v>
      </c>
      <c r="J115" s="254"/>
      <c r="K115" s="193"/>
      <c r="L115" s="193"/>
    </row>
    <row r="116" spans="2:12" hidden="1" outlineLevel="1" x14ac:dyDescent="0.25">
      <c r="B116" s="252" t="s">
        <v>55</v>
      </c>
      <c r="C116" s="254"/>
      <c r="D116" s="255"/>
      <c r="E116" s="348">
        <f>0.12/1000</f>
        <v>1.1999999999999999E-4</v>
      </c>
      <c r="F116" s="254"/>
      <c r="G116" s="255" t="s">
        <v>50</v>
      </c>
      <c r="H116" s="346"/>
      <c r="I116" s="347" t="s">
        <v>51</v>
      </c>
      <c r="J116" s="254"/>
      <c r="K116" s="193"/>
      <c r="L116" s="193"/>
    </row>
    <row r="117" spans="2:12" hidden="1" outlineLevel="1" x14ac:dyDescent="0.25">
      <c r="B117" s="193"/>
      <c r="C117" s="193"/>
      <c r="D117" s="193"/>
      <c r="E117" s="193"/>
      <c r="F117" s="193"/>
      <c r="G117" s="193"/>
      <c r="H117" s="193"/>
      <c r="I117" s="193"/>
      <c r="J117" s="193"/>
      <c r="K117" s="193"/>
      <c r="L117" s="193"/>
    </row>
    <row r="118" spans="2:12" ht="18" hidden="1" outlineLevel="1" x14ac:dyDescent="0.25">
      <c r="B118" s="252" t="s">
        <v>52</v>
      </c>
      <c r="C118" s="254"/>
      <c r="D118" s="348"/>
      <c r="E118" s="348">
        <f>70/1000</f>
        <v>7.0000000000000007E-2</v>
      </c>
      <c r="F118" s="254"/>
      <c r="G118" s="255" t="s">
        <v>1330</v>
      </c>
      <c r="H118" s="254"/>
      <c r="I118" s="345" t="s">
        <v>35</v>
      </c>
      <c r="J118" s="254"/>
      <c r="K118" s="193"/>
      <c r="L118" s="193"/>
    </row>
    <row r="119" spans="2:12" ht="18" hidden="1" outlineLevel="1" x14ac:dyDescent="0.25">
      <c r="B119" s="372" t="s">
        <v>36</v>
      </c>
      <c r="C119" s="254"/>
      <c r="D119" s="254"/>
      <c r="E119" s="377">
        <f>(21.3538+8.9864)/2000</f>
        <v>1.5170099999999999E-2</v>
      </c>
      <c r="F119" s="254"/>
      <c r="G119" s="255" t="s">
        <v>1331</v>
      </c>
      <c r="H119" s="346"/>
      <c r="I119" s="347" t="s">
        <v>38</v>
      </c>
      <c r="J119" s="254"/>
      <c r="K119" s="193"/>
      <c r="L119" s="193"/>
    </row>
    <row r="120" spans="2:12" hidden="1" outlineLevel="1" x14ac:dyDescent="0.25">
      <c r="B120" s="372" t="s">
        <v>53</v>
      </c>
      <c r="C120" s="254"/>
      <c r="D120" s="255"/>
      <c r="E120" s="348">
        <f>0.45/1000</f>
        <v>4.4999999999999999E-4</v>
      </c>
      <c r="F120" s="254"/>
      <c r="G120" s="255" t="s">
        <v>50</v>
      </c>
      <c r="H120" s="346"/>
      <c r="I120" s="347" t="s">
        <v>51</v>
      </c>
      <c r="J120" s="254"/>
      <c r="K120" s="193"/>
      <c r="L120" s="193"/>
    </row>
    <row r="121" spans="2:12" hidden="1" outlineLevel="1" x14ac:dyDescent="0.25"/>
    <row r="122" spans="2:12" hidden="1" outlineLevel="1" x14ac:dyDescent="0.25"/>
    <row r="123" spans="2:12" ht="18" hidden="1" outlineLevel="1" x14ac:dyDescent="0.25">
      <c r="B123" s="252" t="s">
        <v>33</v>
      </c>
      <c r="C123" s="193"/>
      <c r="D123" s="193"/>
      <c r="E123" s="348">
        <f>115/1000</f>
        <v>0.115</v>
      </c>
      <c r="F123" s="193"/>
      <c r="G123" s="255" t="s">
        <v>1330</v>
      </c>
      <c r="H123" s="254"/>
      <c r="I123" s="380" t="s">
        <v>35</v>
      </c>
    </row>
    <row r="124" spans="2:12" ht="18" hidden="1" outlineLevel="1" x14ac:dyDescent="0.25">
      <c r="B124" s="252" t="s">
        <v>36</v>
      </c>
      <c r="C124" s="193"/>
      <c r="D124" s="193"/>
      <c r="E124" s="377">
        <f>(21.3538+8.9864)/2000</f>
        <v>1.5170099999999999E-2</v>
      </c>
      <c r="F124" s="193"/>
      <c r="G124" s="255" t="s">
        <v>1331</v>
      </c>
      <c r="H124" s="346"/>
      <c r="I124" s="381" t="s">
        <v>38</v>
      </c>
    </row>
    <row r="125" spans="2:12" hidden="1" outlineLevel="1" x14ac:dyDescent="0.25">
      <c r="B125" s="252" t="s">
        <v>39</v>
      </c>
      <c r="C125" s="193"/>
      <c r="D125" s="193"/>
      <c r="E125" s="255">
        <f>800/1000000</f>
        <v>8.0000000000000004E-4</v>
      </c>
      <c r="F125" s="193"/>
      <c r="G125" s="255" t="s">
        <v>40</v>
      </c>
      <c r="H125" s="346"/>
      <c r="I125" s="381" t="s">
        <v>41</v>
      </c>
    </row>
    <row r="126" spans="2:12" hidden="1" outlineLevel="1" x14ac:dyDescent="0.25"/>
    <row r="127" spans="2:12" ht="18" hidden="1" outlineLevel="1" x14ac:dyDescent="0.25">
      <c r="B127" s="252" t="s">
        <v>419</v>
      </c>
      <c r="E127" s="146">
        <v>0.153</v>
      </c>
      <c r="G127" s="255" t="s">
        <v>1330</v>
      </c>
      <c r="H127" s="254"/>
      <c r="I127" s="380" t="s">
        <v>35</v>
      </c>
    </row>
    <row r="128" spans="2:12" ht="18" hidden="1" outlineLevel="1" x14ac:dyDescent="0.25">
      <c r="B128" s="252" t="s">
        <v>36</v>
      </c>
      <c r="E128" s="377">
        <f>(21.3538+8.9864)/2000</f>
        <v>1.5170099999999999E-2</v>
      </c>
      <c r="G128" s="255" t="s">
        <v>1331</v>
      </c>
      <c r="H128" s="346"/>
      <c r="I128" s="381" t="s">
        <v>38</v>
      </c>
    </row>
    <row r="129" spans="2:12" hidden="1" outlineLevel="1" x14ac:dyDescent="0.25">
      <c r="B129" s="252" t="s">
        <v>420</v>
      </c>
      <c r="E129" s="146">
        <v>1.2999999999999999E-2</v>
      </c>
      <c r="G129" s="255" t="s">
        <v>40</v>
      </c>
      <c r="H129" s="346"/>
      <c r="I129" s="380" t="s">
        <v>35</v>
      </c>
    </row>
    <row r="130" spans="2:12" hidden="1" outlineLevel="1" x14ac:dyDescent="0.25"/>
    <row r="131" spans="2:12" ht="18" hidden="1" outlineLevel="1" x14ac:dyDescent="0.25">
      <c r="B131" s="252" t="s">
        <v>430</v>
      </c>
      <c r="E131" s="146">
        <v>0.88300000000000001</v>
      </c>
      <c r="G131" s="255" t="s">
        <v>1330</v>
      </c>
      <c r="H131" s="254"/>
      <c r="I131" s="380" t="s">
        <v>429</v>
      </c>
    </row>
    <row r="132" spans="2:12" hidden="1" outlineLevel="1" x14ac:dyDescent="0.25">
      <c r="B132" s="252"/>
      <c r="G132" s="255"/>
      <c r="H132" s="254"/>
      <c r="I132" s="146" t="s">
        <v>231</v>
      </c>
    </row>
    <row r="133" spans="2:12" ht="18" hidden="1" outlineLevel="1" x14ac:dyDescent="0.25">
      <c r="B133" s="252" t="s">
        <v>431</v>
      </c>
      <c r="E133" s="146">
        <v>0.218</v>
      </c>
      <c r="G133" s="255" t="s">
        <v>1330</v>
      </c>
      <c r="H133" s="254"/>
      <c r="I133" s="380" t="s">
        <v>429</v>
      </c>
    </row>
    <row r="134" spans="2:12" hidden="1" outlineLevel="1" x14ac:dyDescent="0.25">
      <c r="B134" s="252"/>
      <c r="G134" s="255"/>
      <c r="H134" s="254"/>
      <c r="I134" s="146" t="s">
        <v>231</v>
      </c>
    </row>
    <row r="135" spans="2:12" ht="18" hidden="1" outlineLevel="1" x14ac:dyDescent="0.25">
      <c r="B135" s="252" t="s">
        <v>36</v>
      </c>
      <c r="E135" s="377">
        <f>(21.3538+8.9864)/2000</f>
        <v>1.5170099999999999E-2</v>
      </c>
      <c r="G135" s="255" t="s">
        <v>1331</v>
      </c>
      <c r="H135" s="346"/>
      <c r="I135" s="381" t="s">
        <v>38</v>
      </c>
    </row>
    <row r="136" spans="2:12" hidden="1" outlineLevel="1" x14ac:dyDescent="0.25">
      <c r="B136" s="252" t="s">
        <v>421</v>
      </c>
      <c r="E136" s="146">
        <v>1.7000000000000001E-2</v>
      </c>
      <c r="G136" s="255" t="s">
        <v>40</v>
      </c>
      <c r="H136" s="346"/>
      <c r="I136" s="380" t="s">
        <v>35</v>
      </c>
    </row>
    <row r="137" spans="2:12" collapsed="1" x14ac:dyDescent="0.25"/>
    <row r="139" spans="2:12" x14ac:dyDescent="0.25">
      <c r="B139" s="154"/>
      <c r="C139" s="154"/>
      <c r="D139" s="154"/>
      <c r="E139" s="154"/>
      <c r="F139" s="154"/>
    </row>
    <row r="140" spans="2:12" x14ac:dyDescent="0.25">
      <c r="B140" s="362" t="s">
        <v>441</v>
      </c>
      <c r="C140" s="209"/>
      <c r="D140" s="209"/>
      <c r="E140" s="209"/>
      <c r="F140" s="209"/>
      <c r="G140" s="193"/>
      <c r="H140" s="193"/>
      <c r="I140" s="193"/>
      <c r="J140" s="193"/>
      <c r="K140" s="193"/>
      <c r="L140" s="193"/>
    </row>
    <row r="141" spans="2:12" x14ac:dyDescent="0.25">
      <c r="B141" s="336"/>
      <c r="C141" s="193"/>
      <c r="D141" s="193"/>
      <c r="E141" s="193"/>
      <c r="F141" s="193"/>
      <c r="G141" s="193"/>
      <c r="H141" s="193"/>
      <c r="I141" s="193"/>
      <c r="J141" s="193"/>
      <c r="K141" s="193"/>
      <c r="L141" s="193"/>
    </row>
    <row r="142" spans="2:12" ht="58.5" customHeight="1" x14ac:dyDescent="0.25">
      <c r="B142" s="350" t="s">
        <v>513</v>
      </c>
      <c r="C142" s="350"/>
      <c r="D142" s="350"/>
      <c r="E142" s="350"/>
      <c r="F142" s="350"/>
      <c r="G142" s="350"/>
      <c r="H142" s="350"/>
      <c r="I142" s="350"/>
      <c r="J142" s="350"/>
      <c r="K142" s="350"/>
      <c r="L142" s="350"/>
    </row>
    <row r="143" spans="2:12" ht="43.5" customHeight="1" x14ac:dyDescent="0.25">
      <c r="B143" s="343" t="s">
        <v>514</v>
      </c>
      <c r="C143" s="309"/>
      <c r="D143" s="309"/>
      <c r="E143" s="309"/>
      <c r="F143" s="309"/>
      <c r="G143" s="309"/>
      <c r="H143" s="309"/>
      <c r="I143" s="309"/>
      <c r="J143" s="309"/>
      <c r="K143" s="309"/>
      <c r="L143" s="309"/>
    </row>
    <row r="144" spans="2:12" x14ac:dyDescent="0.25">
      <c r="B144" s="193"/>
      <c r="C144" s="193"/>
      <c r="D144" s="193"/>
      <c r="E144" s="193"/>
      <c r="F144" s="193"/>
      <c r="G144" s="193"/>
      <c r="H144" s="193"/>
      <c r="I144" s="193"/>
      <c r="J144" s="193"/>
      <c r="K144" s="193"/>
      <c r="L144" s="193"/>
    </row>
    <row r="145" spans="2:27" x14ac:dyDescent="0.25">
      <c r="B145" s="291" t="s">
        <v>29</v>
      </c>
      <c r="C145" s="291"/>
      <c r="D145" s="291"/>
      <c r="E145" s="291"/>
      <c r="F145" s="291"/>
      <c r="G145" s="291"/>
      <c r="H145" s="291"/>
      <c r="I145" s="291"/>
      <c r="J145" s="291"/>
      <c r="K145" s="291"/>
      <c r="L145" s="291"/>
    </row>
    <row r="146" spans="2:27" x14ac:dyDescent="0.25">
      <c r="B146" s="292" t="s">
        <v>171</v>
      </c>
      <c r="C146" s="293"/>
      <c r="D146" s="293"/>
      <c r="E146" s="293"/>
      <c r="F146" s="293"/>
      <c r="G146" s="293"/>
      <c r="H146" s="293"/>
      <c r="I146" s="293"/>
      <c r="J146" s="293"/>
      <c r="K146" s="293"/>
      <c r="L146" s="293"/>
    </row>
    <row r="147" spans="2:27" x14ac:dyDescent="0.25">
      <c r="B147" s="307" t="s">
        <v>26</v>
      </c>
      <c r="C147" s="307">
        <f>Hypothèses_projet!$C$3</f>
        <v>2021</v>
      </c>
      <c r="D147" s="307">
        <f>E$6</f>
        <v>2022</v>
      </c>
      <c r="E147" s="307">
        <f t="shared" ref="E147:AA147" si="119">F$6</f>
        <v>2023</v>
      </c>
      <c r="F147" s="307">
        <f t="shared" si="119"/>
        <v>2024</v>
      </c>
      <c r="G147" s="307">
        <f t="shared" si="119"/>
        <v>2025</v>
      </c>
      <c r="H147" s="307">
        <f t="shared" si="119"/>
        <v>2026</v>
      </c>
      <c r="I147" s="307">
        <f t="shared" si="119"/>
        <v>2027</v>
      </c>
      <c r="J147" s="307">
        <f t="shared" si="119"/>
        <v>2028</v>
      </c>
      <c r="K147" s="307">
        <f t="shared" si="119"/>
        <v>2029</v>
      </c>
      <c r="L147" s="307">
        <f t="shared" si="119"/>
        <v>2030</v>
      </c>
      <c r="M147" s="307">
        <f t="shared" si="119"/>
        <v>2031</v>
      </c>
      <c r="N147" s="307">
        <f t="shared" si="119"/>
        <v>2032</v>
      </c>
      <c r="O147" s="307">
        <f t="shared" si="119"/>
        <v>2033</v>
      </c>
      <c r="P147" s="307">
        <f t="shared" si="119"/>
        <v>2034</v>
      </c>
      <c r="Q147" s="307">
        <f t="shared" si="119"/>
        <v>2035</v>
      </c>
      <c r="R147" s="307">
        <f t="shared" si="119"/>
        <v>2036</v>
      </c>
      <c r="S147" s="307">
        <f t="shared" si="119"/>
        <v>2037</v>
      </c>
      <c r="T147" s="307">
        <f t="shared" si="119"/>
        <v>2038</v>
      </c>
      <c r="U147" s="307">
        <f t="shared" si="119"/>
        <v>2039</v>
      </c>
      <c r="V147" s="307">
        <f t="shared" si="119"/>
        <v>2040</v>
      </c>
      <c r="W147" s="307" t="str">
        <f t="shared" si="119"/>
        <v/>
      </c>
      <c r="X147" s="307" t="str">
        <f t="shared" si="119"/>
        <v/>
      </c>
      <c r="Y147" s="307" t="str">
        <f t="shared" si="119"/>
        <v/>
      </c>
      <c r="Z147" s="307" t="str">
        <f t="shared" si="119"/>
        <v/>
      </c>
      <c r="AA147" s="307" t="str">
        <f t="shared" si="119"/>
        <v/>
      </c>
    </row>
    <row r="148" spans="2:27" x14ac:dyDescent="0.25">
      <c r="B148" s="363" t="s">
        <v>432</v>
      </c>
      <c r="C148" s="307"/>
      <c r="D148" s="307"/>
      <c r="E148" s="307"/>
      <c r="F148" s="307"/>
      <c r="G148" s="307"/>
      <c r="H148" s="307"/>
      <c r="I148" s="307"/>
      <c r="J148" s="307"/>
      <c r="K148" s="307"/>
      <c r="L148" s="307"/>
      <c r="M148" s="307"/>
      <c r="N148" s="307"/>
      <c r="O148" s="307"/>
      <c r="P148" s="307"/>
      <c r="Q148" s="307"/>
      <c r="R148" s="307"/>
      <c r="S148" s="307"/>
      <c r="T148" s="307"/>
      <c r="U148" s="307"/>
      <c r="V148" s="307"/>
      <c r="W148" s="307"/>
      <c r="X148" s="307"/>
      <c r="Y148" s="307"/>
      <c r="Z148" s="307"/>
      <c r="AA148" s="307"/>
    </row>
    <row r="149" spans="2:27" x14ac:dyDescent="0.25">
      <c r="B149" s="364" t="s">
        <v>442</v>
      </c>
      <c r="C149" s="290">
        <f>IF(C147="","",C$168*$C$19*$E$179*$E$60*$E$84/10^6/100)</f>
        <v>38.7881504199798</v>
      </c>
      <c r="D149" s="290">
        <f t="shared" ref="D149:AA149" si="120">IF(D147="","",D$168*$C$19*$E$179*$E$60*$E$84/10^6/100)</f>
        <v>39.253608225019555</v>
      </c>
      <c r="E149" s="290">
        <f t="shared" si="120"/>
        <v>39.724651523719785</v>
      </c>
      <c r="F149" s="290">
        <f t="shared" si="120"/>
        <v>40.201347342004425</v>
      </c>
      <c r="G149" s="290">
        <f t="shared" si="120"/>
        <v>40.683763510108484</v>
      </c>
      <c r="H149" s="290">
        <f t="shared" si="120"/>
        <v>41.171968672229781</v>
      </c>
      <c r="I149" s="290">
        <f t="shared" si="120"/>
        <v>41.666032296296549</v>
      </c>
      <c r="J149" s="290">
        <f t="shared" si="120"/>
        <v>42.1660246838521</v>
      </c>
      <c r="K149" s="290">
        <f t="shared" si="120"/>
        <v>42.672016980058324</v>
      </c>
      <c r="L149" s="290">
        <f t="shared" si="120"/>
        <v>43.184081183819025</v>
      </c>
      <c r="M149" s="290">
        <f t="shared" si="120"/>
        <v>43.702290158024859</v>
      </c>
      <c r="N149" s="290">
        <f t="shared" si="120"/>
        <v>44.226717639921162</v>
      </c>
      <c r="O149" s="290">
        <f t="shared" si="120"/>
        <v>44.757438251600206</v>
      </c>
      <c r="P149" s="290">
        <f t="shared" si="120"/>
        <v>45.29452751061941</v>
      </c>
      <c r="Q149" s="290">
        <f t="shared" si="120"/>
        <v>45.83806184074686</v>
      </c>
      <c r="R149" s="290">
        <f t="shared" si="120"/>
        <v>46.388118582835801</v>
      </c>
      <c r="S149" s="290">
        <f t="shared" si="120"/>
        <v>46.944776005829837</v>
      </c>
      <c r="T149" s="290">
        <f t="shared" si="120"/>
        <v>47.508113317899806</v>
      </c>
      <c r="U149" s="290">
        <f t="shared" si="120"/>
        <v>48.078210677714608</v>
      </c>
      <c r="V149" s="290">
        <f t="shared" si="120"/>
        <v>48.655149205847174</v>
      </c>
      <c r="W149" s="290" t="str">
        <f t="shared" si="120"/>
        <v/>
      </c>
      <c r="X149" s="290" t="str">
        <f t="shared" si="120"/>
        <v/>
      </c>
      <c r="Y149" s="290" t="str">
        <f t="shared" si="120"/>
        <v/>
      </c>
      <c r="Z149" s="290" t="str">
        <f t="shared" si="120"/>
        <v/>
      </c>
      <c r="AA149" s="290" t="str">
        <f t="shared" si="120"/>
        <v/>
      </c>
    </row>
    <row r="150" spans="2:27" x14ac:dyDescent="0.25">
      <c r="B150" s="364" t="s">
        <v>443</v>
      </c>
      <c r="C150" s="290">
        <f>IF(C147="","",C$168*$C$19*$E$179*$E$61*$E$85/10^6/100)</f>
        <v>193.94075209989899</v>
      </c>
      <c r="D150" s="290">
        <f t="shared" ref="D150:AA150" si="121">IF(D147="","",D$168*$C$19*$E$179*$E$61*$E$85/10^6/100)</f>
        <v>196.26804112509774</v>
      </c>
      <c r="E150" s="290">
        <f t="shared" si="121"/>
        <v>198.62325761859896</v>
      </c>
      <c r="F150" s="290">
        <f t="shared" si="121"/>
        <v>201.00673671002212</v>
      </c>
      <c r="G150" s="290">
        <f t="shared" si="121"/>
        <v>203.4188175505424</v>
      </c>
      <c r="H150" s="290">
        <f t="shared" si="121"/>
        <v>205.85984336114893</v>
      </c>
      <c r="I150" s="290">
        <f t="shared" si="121"/>
        <v>208.33016148148272</v>
      </c>
      <c r="J150" s="290">
        <f t="shared" si="121"/>
        <v>210.8301234192605</v>
      </c>
      <c r="K150" s="290">
        <f t="shared" si="121"/>
        <v>213.36008490029161</v>
      </c>
      <c r="L150" s="290">
        <f t="shared" si="121"/>
        <v>215.92040591909515</v>
      </c>
      <c r="M150" s="290">
        <f t="shared" si="121"/>
        <v>218.51145079012431</v>
      </c>
      <c r="N150" s="290">
        <f t="shared" si="121"/>
        <v>221.13358819960581</v>
      </c>
      <c r="O150" s="290">
        <f t="shared" si="121"/>
        <v>223.78719125800103</v>
      </c>
      <c r="P150" s="290">
        <f t="shared" si="121"/>
        <v>226.47263755309709</v>
      </c>
      <c r="Q150" s="290">
        <f t="shared" si="121"/>
        <v>229.19030920373427</v>
      </c>
      <c r="R150" s="290">
        <f t="shared" si="121"/>
        <v>231.94059291417904</v>
      </c>
      <c r="S150" s="290">
        <f t="shared" si="121"/>
        <v>234.72388002914923</v>
      </c>
      <c r="T150" s="290">
        <f t="shared" si="121"/>
        <v>237.54056658949906</v>
      </c>
      <c r="U150" s="290">
        <f t="shared" si="121"/>
        <v>240.39105338857303</v>
      </c>
      <c r="V150" s="290">
        <f t="shared" si="121"/>
        <v>243.27574602923588</v>
      </c>
      <c r="W150" s="290" t="str">
        <f t="shared" si="121"/>
        <v/>
      </c>
      <c r="X150" s="290" t="str">
        <f t="shared" si="121"/>
        <v/>
      </c>
      <c r="Y150" s="290" t="str">
        <f t="shared" si="121"/>
        <v/>
      </c>
      <c r="Z150" s="290" t="str">
        <f t="shared" si="121"/>
        <v/>
      </c>
      <c r="AA150" s="290" t="str">
        <f t="shared" si="121"/>
        <v/>
      </c>
    </row>
    <row r="151" spans="2:27" x14ac:dyDescent="0.25">
      <c r="B151" s="364" t="s">
        <v>444</v>
      </c>
      <c r="C151" s="290">
        <f>IF(C147="","",C$168*$C$19*$E$189*$E$66*$E$78/1000/10^6/100)</f>
        <v>-3.3593308845875356</v>
      </c>
      <c r="D151" s="290">
        <f t="shared" ref="D151:AA151" si="122">IF(D147="","",D$168*$C$19*$E$189*$E$66*$E$78/1000/10^6/100)</f>
        <v>-3.3996428552025866</v>
      </c>
      <c r="E151" s="290">
        <f t="shared" si="122"/>
        <v>-3.4404385694650181</v>
      </c>
      <c r="F151" s="290">
        <f t="shared" si="122"/>
        <v>-3.4817238322985973</v>
      </c>
      <c r="G151" s="290">
        <f t="shared" si="122"/>
        <v>-3.5235045182861819</v>
      </c>
      <c r="H151" s="290">
        <f t="shared" si="122"/>
        <v>-3.5657865725056155</v>
      </c>
      <c r="I151" s="290">
        <f t="shared" si="122"/>
        <v>-3.6085760113756833</v>
      </c>
      <c r="J151" s="290">
        <f t="shared" si="122"/>
        <v>-3.6518789235121911</v>
      </c>
      <c r="K151" s="290">
        <f t="shared" si="122"/>
        <v>-3.695701470594337</v>
      </c>
      <c r="L151" s="290">
        <f t="shared" si="122"/>
        <v>-3.7400498882414701</v>
      </c>
      <c r="M151" s="290">
        <f t="shared" si="122"/>
        <v>-3.7849304869003664</v>
      </c>
      <c r="N151" s="290">
        <f t="shared" si="122"/>
        <v>-3.8303496527431715</v>
      </c>
      <c r="O151" s="290">
        <f t="shared" si="122"/>
        <v>-3.8763138485760895</v>
      </c>
      <c r="P151" s="290">
        <f t="shared" si="122"/>
        <v>-3.9228296147590038</v>
      </c>
      <c r="Q151" s="290">
        <f t="shared" si="122"/>
        <v>-3.9699035701361112</v>
      </c>
      <c r="R151" s="290">
        <f t="shared" si="122"/>
        <v>-4.0175424129777442</v>
      </c>
      <c r="S151" s="290">
        <f t="shared" si="122"/>
        <v>-4.0657529219334778</v>
      </c>
      <c r="T151" s="290">
        <f t="shared" si="122"/>
        <v>-4.1145419569966801</v>
      </c>
      <c r="U151" s="290">
        <f t="shared" si="122"/>
        <v>-4.1639164604806398</v>
      </c>
      <c r="V151" s="290">
        <f t="shared" si="122"/>
        <v>-4.213883458006408</v>
      </c>
      <c r="W151" s="290" t="str">
        <f t="shared" si="122"/>
        <v/>
      </c>
      <c r="X151" s="290" t="str">
        <f t="shared" si="122"/>
        <v/>
      </c>
      <c r="Y151" s="290" t="str">
        <f t="shared" si="122"/>
        <v/>
      </c>
      <c r="Z151" s="290" t="str">
        <f t="shared" si="122"/>
        <v/>
      </c>
      <c r="AA151" s="290" t="str">
        <f t="shared" si="122"/>
        <v/>
      </c>
    </row>
    <row r="152" spans="2:27" x14ac:dyDescent="0.25">
      <c r="B152" s="364" t="s">
        <v>440</v>
      </c>
      <c r="C152" s="290"/>
      <c r="D152" s="290"/>
      <c r="E152" s="290"/>
      <c r="F152" s="290"/>
      <c r="G152" s="290"/>
      <c r="H152" s="290"/>
      <c r="I152" s="290"/>
      <c r="J152" s="290"/>
      <c r="K152" s="290"/>
      <c r="L152" s="290"/>
      <c r="M152" s="290"/>
      <c r="N152" s="290"/>
      <c r="O152" s="290"/>
      <c r="P152" s="290"/>
      <c r="Q152" s="290"/>
      <c r="R152" s="290"/>
      <c r="S152" s="290"/>
      <c r="T152" s="290"/>
      <c r="U152" s="290"/>
      <c r="V152" s="290"/>
      <c r="W152" s="290"/>
      <c r="X152" s="290"/>
      <c r="Y152" s="290"/>
      <c r="Z152" s="290"/>
      <c r="AA152" s="290"/>
    </row>
    <row r="153" spans="2:27" x14ac:dyDescent="0.25">
      <c r="B153" s="364"/>
      <c r="C153" s="290"/>
      <c r="D153" s="290"/>
      <c r="E153" s="290"/>
      <c r="F153" s="290"/>
      <c r="G153" s="290"/>
      <c r="H153" s="290"/>
      <c r="I153" s="290"/>
      <c r="J153" s="290"/>
      <c r="K153" s="290"/>
      <c r="L153" s="290"/>
      <c r="M153" s="290"/>
      <c r="N153" s="290"/>
      <c r="O153" s="290"/>
      <c r="P153" s="290"/>
      <c r="Q153" s="290"/>
      <c r="R153" s="290"/>
      <c r="S153" s="290"/>
      <c r="T153" s="290"/>
      <c r="U153" s="290"/>
      <c r="V153" s="290"/>
      <c r="W153" s="290"/>
      <c r="X153" s="290"/>
      <c r="Y153" s="290"/>
      <c r="Z153" s="290"/>
      <c r="AA153" s="290"/>
    </row>
    <row r="154" spans="2:27" x14ac:dyDescent="0.25">
      <c r="B154" s="363" t="s">
        <v>176</v>
      </c>
      <c r="C154" s="290">
        <f>IF(C147="","",SUM(C149:C153))</f>
        <v>229.36957163529124</v>
      </c>
      <c r="D154" s="290">
        <f t="shared" ref="D154:AA154" si="123">IF(D147="","",SUM(D149:D153))</f>
        <v>232.1220064949147</v>
      </c>
      <c r="E154" s="290">
        <f t="shared" si="123"/>
        <v>234.90747057285373</v>
      </c>
      <c r="F154" s="290">
        <f t="shared" si="123"/>
        <v>237.72636021972795</v>
      </c>
      <c r="G154" s="290">
        <f t="shared" si="123"/>
        <v>240.5790765423647</v>
      </c>
      <c r="H154" s="290">
        <f t="shared" si="123"/>
        <v>243.46602546087308</v>
      </c>
      <c r="I154" s="290">
        <f t="shared" si="123"/>
        <v>246.38761776640359</v>
      </c>
      <c r="J154" s="290">
        <f t="shared" si="123"/>
        <v>249.34426917960042</v>
      </c>
      <c r="K154" s="290">
        <f t="shared" si="123"/>
        <v>252.33640040975561</v>
      </c>
      <c r="L154" s="290">
        <f t="shared" si="123"/>
        <v>255.36443721467271</v>
      </c>
      <c r="M154" s="290">
        <f t="shared" si="123"/>
        <v>258.42881046124882</v>
      </c>
      <c r="N154" s="290">
        <f t="shared" si="123"/>
        <v>261.52995618678381</v>
      </c>
      <c r="O154" s="290">
        <f t="shared" si="123"/>
        <v>264.66831566102513</v>
      </c>
      <c r="P154" s="290">
        <f t="shared" si="123"/>
        <v>267.84433544895751</v>
      </c>
      <c r="Q154" s="290">
        <f t="shared" si="123"/>
        <v>271.05846747434498</v>
      </c>
      <c r="R154" s="290">
        <f t="shared" si="123"/>
        <v>274.31116908403715</v>
      </c>
      <c r="S154" s="290">
        <f t="shared" si="123"/>
        <v>277.60290311304556</v>
      </c>
      <c r="T154" s="290">
        <f t="shared" si="123"/>
        <v>280.9341379504022</v>
      </c>
      <c r="U154" s="290">
        <f t="shared" si="123"/>
        <v>284.30534760580696</v>
      </c>
      <c r="V154" s="290">
        <f t="shared" si="123"/>
        <v>287.71701177707661</v>
      </c>
      <c r="W154" s="290" t="str">
        <f t="shared" si="123"/>
        <v/>
      </c>
      <c r="X154" s="290" t="str">
        <f t="shared" si="123"/>
        <v/>
      </c>
      <c r="Y154" s="290" t="str">
        <f t="shared" si="123"/>
        <v/>
      </c>
      <c r="Z154" s="290" t="str">
        <f t="shared" si="123"/>
        <v/>
      </c>
      <c r="AA154" s="290" t="str">
        <f t="shared" si="123"/>
        <v/>
      </c>
    </row>
    <row r="155" spans="2:27" x14ac:dyDescent="0.25">
      <c r="B155" s="364" t="s">
        <v>439</v>
      </c>
      <c r="C155" s="290">
        <f>Hypothèses_projet!C11</f>
        <v>700000</v>
      </c>
      <c r="D155" s="290">
        <f>IF(D$147="","",C155*(1+Hypothèses_projet!$C$14/100))</f>
        <v>708400</v>
      </c>
      <c r="E155" s="290">
        <f>IF(E$147="","",D155*(1+Hypothèses_projet!$C$14/100))</f>
        <v>716900.8</v>
      </c>
      <c r="F155" s="290">
        <f>IF(F$147="","",E155*(1+Hypothèses_projet!$C$14/100))</f>
        <v>725503.60960000008</v>
      </c>
      <c r="G155" s="290">
        <f>IF(G$147="","",F155*(1+Hypothèses_projet!$C$14/100))</f>
        <v>734209.6529152001</v>
      </c>
      <c r="H155" s="290">
        <f>IF(H$147="","",G155*(1+Hypothèses_projet!$C$14/100))</f>
        <v>743020.16875018249</v>
      </c>
      <c r="I155" s="290">
        <f>IF(I$147="","",H155*(1+Hypothèses_projet!$C$14/100))</f>
        <v>751936.41077518475</v>
      </c>
      <c r="J155" s="290">
        <f>IF(J$147="","",I155*(1+Hypothèses_projet!$C$14/100))</f>
        <v>760959.64770448697</v>
      </c>
      <c r="K155" s="290">
        <f>IF(K$147="","",J155*(1+Hypothèses_projet!$C$14/100))</f>
        <v>770091.16347694083</v>
      </c>
      <c r="L155" s="290">
        <f>IF(L$147="","",K155*(1+Hypothèses_projet!$C$14/100))</f>
        <v>779332.25743866409</v>
      </c>
      <c r="M155" s="290">
        <f>IF(M$147="","",L155*(1+Hypothèses_projet!$C$14/100))</f>
        <v>788684.24452792807</v>
      </c>
      <c r="N155" s="290">
        <f>IF(N$147="","",M155*(1+Hypothèses_projet!$C$14/100))</f>
        <v>798148.4554622632</v>
      </c>
      <c r="O155" s="290">
        <f>IF(O$147="","",N155*(1+Hypothèses_projet!$C$14/100))</f>
        <v>807726.23692781036</v>
      </c>
      <c r="P155" s="290">
        <f>IF(P$147="","",O155*(1+Hypothèses_projet!$C$14/100))</f>
        <v>817418.95177094406</v>
      </c>
      <c r="Q155" s="290">
        <f>IF(Q$147="","",P155*(1+Hypothèses_projet!$C$14/100))</f>
        <v>827227.97919219534</v>
      </c>
      <c r="R155" s="290">
        <f>IF(R$147="","",Q155*(1+Hypothèses_projet!$C$14/100))</f>
        <v>837154.71494250174</v>
      </c>
      <c r="S155" s="290">
        <f>IF(S$147="","",R155*(1+Hypothèses_projet!$C$14/100))</f>
        <v>847200.57152181177</v>
      </c>
      <c r="T155" s="290">
        <f>IF(T$147="","",S155*(1+Hypothèses_projet!$C$14/100))</f>
        <v>857366.97838007356</v>
      </c>
      <c r="U155" s="290">
        <f>IF(U$147="","",T155*(1+Hypothèses_projet!$C$14/100))</f>
        <v>867655.38212063443</v>
      </c>
      <c r="V155" s="290">
        <f>IF(V$147="","",U155*(1+Hypothèses_projet!$C$14/100))</f>
        <v>878067.24670608202</v>
      </c>
      <c r="W155" s="290" t="str">
        <f>IF(W$147="","",V155*(1+Hypothèses_projet!$C$14/100))</f>
        <v/>
      </c>
      <c r="X155" s="290" t="str">
        <f>IF(X$147="","",W155*(1+Hypothèses_projet!$C$14/100))</f>
        <v/>
      </c>
      <c r="Y155" s="290" t="str">
        <f>IF(Y$147="","",X155*(1+Hypothèses_projet!$C$14/100))</f>
        <v/>
      </c>
      <c r="Z155" s="290" t="str">
        <f>IF(Z$147="","",Y155*(1+Hypothèses_projet!$C$14/100))</f>
        <v/>
      </c>
      <c r="AA155" s="290" t="str">
        <f>IF(AA$147="","",Z155*(1+Hypothèses_projet!$C$14/100))</f>
        <v/>
      </c>
    </row>
    <row r="156" spans="2:27" x14ac:dyDescent="0.25">
      <c r="B156" s="364"/>
      <c r="C156" s="290"/>
      <c r="D156" s="290"/>
      <c r="E156" s="290"/>
      <c r="F156" s="290"/>
      <c r="G156" s="290"/>
      <c r="H156" s="290"/>
      <c r="I156" s="290"/>
      <c r="J156" s="290"/>
      <c r="K156" s="290"/>
      <c r="L156" s="290"/>
      <c r="M156" s="290"/>
      <c r="N156" s="290"/>
      <c r="O156" s="290"/>
      <c r="P156" s="290"/>
      <c r="Q156" s="290"/>
      <c r="R156" s="290"/>
      <c r="S156" s="290"/>
      <c r="T156" s="290"/>
      <c r="U156" s="290"/>
      <c r="V156" s="290"/>
      <c r="W156" s="290"/>
      <c r="X156" s="290"/>
      <c r="Y156" s="290"/>
      <c r="Z156" s="290"/>
      <c r="AA156" s="290"/>
    </row>
    <row r="157" spans="2:27" x14ac:dyDescent="0.25">
      <c r="B157" s="363" t="s">
        <v>433</v>
      </c>
      <c r="C157" s="290"/>
      <c r="D157" s="290"/>
      <c r="E157" s="290"/>
      <c r="F157" s="290"/>
      <c r="G157" s="290"/>
      <c r="H157" s="290"/>
      <c r="I157" s="290"/>
      <c r="J157" s="290"/>
      <c r="K157" s="290"/>
      <c r="L157" s="290"/>
      <c r="M157" s="290"/>
      <c r="N157" s="290"/>
      <c r="O157" s="290"/>
      <c r="P157" s="290"/>
      <c r="Q157" s="290"/>
      <c r="R157" s="290"/>
      <c r="S157" s="290"/>
      <c r="T157" s="290"/>
      <c r="U157" s="290"/>
      <c r="V157" s="290"/>
      <c r="W157" s="290"/>
      <c r="X157" s="290"/>
      <c r="Y157" s="290"/>
      <c r="Z157" s="290"/>
      <c r="AA157" s="290"/>
    </row>
    <row r="158" spans="2:27" x14ac:dyDescent="0.25">
      <c r="B158" s="364" t="s">
        <v>445</v>
      </c>
      <c r="C158" s="290">
        <f>IF(C147="","",C$168*$C$19/10^6*$E$184*$E$82*$E59/100)</f>
        <v>545.11204250935907</v>
      </c>
      <c r="D158" s="290">
        <f t="shared" ref="D158:AA158" si="124">IF(D147="","",D$168*$C$19/10^6*$E$184*$E$82*$E59/100)</f>
        <v>551.65338701947121</v>
      </c>
      <c r="E158" s="290">
        <f t="shared" si="124"/>
        <v>558.27322766370492</v>
      </c>
      <c r="F158" s="290">
        <f t="shared" si="124"/>
        <v>564.97250639566937</v>
      </c>
      <c r="G158" s="290">
        <f t="shared" si="124"/>
        <v>571.75217647241743</v>
      </c>
      <c r="H158" s="290">
        <f t="shared" si="124"/>
        <v>578.61320259008642</v>
      </c>
      <c r="I158" s="290">
        <f t="shared" si="124"/>
        <v>585.55656102116768</v>
      </c>
      <c r="J158" s="290">
        <f t="shared" si="124"/>
        <v>592.58323975342148</v>
      </c>
      <c r="K158" s="290">
        <f t="shared" si="124"/>
        <v>599.69423863046256</v>
      </c>
      <c r="L158" s="290">
        <f t="shared" si="124"/>
        <v>606.89056949402811</v>
      </c>
      <c r="M158" s="290">
        <f t="shared" si="124"/>
        <v>614.17325632795655</v>
      </c>
      <c r="N158" s="290">
        <f t="shared" si="124"/>
        <v>621.543335403892</v>
      </c>
      <c r="O158" s="290">
        <f t="shared" si="124"/>
        <v>629.00185542873874</v>
      </c>
      <c r="P158" s="290">
        <f t="shared" si="124"/>
        <v>636.54987769388356</v>
      </c>
      <c r="Q158" s="290">
        <f t="shared" si="124"/>
        <v>644.18847622621035</v>
      </c>
      <c r="R158" s="290">
        <f t="shared" si="124"/>
        <v>651.91873794092464</v>
      </c>
      <c r="S158" s="290">
        <f t="shared" si="124"/>
        <v>659.74176279621577</v>
      </c>
      <c r="T158" s="290">
        <f t="shared" si="124"/>
        <v>667.65866394977058</v>
      </c>
      <c r="U158" s="290">
        <f t="shared" si="124"/>
        <v>675.67056791716777</v>
      </c>
      <c r="V158" s="290">
        <f t="shared" si="124"/>
        <v>683.77861473217376</v>
      </c>
      <c r="W158" s="290" t="str">
        <f t="shared" si="124"/>
        <v/>
      </c>
      <c r="X158" s="290" t="str">
        <f t="shared" si="124"/>
        <v/>
      </c>
      <c r="Y158" s="290" t="str">
        <f t="shared" si="124"/>
        <v/>
      </c>
      <c r="Z158" s="290" t="str">
        <f t="shared" si="124"/>
        <v/>
      </c>
      <c r="AA158" s="290" t="str">
        <f t="shared" si="124"/>
        <v/>
      </c>
    </row>
    <row r="159" spans="2:27" x14ac:dyDescent="0.25">
      <c r="B159" s="364" t="s">
        <v>442</v>
      </c>
      <c r="C159" s="290">
        <f>IF(C147="","",C$168*$C$19/10^6*$E$179*$E$84*$E60/100)</f>
        <v>38.7881504199798</v>
      </c>
      <c r="D159" s="290">
        <f t="shared" ref="D159:AA159" si="125">IF(D147="","",D$168*$C$19/10^6*$E$179*$E$84*$E60/100)</f>
        <v>39.253608225019548</v>
      </c>
      <c r="E159" s="290">
        <f t="shared" si="125"/>
        <v>39.724651523719793</v>
      </c>
      <c r="F159" s="290">
        <f t="shared" si="125"/>
        <v>40.201347342004425</v>
      </c>
      <c r="G159" s="290">
        <f t="shared" si="125"/>
        <v>40.683763510108491</v>
      </c>
      <c r="H159" s="290">
        <f t="shared" si="125"/>
        <v>41.171968672229781</v>
      </c>
      <c r="I159" s="290">
        <f t="shared" si="125"/>
        <v>41.666032296296549</v>
      </c>
      <c r="J159" s="290">
        <f t="shared" si="125"/>
        <v>42.1660246838521</v>
      </c>
      <c r="K159" s="290">
        <f t="shared" si="125"/>
        <v>42.672016980058324</v>
      </c>
      <c r="L159" s="290">
        <f t="shared" si="125"/>
        <v>43.184081183819032</v>
      </c>
      <c r="M159" s="290">
        <f t="shared" si="125"/>
        <v>43.702290158024859</v>
      </c>
      <c r="N159" s="290">
        <f t="shared" si="125"/>
        <v>44.226717639921162</v>
      </c>
      <c r="O159" s="290">
        <f t="shared" si="125"/>
        <v>44.757438251600213</v>
      </c>
      <c r="P159" s="290">
        <f t="shared" si="125"/>
        <v>45.294527510619417</v>
      </c>
      <c r="Q159" s="290">
        <f t="shared" si="125"/>
        <v>45.83806184074686</v>
      </c>
      <c r="R159" s="290">
        <f t="shared" si="125"/>
        <v>46.388118582835816</v>
      </c>
      <c r="S159" s="290">
        <f t="shared" si="125"/>
        <v>46.944776005829844</v>
      </c>
      <c r="T159" s="290">
        <f t="shared" si="125"/>
        <v>47.508113317899806</v>
      </c>
      <c r="U159" s="290">
        <f t="shared" si="125"/>
        <v>48.078210677714608</v>
      </c>
      <c r="V159" s="290">
        <f t="shared" si="125"/>
        <v>48.655149205847174</v>
      </c>
      <c r="W159" s="290" t="str">
        <f t="shared" si="125"/>
        <v/>
      </c>
      <c r="X159" s="290" t="str">
        <f t="shared" si="125"/>
        <v/>
      </c>
      <c r="Y159" s="290" t="str">
        <f t="shared" si="125"/>
        <v/>
      </c>
      <c r="Z159" s="290" t="str">
        <f t="shared" si="125"/>
        <v/>
      </c>
      <c r="AA159" s="290" t="str">
        <f t="shared" si="125"/>
        <v/>
      </c>
    </row>
    <row r="160" spans="2:27" x14ac:dyDescent="0.25">
      <c r="B160" s="364" t="s">
        <v>446</v>
      </c>
      <c r="C160" s="290">
        <f>IF(C147="","",C$168*$C$19/10^6*$E$179*$E$85*$E61/100)</f>
        <v>193.94075209989899</v>
      </c>
      <c r="D160" s="290">
        <f t="shared" ref="D160:AA160" si="126">IF(D147="","",D$168*$C$19/10^6*$E$179*$E$85*$E61/100)</f>
        <v>196.26804112509774</v>
      </c>
      <c r="E160" s="290">
        <f t="shared" si="126"/>
        <v>198.62325761859896</v>
      </c>
      <c r="F160" s="290">
        <f t="shared" si="126"/>
        <v>201.00673671002215</v>
      </c>
      <c r="G160" s="290">
        <f t="shared" si="126"/>
        <v>203.41881755054246</v>
      </c>
      <c r="H160" s="290">
        <f t="shared" si="126"/>
        <v>205.85984336114888</v>
      </c>
      <c r="I160" s="290">
        <f t="shared" si="126"/>
        <v>208.33016148148275</v>
      </c>
      <c r="J160" s="290">
        <f t="shared" si="126"/>
        <v>210.8301234192605</v>
      </c>
      <c r="K160" s="290">
        <f t="shared" si="126"/>
        <v>213.36008490029161</v>
      </c>
      <c r="L160" s="290">
        <f t="shared" si="126"/>
        <v>215.92040591909517</v>
      </c>
      <c r="M160" s="290">
        <f t="shared" si="126"/>
        <v>218.51145079012429</v>
      </c>
      <c r="N160" s="290">
        <f t="shared" si="126"/>
        <v>221.13358819960581</v>
      </c>
      <c r="O160" s="290">
        <f t="shared" si="126"/>
        <v>223.78719125800109</v>
      </c>
      <c r="P160" s="290">
        <f t="shared" si="126"/>
        <v>226.47263755309709</v>
      </c>
      <c r="Q160" s="290">
        <f t="shared" si="126"/>
        <v>229.19030920373427</v>
      </c>
      <c r="R160" s="290">
        <f t="shared" si="126"/>
        <v>231.94059291417906</v>
      </c>
      <c r="S160" s="290">
        <f t="shared" si="126"/>
        <v>234.72388002914923</v>
      </c>
      <c r="T160" s="290">
        <f t="shared" si="126"/>
        <v>237.54056658949904</v>
      </c>
      <c r="U160" s="290">
        <f t="shared" si="126"/>
        <v>240.39105338857303</v>
      </c>
      <c r="V160" s="290">
        <f t="shared" si="126"/>
        <v>243.27574602923588</v>
      </c>
      <c r="W160" s="290" t="str">
        <f t="shared" si="126"/>
        <v/>
      </c>
      <c r="X160" s="290" t="str">
        <f t="shared" si="126"/>
        <v/>
      </c>
      <c r="Y160" s="290" t="str">
        <f t="shared" si="126"/>
        <v/>
      </c>
      <c r="Z160" s="290" t="str">
        <f t="shared" si="126"/>
        <v/>
      </c>
      <c r="AA160" s="290" t="str">
        <f t="shared" si="126"/>
        <v/>
      </c>
    </row>
    <row r="161" spans="2:27" x14ac:dyDescent="0.25">
      <c r="B161" s="364" t="s">
        <v>447</v>
      </c>
      <c r="C161" s="290">
        <f>IF(C147="","",C$168*$C$19/10^6*$E$181*$E$88/100*$E63/100)</f>
        <v>16.6234930371342</v>
      </c>
      <c r="D161" s="290">
        <f t="shared" ref="D161:AA161" si="127">IF(D147="","",D$168*$C$19/10^6*$E$181*$E$88/100*$E63/100)</f>
        <v>16.822974953579806</v>
      </c>
      <c r="E161" s="290">
        <f t="shared" si="127"/>
        <v>17.024850653022767</v>
      </c>
      <c r="F161" s="290">
        <f t="shared" si="127"/>
        <v>17.229148860859041</v>
      </c>
      <c r="G161" s="290">
        <f t="shared" si="127"/>
        <v>17.435898647189351</v>
      </c>
      <c r="H161" s="290">
        <f t="shared" si="127"/>
        <v>17.64512943095562</v>
      </c>
      <c r="I161" s="290">
        <f t="shared" si="127"/>
        <v>17.856870984127092</v>
      </c>
      <c r="J161" s="290">
        <f t="shared" si="127"/>
        <v>18.071153435936615</v>
      </c>
      <c r="K161" s="290">
        <f t="shared" si="127"/>
        <v>18.288007277167853</v>
      </c>
      <c r="L161" s="290">
        <f t="shared" si="127"/>
        <v>18.507463364493869</v>
      </c>
      <c r="M161" s="290">
        <f t="shared" si="127"/>
        <v>18.7295529248678</v>
      </c>
      <c r="N161" s="290">
        <f t="shared" si="127"/>
        <v>18.95430755996621</v>
      </c>
      <c r="O161" s="290">
        <f t="shared" si="127"/>
        <v>19.181759250685808</v>
      </c>
      <c r="P161" s="290">
        <f t="shared" si="127"/>
        <v>19.411940361694036</v>
      </c>
      <c r="Q161" s="290">
        <f t="shared" si="127"/>
        <v>19.644883646034369</v>
      </c>
      <c r="R161" s="290">
        <f t="shared" si="127"/>
        <v>19.880622249786775</v>
      </c>
      <c r="S161" s="290">
        <f t="shared" si="127"/>
        <v>20.119189716784216</v>
      </c>
      <c r="T161" s="290">
        <f t="shared" si="127"/>
        <v>20.36061999338563</v>
      </c>
      <c r="U161" s="290">
        <f t="shared" si="127"/>
        <v>20.604947433306261</v>
      </c>
      <c r="V161" s="290">
        <f t="shared" si="127"/>
        <v>20.852206802505933</v>
      </c>
      <c r="W161" s="290" t="str">
        <f t="shared" si="127"/>
        <v/>
      </c>
      <c r="X161" s="290" t="str">
        <f t="shared" si="127"/>
        <v/>
      </c>
      <c r="Y161" s="290" t="str">
        <f t="shared" si="127"/>
        <v/>
      </c>
      <c r="Z161" s="290" t="str">
        <f t="shared" si="127"/>
        <v/>
      </c>
      <c r="AA161" s="290" t="str">
        <f t="shared" si="127"/>
        <v/>
      </c>
    </row>
    <row r="162" spans="2:27" x14ac:dyDescent="0.25">
      <c r="B162" s="366" t="s">
        <v>448</v>
      </c>
      <c r="C162" s="290">
        <f>IF(C147="","",C$168*$C$19/10^6*$E$181*$E$88/100*$E64/100)</f>
        <v>16.6234930371342</v>
      </c>
      <c r="D162" s="290">
        <f t="shared" ref="D162:AA162" si="128">IF(D147="","",D$168*$C$19/10^6*$E$181*$E$88/100*$E64/100)</f>
        <v>16.822974953579806</v>
      </c>
      <c r="E162" s="290">
        <f t="shared" si="128"/>
        <v>17.024850653022767</v>
      </c>
      <c r="F162" s="290">
        <f t="shared" si="128"/>
        <v>17.229148860859041</v>
      </c>
      <c r="G162" s="290">
        <f t="shared" si="128"/>
        <v>17.435898647189351</v>
      </c>
      <c r="H162" s="290">
        <f t="shared" si="128"/>
        <v>17.64512943095562</v>
      </c>
      <c r="I162" s="290">
        <f t="shared" si="128"/>
        <v>17.856870984127092</v>
      </c>
      <c r="J162" s="290">
        <f t="shared" si="128"/>
        <v>18.071153435936615</v>
      </c>
      <c r="K162" s="290">
        <f t="shared" si="128"/>
        <v>18.288007277167853</v>
      </c>
      <c r="L162" s="290">
        <f t="shared" si="128"/>
        <v>18.507463364493869</v>
      </c>
      <c r="M162" s="290">
        <f t="shared" si="128"/>
        <v>18.7295529248678</v>
      </c>
      <c r="N162" s="290">
        <f t="shared" si="128"/>
        <v>18.95430755996621</v>
      </c>
      <c r="O162" s="290">
        <f t="shared" si="128"/>
        <v>19.181759250685808</v>
      </c>
      <c r="P162" s="290">
        <f t="shared" si="128"/>
        <v>19.411940361694036</v>
      </c>
      <c r="Q162" s="290">
        <f t="shared" si="128"/>
        <v>19.644883646034369</v>
      </c>
      <c r="R162" s="290">
        <f t="shared" si="128"/>
        <v>19.880622249786775</v>
      </c>
      <c r="S162" s="290">
        <f t="shared" si="128"/>
        <v>20.119189716784216</v>
      </c>
      <c r="T162" s="290">
        <f t="shared" si="128"/>
        <v>20.36061999338563</v>
      </c>
      <c r="U162" s="290">
        <f t="shared" si="128"/>
        <v>20.604947433306261</v>
      </c>
      <c r="V162" s="290">
        <f t="shared" si="128"/>
        <v>20.852206802505933</v>
      </c>
      <c r="W162" s="290" t="str">
        <f t="shared" si="128"/>
        <v/>
      </c>
      <c r="X162" s="290" t="str">
        <f t="shared" si="128"/>
        <v/>
      </c>
      <c r="Y162" s="290" t="str">
        <f t="shared" si="128"/>
        <v/>
      </c>
      <c r="Z162" s="290" t="str">
        <f t="shared" si="128"/>
        <v/>
      </c>
      <c r="AA162" s="290" t="str">
        <f t="shared" si="128"/>
        <v/>
      </c>
    </row>
    <row r="163" spans="2:27" x14ac:dyDescent="0.25">
      <c r="B163" s="364" t="s">
        <v>449</v>
      </c>
      <c r="C163" s="290">
        <f>IF(C147="","",C$168*$C$19/10^6*$E$189*$E$87*$E67/100)</f>
        <v>167.96654422937678</v>
      </c>
      <c r="D163" s="290">
        <f t="shared" ref="D163:AA163" si="129">IF(D147="","",D$168*$C$19/10^6*$E$189*$E$87*$E67/100)</f>
        <v>169.98214276012928</v>
      </c>
      <c r="E163" s="290">
        <f t="shared" si="129"/>
        <v>172.02192847325088</v>
      </c>
      <c r="F163" s="290">
        <f t="shared" si="129"/>
        <v>174.08619161492987</v>
      </c>
      <c r="G163" s="290">
        <f t="shared" si="129"/>
        <v>176.1752259143091</v>
      </c>
      <c r="H163" s="290">
        <f t="shared" si="129"/>
        <v>178.28932862528075</v>
      </c>
      <c r="I163" s="290">
        <f t="shared" si="129"/>
        <v>180.42880056878417</v>
      </c>
      <c r="J163" s="290">
        <f t="shared" si="129"/>
        <v>182.59394617560957</v>
      </c>
      <c r="K163" s="290">
        <f t="shared" si="129"/>
        <v>184.78507352971687</v>
      </c>
      <c r="L163" s="290">
        <f t="shared" si="129"/>
        <v>187.00249441207347</v>
      </c>
      <c r="M163" s="290">
        <f t="shared" si="129"/>
        <v>189.24652434501837</v>
      </c>
      <c r="N163" s="290">
        <f t="shared" si="129"/>
        <v>191.51748263715857</v>
      </c>
      <c r="O163" s="290">
        <f t="shared" si="129"/>
        <v>193.81569242880448</v>
      </c>
      <c r="P163" s="290">
        <f t="shared" si="129"/>
        <v>196.14148073795016</v>
      </c>
      <c r="Q163" s="290">
        <f t="shared" si="129"/>
        <v>198.49517850680562</v>
      </c>
      <c r="R163" s="290">
        <f t="shared" si="129"/>
        <v>200.8771206488872</v>
      </c>
      <c r="S163" s="290">
        <f t="shared" si="129"/>
        <v>203.28764609667385</v>
      </c>
      <c r="T163" s="290">
        <f t="shared" si="129"/>
        <v>205.727097849834</v>
      </c>
      <c r="U163" s="290">
        <f t="shared" si="129"/>
        <v>208.19582302403199</v>
      </c>
      <c r="V163" s="290">
        <f t="shared" si="129"/>
        <v>210.69417290032038</v>
      </c>
      <c r="W163" s="290" t="str">
        <f t="shared" si="129"/>
        <v/>
      </c>
      <c r="X163" s="290" t="str">
        <f t="shared" si="129"/>
        <v/>
      </c>
      <c r="Y163" s="290" t="str">
        <f t="shared" si="129"/>
        <v/>
      </c>
      <c r="Z163" s="290" t="str">
        <f t="shared" si="129"/>
        <v/>
      </c>
      <c r="AA163" s="290" t="str">
        <f t="shared" si="129"/>
        <v/>
      </c>
    </row>
    <row r="164" spans="2:27" x14ac:dyDescent="0.25">
      <c r="B164" s="364"/>
      <c r="C164" s="290"/>
      <c r="D164" s="290"/>
      <c r="E164" s="290"/>
      <c r="F164" s="290"/>
      <c r="G164" s="290"/>
      <c r="H164" s="290"/>
      <c r="I164" s="290"/>
      <c r="J164" s="290"/>
      <c r="K164" s="290"/>
      <c r="L164" s="290"/>
      <c r="M164" s="290"/>
      <c r="N164" s="290"/>
      <c r="O164" s="290"/>
      <c r="P164" s="290"/>
      <c r="Q164" s="290"/>
      <c r="R164" s="290"/>
      <c r="S164" s="290"/>
      <c r="T164" s="290"/>
      <c r="U164" s="290"/>
      <c r="V164" s="290"/>
      <c r="W164" s="290"/>
      <c r="X164" s="290"/>
      <c r="Y164" s="290"/>
      <c r="Z164" s="290"/>
      <c r="AA164" s="290"/>
    </row>
    <row r="165" spans="2:27" x14ac:dyDescent="0.25">
      <c r="B165" s="364"/>
      <c r="C165" s="290"/>
      <c r="D165" s="290"/>
      <c r="E165" s="290"/>
      <c r="F165" s="290"/>
      <c r="G165" s="290"/>
      <c r="H165" s="290"/>
      <c r="I165" s="290"/>
      <c r="J165" s="290"/>
      <c r="K165" s="290"/>
      <c r="L165" s="290"/>
      <c r="M165" s="290"/>
      <c r="N165" s="290"/>
      <c r="O165" s="290"/>
      <c r="P165" s="290"/>
      <c r="Q165" s="290"/>
      <c r="R165" s="290"/>
      <c r="S165" s="290"/>
      <c r="T165" s="290"/>
      <c r="U165" s="290"/>
      <c r="V165" s="290"/>
      <c r="W165" s="290"/>
      <c r="X165" s="290"/>
      <c r="Y165" s="290"/>
      <c r="Z165" s="290"/>
      <c r="AA165" s="290"/>
    </row>
    <row r="166" spans="2:27" x14ac:dyDescent="0.25">
      <c r="B166" s="363" t="s">
        <v>176</v>
      </c>
      <c r="C166" s="290">
        <f>IF(C147="","",SUM(C158:C165))</f>
        <v>979.05447533288293</v>
      </c>
      <c r="D166" s="290">
        <f t="shared" ref="D166:AA166" si="130">IF(D147="","",SUM(D158:D165))</f>
        <v>990.80312903687729</v>
      </c>
      <c r="E166" s="290">
        <f t="shared" si="130"/>
        <v>1002.6927665853201</v>
      </c>
      <c r="F166" s="290">
        <f t="shared" si="130"/>
        <v>1014.725079784344</v>
      </c>
      <c r="G166" s="290">
        <f t="shared" si="130"/>
        <v>1026.9017807417563</v>
      </c>
      <c r="H166" s="290">
        <f t="shared" si="130"/>
        <v>1039.2246021106571</v>
      </c>
      <c r="I166" s="290">
        <f t="shared" si="130"/>
        <v>1051.6952973359853</v>
      </c>
      <c r="J166" s="290">
        <f t="shared" si="130"/>
        <v>1064.3156409040168</v>
      </c>
      <c r="K166" s="290">
        <f t="shared" si="130"/>
        <v>1077.0874285948648</v>
      </c>
      <c r="L166" s="290">
        <f t="shared" si="130"/>
        <v>1090.0124777380036</v>
      </c>
      <c r="M166" s="290">
        <f t="shared" si="130"/>
        <v>1103.0926274708597</v>
      </c>
      <c r="N166" s="290">
        <f t="shared" si="130"/>
        <v>1116.32973900051</v>
      </c>
      <c r="O166" s="290">
        <f t="shared" si="130"/>
        <v>1129.7256958685161</v>
      </c>
      <c r="P166" s="290">
        <f t="shared" si="130"/>
        <v>1143.2824042189384</v>
      </c>
      <c r="Q166" s="290">
        <f t="shared" si="130"/>
        <v>1157.0017930695658</v>
      </c>
      <c r="R166" s="290">
        <f t="shared" si="130"/>
        <v>1170.8858145864003</v>
      </c>
      <c r="S166" s="290">
        <f t="shared" si="130"/>
        <v>1184.9364443614372</v>
      </c>
      <c r="T166" s="290">
        <f t="shared" si="130"/>
        <v>1199.1556816937746</v>
      </c>
      <c r="U166" s="290">
        <f t="shared" si="130"/>
        <v>1213.5455498741001</v>
      </c>
      <c r="V166" s="290">
        <f t="shared" si="130"/>
        <v>1228.1080964725891</v>
      </c>
      <c r="W166" s="290" t="str">
        <f t="shared" si="130"/>
        <v/>
      </c>
      <c r="X166" s="290" t="str">
        <f t="shared" si="130"/>
        <v/>
      </c>
      <c r="Y166" s="290" t="str">
        <f t="shared" si="130"/>
        <v/>
      </c>
      <c r="Z166" s="290" t="str">
        <f t="shared" si="130"/>
        <v/>
      </c>
      <c r="AA166" s="290" t="str">
        <f t="shared" si="130"/>
        <v/>
      </c>
    </row>
    <row r="167" spans="2:27" x14ac:dyDescent="0.25">
      <c r="B167" s="248" t="s">
        <v>508</v>
      </c>
      <c r="C167" s="290">
        <f>Hypothèses_projet!$C$10</f>
        <v>1500000</v>
      </c>
      <c r="D167" s="290">
        <f>IF($D$147="","",C167*(1+Hypothèses_projet!$C$14/100))</f>
        <v>1518000</v>
      </c>
      <c r="E167" s="290">
        <f>IF(E147="","",D167*(1+Hypothèses_projet!$C$14/100))</f>
        <v>1536216</v>
      </c>
      <c r="F167" s="290">
        <f>IF(F147="","",E167*(1+Hypothèses_projet!$C$14/100))</f>
        <v>1554650.5919999999</v>
      </c>
      <c r="G167" s="290">
        <f>IF(G147="","",F167*(1+Hypothèses_projet!$C$14/100))</f>
        <v>1573306.3991040001</v>
      </c>
      <c r="H167" s="290">
        <f>IF(H147="","",G167*(1+Hypothèses_projet!$C$14/100))</f>
        <v>1592186.0758932482</v>
      </c>
      <c r="I167" s="290">
        <f>IF(I147="","",H167*(1+Hypothèses_projet!$C$14/100))</f>
        <v>1611292.3088039672</v>
      </c>
      <c r="J167" s="290">
        <f>IF(J147="","",I167*(1+Hypothèses_projet!$C$14/100))</f>
        <v>1630627.8165096149</v>
      </c>
      <c r="K167" s="290">
        <f>IF(K147="","",J167*(1+Hypothèses_projet!$C$14/100))</f>
        <v>1650195.3503077303</v>
      </c>
      <c r="L167" s="290">
        <f>IF(L147="","",K167*(1+Hypothèses_projet!$C$14/100))</f>
        <v>1669997.6945114231</v>
      </c>
      <c r="M167" s="290">
        <f>IF(M147="","",L167*(1+Hypothèses_projet!$C$14/100))</f>
        <v>1690037.6668455603</v>
      </c>
      <c r="N167" s="290">
        <f>IF(N147="","",M167*(1+Hypothèses_projet!$C$14/100))</f>
        <v>1710318.1188477071</v>
      </c>
      <c r="O167" s="290">
        <f>IF(O147="","",N167*(1+Hypothèses_projet!$C$14/100))</f>
        <v>1730841.9362738796</v>
      </c>
      <c r="P167" s="290">
        <f>IF(P147="","",O167*(1+Hypothèses_projet!$C$14/100))</f>
        <v>1751612.0395091663</v>
      </c>
      <c r="Q167" s="290">
        <f>IF(Q147="","",P167*(1+Hypothèses_projet!$C$14/100))</f>
        <v>1772631.3839832763</v>
      </c>
      <c r="R167" s="290">
        <f>IF(R147="","",Q167*(1+Hypothèses_projet!$C$14/100))</f>
        <v>1793902.9605910757</v>
      </c>
      <c r="S167" s="290">
        <f>IF(S147="","",R167*(1+Hypothèses_projet!$C$14/100))</f>
        <v>1815429.7961181686</v>
      </c>
      <c r="T167" s="290">
        <f>IF(T147="","",S167*(1+Hypothèses_projet!$C$14/100))</f>
        <v>1837214.9536715867</v>
      </c>
      <c r="U167" s="290">
        <f>IF(U147="","",T167*(1+Hypothèses_projet!$C$14/100))</f>
        <v>1859261.5331156459</v>
      </c>
      <c r="V167" s="290">
        <f>IF(V147="","",U167*(1+Hypothèses_projet!$C$14/100))</f>
        <v>1881572.6715130336</v>
      </c>
      <c r="W167" s="290" t="str">
        <f>IF(W147="","",V167*(1+Hypothèses_projet!$C$14/100))</f>
        <v/>
      </c>
      <c r="X167" s="290" t="str">
        <f>IF(X147="","",W167*(1+Hypothèses_projet!$C$14/100))</f>
        <v/>
      </c>
      <c r="Y167" s="290" t="str">
        <f>IF(Y147="","",X167*(1+Hypothèses_projet!$C$14/100))</f>
        <v/>
      </c>
      <c r="Z167" s="290" t="str">
        <f>IF(Z147="","",Y167*(1+Hypothèses_projet!$C$14/100))</f>
        <v/>
      </c>
      <c r="AA167" s="290" t="str">
        <f>IF(AA147="","",Z167*(1+Hypothèses_projet!$C$14/100))</f>
        <v/>
      </c>
    </row>
    <row r="168" spans="2:27" x14ac:dyDescent="0.25">
      <c r="B168" s="248" t="s">
        <v>509</v>
      </c>
      <c r="C168" s="290">
        <f>Hypothèses_projet!$C$12</f>
        <v>300000</v>
      </c>
      <c r="D168" s="290">
        <f>IF(D147="","",C168*(1+Hypothèses_projet!$C$14/100))</f>
        <v>303600</v>
      </c>
      <c r="E168" s="290">
        <f>IF(E147="","",D168*(1+Hypothèses_projet!$C$14/100))</f>
        <v>307243.2</v>
      </c>
      <c r="F168" s="290">
        <f>IF(F147="","",E168*(1+Hypothèses_projet!$C$14/100))</f>
        <v>310930.11840000004</v>
      </c>
      <c r="G168" s="290">
        <f>IF(G147="","",F168*(1+Hypothèses_projet!$C$14/100))</f>
        <v>314661.27982080006</v>
      </c>
      <c r="H168" s="290">
        <f>IF(H147="","",G168*(1+Hypothèses_projet!$C$14/100))</f>
        <v>318437.21517864964</v>
      </c>
      <c r="I168" s="290">
        <f>IF(I147="","",H168*(1+Hypothèses_projet!$C$14/100))</f>
        <v>322258.46176079346</v>
      </c>
      <c r="J168" s="290">
        <f>IF(J147="","",I168*(1+Hypothèses_projet!$C$14/100))</f>
        <v>326125.56330192299</v>
      </c>
      <c r="K168" s="290">
        <f>IF(K147="","",J168*(1+Hypothèses_projet!$C$14/100))</f>
        <v>330039.07006154605</v>
      </c>
      <c r="L168" s="290">
        <f>IF(L147="","",K168*(1+Hypothèses_projet!$C$14/100))</f>
        <v>333999.53890228464</v>
      </c>
      <c r="M168" s="290">
        <f>IF(M147="","",L168*(1+Hypothèses_projet!$C$14/100))</f>
        <v>338007.53336911206</v>
      </c>
      <c r="N168" s="290">
        <f>IF(N147="","",M168*(1+Hypothèses_projet!$C$14/100))</f>
        <v>342063.62376954139</v>
      </c>
      <c r="O168" s="290">
        <f>IF(O147="","",N168*(1+Hypothèses_projet!$C$14/100))</f>
        <v>346168.38725477591</v>
      </c>
      <c r="P168" s="290">
        <f>IF(P147="","",O168*(1+Hypothèses_projet!$C$14/100))</f>
        <v>350322.40790183324</v>
      </c>
      <c r="Q168" s="290">
        <f>IF(Q147="","",P168*(1+Hypothèses_projet!$C$14/100))</f>
        <v>354526.27679665526</v>
      </c>
      <c r="R168" s="290">
        <f>IF(R147="","",Q168*(1+Hypothèses_projet!$C$14/100))</f>
        <v>358780.59211821511</v>
      </c>
      <c r="S168" s="290">
        <f>IF(S147="","",R168*(1+Hypothèses_projet!$C$14/100))</f>
        <v>363085.95922363369</v>
      </c>
      <c r="T168" s="290">
        <f>IF(T147="","",S168*(1+Hypothèses_projet!$C$14/100))</f>
        <v>367442.99073431728</v>
      </c>
      <c r="U168" s="290">
        <f>IF(U147="","",T168*(1+Hypothèses_projet!$C$14/100))</f>
        <v>371852.30662312912</v>
      </c>
      <c r="V168" s="290">
        <f>IF(V147="","",U168*(1+Hypothèses_projet!$C$14/100))</f>
        <v>376314.53430260665</v>
      </c>
      <c r="W168" s="290" t="str">
        <f>IF(W147="","",V168*(1+Hypothèses_projet!$C$14/100))</f>
        <v/>
      </c>
      <c r="X168" s="290" t="str">
        <f>IF(X147="","",W168*(1+Hypothèses_projet!$C$14/100))</f>
        <v/>
      </c>
      <c r="Y168" s="290" t="str">
        <f>IF(Y147="","",X168*(1+Hypothèses_projet!$C$14/100))</f>
        <v/>
      </c>
      <c r="Z168" s="290" t="str">
        <f>IF(Z147="","",Y168*(1+Hypothèses_projet!$C$14/100))</f>
        <v/>
      </c>
      <c r="AA168" s="290" t="str">
        <f>IF(AA147="","",Z168*(1+Hypothèses_projet!$C$14/100))</f>
        <v/>
      </c>
    </row>
    <row r="173" spans="2:27" x14ac:dyDescent="0.25">
      <c r="B173" s="382" t="s">
        <v>432</v>
      </c>
      <c r="C173" s="357"/>
      <c r="D173" s="357"/>
      <c r="E173" s="357" t="s">
        <v>19</v>
      </c>
      <c r="F173" s="357"/>
      <c r="G173" s="357" t="s">
        <v>4</v>
      </c>
      <c r="H173" s="357"/>
      <c r="I173" s="357" t="s">
        <v>83</v>
      </c>
      <c r="J173" s="357"/>
      <c r="K173" s="357"/>
      <c r="L173" s="357"/>
    </row>
    <row r="175" spans="2:27" x14ac:dyDescent="0.25">
      <c r="B175" s="263" t="s">
        <v>453</v>
      </c>
      <c r="C175" s="254"/>
      <c r="D175" s="254"/>
      <c r="E175" s="383">
        <v>100</v>
      </c>
      <c r="F175" s="193"/>
      <c r="G175" s="263" t="s">
        <v>1</v>
      </c>
      <c r="H175" s="193"/>
      <c r="I175" s="146" t="s">
        <v>472</v>
      </c>
    </row>
    <row r="176" spans="2:27" x14ac:dyDescent="0.25">
      <c r="B176" s="263"/>
      <c r="C176" s="254"/>
      <c r="D176" s="254"/>
      <c r="E176" s="264"/>
      <c r="F176" s="193"/>
      <c r="G176" s="263"/>
      <c r="H176" s="193"/>
    </row>
    <row r="177" spans="2:12" x14ac:dyDescent="0.25">
      <c r="B177" s="382" t="s">
        <v>433</v>
      </c>
      <c r="C177" s="357"/>
      <c r="D177" s="357"/>
      <c r="E177" s="357" t="s">
        <v>19</v>
      </c>
      <c r="F177" s="357"/>
      <c r="G177" s="357" t="s">
        <v>4</v>
      </c>
      <c r="H177" s="357"/>
      <c r="I177" s="357" t="s">
        <v>83</v>
      </c>
      <c r="J177" s="357"/>
      <c r="K177" s="357"/>
      <c r="L177" s="357"/>
    </row>
    <row r="178" spans="2:12" x14ac:dyDescent="0.25">
      <c r="B178" s="263"/>
      <c r="C178" s="254"/>
      <c r="D178" s="254"/>
      <c r="E178" s="264"/>
      <c r="F178" s="193"/>
      <c r="G178" s="263"/>
      <c r="H178" s="193"/>
    </row>
    <row r="179" spans="2:12" x14ac:dyDescent="0.25">
      <c r="B179" s="263" t="s">
        <v>510</v>
      </c>
      <c r="C179" s="254"/>
      <c r="D179" s="254"/>
      <c r="E179" s="384">
        <v>56</v>
      </c>
      <c r="F179" s="193"/>
      <c r="G179" s="263" t="s">
        <v>3</v>
      </c>
      <c r="H179" s="193"/>
      <c r="I179" s="266" t="s">
        <v>459</v>
      </c>
    </row>
    <row r="180" spans="2:12" x14ac:dyDescent="0.25">
      <c r="B180" s="263"/>
      <c r="C180" s="254"/>
      <c r="D180" s="254"/>
      <c r="E180" s="384"/>
      <c r="F180" s="193"/>
      <c r="G180" s="263"/>
      <c r="H180" s="193"/>
      <c r="I180" s="343" t="s">
        <v>460</v>
      </c>
    </row>
    <row r="181" spans="2:12" x14ac:dyDescent="0.25">
      <c r="B181" s="263" t="s">
        <v>455</v>
      </c>
      <c r="C181" s="254"/>
      <c r="D181" s="254"/>
      <c r="E181" s="384">
        <v>6</v>
      </c>
      <c r="F181" s="193"/>
      <c r="G181" s="263" t="s">
        <v>3</v>
      </c>
      <c r="H181" s="193"/>
      <c r="I181" s="266" t="s">
        <v>459</v>
      </c>
    </row>
    <row r="182" spans="2:12" x14ac:dyDescent="0.25">
      <c r="B182" s="263"/>
      <c r="C182" s="254"/>
      <c r="D182" s="254"/>
      <c r="E182" s="384"/>
      <c r="F182" s="193"/>
      <c r="G182" s="263"/>
      <c r="H182" s="193"/>
      <c r="I182" s="343" t="s">
        <v>461</v>
      </c>
    </row>
    <row r="183" spans="2:12" x14ac:dyDescent="0.25">
      <c r="B183" s="263"/>
      <c r="C183" s="254"/>
      <c r="D183" s="254"/>
      <c r="E183" s="384"/>
      <c r="F183" s="193"/>
      <c r="G183" s="263"/>
      <c r="H183" s="193"/>
      <c r="I183" s="266" t="s">
        <v>462</v>
      </c>
    </row>
    <row r="184" spans="2:12" x14ac:dyDescent="0.25">
      <c r="B184" s="263" t="s">
        <v>470</v>
      </c>
      <c r="C184" s="254"/>
      <c r="D184" s="254"/>
      <c r="E184" s="384">
        <v>157.4</v>
      </c>
      <c r="F184" s="193"/>
      <c r="G184" s="263" t="s">
        <v>3</v>
      </c>
      <c r="H184" s="193"/>
      <c r="I184" s="146" t="s">
        <v>471</v>
      </c>
    </row>
    <row r="185" spans="2:12" x14ac:dyDescent="0.25">
      <c r="B185" s="263"/>
      <c r="C185" s="254"/>
      <c r="D185" s="254"/>
      <c r="E185" s="384"/>
      <c r="F185" s="193"/>
      <c r="G185" s="263"/>
      <c r="H185" s="193"/>
      <c r="I185" s="146" t="s">
        <v>466</v>
      </c>
    </row>
    <row r="186" spans="2:12" x14ac:dyDescent="0.25">
      <c r="B186" s="263"/>
      <c r="C186" s="254"/>
      <c r="D186" s="254"/>
      <c r="E186" s="384"/>
      <c r="F186" s="193"/>
      <c r="G186" s="263"/>
      <c r="H186" s="193"/>
      <c r="I186" s="146" t="s">
        <v>467</v>
      </c>
    </row>
    <row r="187" spans="2:12" x14ac:dyDescent="0.25">
      <c r="B187" s="263"/>
      <c r="C187" s="254"/>
      <c r="D187" s="254"/>
      <c r="E187" s="384"/>
      <c r="F187" s="193"/>
      <c r="G187" s="263"/>
      <c r="H187" s="193"/>
      <c r="I187" s="146" t="s">
        <v>468</v>
      </c>
    </row>
    <row r="188" spans="2:12" x14ac:dyDescent="0.25">
      <c r="B188" s="263"/>
      <c r="C188" s="254"/>
      <c r="D188" s="254"/>
      <c r="E188" s="384"/>
      <c r="F188" s="193"/>
      <c r="G188" s="263"/>
      <c r="H188" s="193"/>
      <c r="I188" s="146" t="s">
        <v>469</v>
      </c>
    </row>
    <row r="189" spans="2:12" x14ac:dyDescent="0.25">
      <c r="B189" s="263" t="s">
        <v>454</v>
      </c>
      <c r="C189" s="254"/>
      <c r="D189" s="254"/>
      <c r="E189" s="384">
        <v>97</v>
      </c>
      <c r="F189" s="193"/>
      <c r="G189" s="263" t="s">
        <v>3</v>
      </c>
      <c r="H189" s="193"/>
      <c r="I189" s="146" t="s">
        <v>1240</v>
      </c>
    </row>
    <row r="190" spans="2:12" x14ac:dyDescent="0.25">
      <c r="B190" s="263"/>
      <c r="C190" s="254"/>
      <c r="D190" s="254"/>
      <c r="E190" s="384"/>
      <c r="F190" s="193"/>
      <c r="G190" s="263"/>
      <c r="H190" s="193"/>
      <c r="I190" s="146" t="s">
        <v>464</v>
      </c>
    </row>
    <row r="191" spans="2:12" x14ac:dyDescent="0.25">
      <c r="B191" s="263"/>
      <c r="C191" s="254"/>
      <c r="D191" s="254"/>
      <c r="E191" s="384"/>
      <c r="F191" s="193"/>
      <c r="G191" s="263"/>
      <c r="H191" s="193"/>
      <c r="I191" s="146" t="s">
        <v>465</v>
      </c>
    </row>
    <row r="193" spans="2:14" x14ac:dyDescent="0.25">
      <c r="B193" s="263" t="s">
        <v>451</v>
      </c>
      <c r="C193" s="254"/>
      <c r="D193" s="254"/>
      <c r="E193" s="385">
        <v>2.5</v>
      </c>
      <c r="F193" s="193"/>
      <c r="G193" s="263"/>
      <c r="H193" s="193"/>
      <c r="I193" s="266" t="s">
        <v>462</v>
      </c>
    </row>
    <row r="194" spans="2:14" x14ac:dyDescent="0.25">
      <c r="B194" s="263" t="s">
        <v>452</v>
      </c>
      <c r="C194" s="254"/>
      <c r="D194" s="254"/>
      <c r="E194" s="385">
        <v>8</v>
      </c>
      <c r="F194" s="193"/>
      <c r="G194" s="263"/>
      <c r="H194" s="193"/>
      <c r="I194" s="146" t="s">
        <v>463</v>
      </c>
    </row>
    <row r="195" spans="2:14" x14ac:dyDescent="0.25">
      <c r="B195" s="263"/>
      <c r="C195" s="254"/>
      <c r="D195" s="254"/>
      <c r="E195" s="385"/>
      <c r="F195" s="193"/>
      <c r="G195" s="263"/>
      <c r="H195" s="193"/>
    </row>
    <row r="196" spans="2:14" hidden="1" x14ac:dyDescent="0.25">
      <c r="B196" s="263" t="s">
        <v>31</v>
      </c>
      <c r="C196" s="254"/>
      <c r="D196" s="254"/>
      <c r="E196" s="386">
        <v>5.7000000000000002E-2</v>
      </c>
      <c r="F196" s="193"/>
      <c r="G196" s="263" t="s">
        <v>2</v>
      </c>
      <c r="H196" s="193"/>
      <c r="I196" s="255" t="s">
        <v>168</v>
      </c>
    </row>
    <row r="197" spans="2:14" hidden="1" x14ac:dyDescent="0.25">
      <c r="B197" s="263" t="s">
        <v>457</v>
      </c>
      <c r="C197" s="254"/>
      <c r="D197" s="254"/>
      <c r="E197" s="387">
        <f>0.000000000072*10^9*8</f>
        <v>0.57599999999999996</v>
      </c>
      <c r="F197" s="193"/>
      <c r="G197" s="263" t="s">
        <v>2</v>
      </c>
      <c r="H197" s="193"/>
      <c r="I197" s="388" t="s">
        <v>456</v>
      </c>
      <c r="J197" s="388"/>
      <c r="K197" s="388"/>
      <c r="L197" s="388"/>
      <c r="M197" s="388"/>
      <c r="N197" s="388"/>
    </row>
    <row r="198" spans="2:14" hidden="1" x14ac:dyDescent="0.25">
      <c r="B198" s="389" t="s">
        <v>228</v>
      </c>
      <c r="C198" s="50"/>
      <c r="D198" s="50"/>
      <c r="E198" s="390">
        <v>10</v>
      </c>
      <c r="F198" s="50"/>
      <c r="G198" s="210" t="s">
        <v>1</v>
      </c>
      <c r="H198" s="50"/>
      <c r="I198" s="50" t="s">
        <v>310</v>
      </c>
    </row>
    <row r="199" spans="2:14" x14ac:dyDescent="0.25">
      <c r="B199" s="389"/>
      <c r="C199" s="50"/>
      <c r="D199" s="50"/>
      <c r="E199" s="390"/>
      <c r="F199" s="50"/>
      <c r="G199" s="210"/>
      <c r="H199" s="50"/>
      <c r="I199" s="50"/>
    </row>
  </sheetData>
  <mergeCells count="7">
    <mergeCell ref="C2:J4"/>
    <mergeCell ref="B2:B4"/>
    <mergeCell ref="B56:I57"/>
    <mergeCell ref="I197:N197"/>
    <mergeCell ref="B24:F24"/>
    <mergeCell ref="B104:D104"/>
    <mergeCell ref="B142:L142"/>
  </mergeCells>
  <conditionalFormatting sqref="I197 I181:I182">
    <cfRule type="expression" dxfId="12" priority="6">
      <formula>MOD(ROW(),2)</formula>
    </cfRule>
  </conditionalFormatting>
  <conditionalFormatting sqref="I179:I180">
    <cfRule type="expression" dxfId="11" priority="5">
      <formula>MOD(ROW(),2)</formula>
    </cfRule>
  </conditionalFormatting>
  <conditionalFormatting sqref="W184 W186">
    <cfRule type="expression" dxfId="10" priority="1">
      <formula>MOD(ROW(),2)</formula>
    </cfRule>
  </conditionalFormatting>
  <conditionalFormatting sqref="W184 W186">
    <cfRule type="expression" dxfId="9" priority="2">
      <formula>MOD(ROW(),2)</formula>
    </cfRule>
  </conditionalFormatting>
  <hyperlinks>
    <hyperlink ref="I100" r:id="rId1"/>
    <hyperlink ref="I102" r:id="rId2"/>
    <hyperlink ref="I101" r:id="rId3"/>
    <hyperlink ref="I106" r:id="rId4"/>
    <hyperlink ref="I105" r:id="rId5"/>
    <hyperlink ref="I114" r:id="rId6"/>
    <hyperlink ref="I116" r:id="rId7"/>
    <hyperlink ref="I115" r:id="rId8"/>
    <hyperlink ref="I118" r:id="rId9"/>
    <hyperlink ref="I120" r:id="rId10"/>
    <hyperlink ref="I119" r:id="rId11"/>
    <hyperlink ref="I123" r:id="rId12"/>
    <hyperlink ref="I124" r:id="rId13"/>
    <hyperlink ref="I125" r:id="rId14"/>
    <hyperlink ref="I127" r:id="rId15"/>
    <hyperlink ref="I128" r:id="rId16"/>
    <hyperlink ref="I129" r:id="rId17"/>
    <hyperlink ref="I135" r:id="rId18"/>
    <hyperlink ref="I136" r:id="rId19"/>
    <hyperlink ref="I110" r:id="rId20"/>
    <hyperlink ref="I109" r:id="rId21"/>
    <hyperlink ref="I108" r:id="rId22"/>
    <hyperlink ref="I104" r:id="rId23"/>
  </hyperlinks>
  <pageMargins left="0.7" right="0.7" top="0.75" bottom="0.75" header="0.3" footer="0.3"/>
  <pageSetup paperSize="9" orientation="portrait" horizontalDpi="300" verticalDpi="0" r:id="rId2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2:Q369"/>
  <sheetViews>
    <sheetView showGridLines="0" zoomScaleNormal="100" workbookViewId="0"/>
  </sheetViews>
  <sheetFormatPr baseColWidth="10" defaultColWidth="11.5703125" defaultRowHeight="15" x14ac:dyDescent="0.25"/>
  <cols>
    <col min="1" max="1" width="15.85546875" style="86" customWidth="1"/>
    <col min="2" max="2" width="114.85546875" style="146" bestFit="1" customWidth="1"/>
    <col min="3" max="3" width="30.42578125" style="146" customWidth="1"/>
    <col min="4" max="12" width="16.5703125" style="146" customWidth="1"/>
    <col min="13" max="16384" width="11.5703125" style="146"/>
  </cols>
  <sheetData>
    <row r="2" spans="2:13" x14ac:dyDescent="0.25">
      <c r="B2" s="305" t="s">
        <v>1200</v>
      </c>
      <c r="C2" s="193"/>
    </row>
    <row r="3" spans="2:13" x14ac:dyDescent="0.25">
      <c r="B3" s="201" t="s">
        <v>833</v>
      </c>
      <c r="C3" s="301" t="str">
        <f>Hypothèses_projet!$C$2</f>
        <v>Colombia</v>
      </c>
    </row>
    <row r="4" spans="2:13" x14ac:dyDescent="0.25">
      <c r="B4" s="201" t="s">
        <v>882</v>
      </c>
      <c r="C4" s="203">
        <f>INDEX(FE_par_pays!$A$8:$F$242,MATCH(C3,FE_par_pays!$A$8:$A$242,0),5)</f>
        <v>230.88184773797497</v>
      </c>
      <c r="D4" s="199"/>
      <c r="E4" s="199" t="s">
        <v>159</v>
      </c>
      <c r="F4" s="199"/>
      <c r="G4" s="149" t="s">
        <v>834</v>
      </c>
    </row>
    <row r="7" spans="2:13" x14ac:dyDescent="0.25">
      <c r="B7" s="306" t="s">
        <v>1334</v>
      </c>
      <c r="C7" s="306"/>
      <c r="D7" s="306"/>
      <c r="E7" s="306"/>
      <c r="F7" s="306"/>
    </row>
    <row r="8" spans="2:13" x14ac:dyDescent="0.25">
      <c r="B8" s="306"/>
      <c r="C8" s="306"/>
      <c r="D8" s="306"/>
      <c r="E8" s="306"/>
      <c r="F8" s="306"/>
    </row>
    <row r="9" spans="2:13" x14ac:dyDescent="0.25">
      <c r="B9" s="280"/>
      <c r="C9" s="280"/>
      <c r="D9" s="280"/>
      <c r="E9" s="280"/>
      <c r="F9" s="280"/>
    </row>
    <row r="11" spans="2:13" x14ac:dyDescent="0.25">
      <c r="B11" s="146" t="s">
        <v>883</v>
      </c>
      <c r="C11" s="281" t="str">
        <f>'Resultats généraux'!B64</f>
        <v>Scénario 5G sélective</v>
      </c>
    </row>
    <row r="12" spans="2:13" x14ac:dyDescent="0.25">
      <c r="C12" s="146" t="s">
        <v>8</v>
      </c>
      <c r="D12" s="307">
        <f>Hypothèses_projet!$C$3</f>
        <v>2021</v>
      </c>
      <c r="E12" s="178">
        <f>D12+1</f>
        <v>2022</v>
      </c>
      <c r="F12" s="178">
        <f t="shared" ref="F12:M12" si="0">E12+1</f>
        <v>2023</v>
      </c>
      <c r="G12" s="178">
        <f t="shared" si="0"/>
        <v>2024</v>
      </c>
      <c r="H12" s="178">
        <f t="shared" si="0"/>
        <v>2025</v>
      </c>
      <c r="I12" s="178">
        <f t="shared" si="0"/>
        <v>2026</v>
      </c>
      <c r="J12" s="178">
        <f t="shared" si="0"/>
        <v>2027</v>
      </c>
      <c r="K12" s="178">
        <f t="shared" si="0"/>
        <v>2028</v>
      </c>
      <c r="L12" s="178">
        <f t="shared" si="0"/>
        <v>2029</v>
      </c>
      <c r="M12" s="178">
        <f t="shared" si="0"/>
        <v>2030</v>
      </c>
    </row>
    <row r="13" spans="2:13" x14ac:dyDescent="0.25">
      <c r="B13" s="244" t="str">
        <f>'Resultats généraux'!A67</f>
        <v>OUI</v>
      </c>
      <c r="C13" s="205" t="s">
        <v>870</v>
      </c>
      <c r="D13" s="206">
        <f>SUM(D16:D20)</f>
        <v>0</v>
      </c>
      <c r="E13" s="206">
        <f t="shared" ref="E13:M13" si="1">SUM(E16:E20)</f>
        <v>26151.486068669557</v>
      </c>
      <c r="F13" s="206">
        <f t="shared" si="1"/>
        <v>52881.855745907538</v>
      </c>
      <c r="G13" s="206">
        <f t="shared" si="1"/>
        <v>77676.553554184575</v>
      </c>
      <c r="H13" s="206">
        <f t="shared" si="1"/>
        <v>95364.356658113786</v>
      </c>
      <c r="I13" s="206">
        <f t="shared" si="1"/>
        <v>110977.17466247962</v>
      </c>
      <c r="J13" s="206">
        <f t="shared" si="1"/>
        <v>121883.38991729097</v>
      </c>
      <c r="K13" s="206">
        <f t="shared" si="1"/>
        <v>130650.94541617483</v>
      </c>
      <c r="L13" s="206">
        <f t="shared" si="1"/>
        <v>137287.92656401009</v>
      </c>
      <c r="M13" s="206">
        <f t="shared" si="1"/>
        <v>579487.05539788993</v>
      </c>
    </row>
    <row r="14" spans="2:13" x14ac:dyDescent="0.25">
      <c r="D14" s="284"/>
      <c r="E14" s="284"/>
      <c r="F14" s="284"/>
      <c r="G14" s="284"/>
      <c r="H14" s="284"/>
      <c r="I14" s="284"/>
      <c r="J14" s="284"/>
      <c r="K14" s="284"/>
      <c r="L14" s="284"/>
      <c r="M14" s="284"/>
    </row>
    <row r="15" spans="2:13" x14ac:dyDescent="0.25">
      <c r="B15" s="207" t="s">
        <v>1310</v>
      </c>
      <c r="D15" s="284"/>
      <c r="E15" s="284"/>
      <c r="F15" s="284"/>
      <c r="G15" s="284"/>
      <c r="H15" s="284"/>
      <c r="I15" s="284"/>
      <c r="J15" s="284"/>
      <c r="K15" s="284"/>
      <c r="L15" s="284"/>
      <c r="M15" s="284"/>
    </row>
    <row r="16" spans="2:13" x14ac:dyDescent="0.25">
      <c r="B16" s="244" t="str">
        <f>'Resultats généraux'!A70</f>
        <v>OUI</v>
      </c>
      <c r="C16" s="208" t="s">
        <v>885</v>
      </c>
      <c r="D16" s="206">
        <f>IF($B16="OUI",IF($C$11="Scénario 5G sélective",'Extension 5G'!C71,'Extension 5G'!C72),0)</f>
        <v>0</v>
      </c>
      <c r="E16" s="206">
        <f>IF($B16="OUI",IF($C$11="Scénario 5G sélective",'Extension 5G'!D71,'Extension 5G'!D72),0)</f>
        <v>0</v>
      </c>
      <c r="F16" s="206">
        <f>IF($B16="OUI",IF($C$11="Scénario 5G sélective",'Extension 5G'!E71,'Extension 5G'!E72),0)</f>
        <v>0</v>
      </c>
      <c r="G16" s="206">
        <f>IF($B16="OUI",IF($C$11="Scénario 5G sélective",'Extension 5G'!F71,'Extension 5G'!F72),0)</f>
        <v>0</v>
      </c>
      <c r="H16" s="206">
        <f>IF($B16="OUI",IF($C$11="Scénario 5G sélective",'Extension 5G'!G71,'Extension 5G'!G72),0)</f>
        <v>0</v>
      </c>
      <c r="I16" s="206">
        <f>IF($B16="OUI",IF($C$11="Scénario 5G sélective",'Extension 5G'!H71,'Extension 5G'!H72),0)</f>
        <v>0</v>
      </c>
      <c r="J16" s="206">
        <f>IF($B16="OUI",IF($C$11="Scénario 5G sélective",'Extension 5G'!I71,'Extension 5G'!I72),0)</f>
        <v>0</v>
      </c>
      <c r="K16" s="206">
        <f>IF($B16="OUI",IF($C$11="Scénario 5G sélective",'Extension 5G'!J71,'Extension 5G'!J72),0)</f>
        <v>0</v>
      </c>
      <c r="L16" s="206">
        <f>IF($B16="OUI",IF($C$11="Scénario 5G sélective",'Extension 5G'!K71,'Extension 5G'!K72),0)</f>
        <v>0</v>
      </c>
      <c r="M16" s="206">
        <f>IF($B16="OUI",IF($C$11="Scénario 5G sélective",'Extension 5G'!L71,'Extension 5G'!L72),0)</f>
        <v>434981.21273875708</v>
      </c>
    </row>
    <row r="17" spans="1:13" x14ac:dyDescent="0.25">
      <c r="B17" s="244" t="str">
        <f>'Resultats généraux'!A71</f>
        <v>OUI</v>
      </c>
      <c r="C17" s="208" t="s">
        <v>871</v>
      </c>
      <c r="D17" s="206">
        <f>IF($B17="OUI",IF($C$11="Scénario 5G sélective",'Extension 5G'!C167,'Extension 5G'!C168),0)</f>
        <v>0</v>
      </c>
      <c r="E17" s="206">
        <f>IF($B17="OUI",IF($C$11="Scénario 5G sélective",'Extension 5G'!D167,'Extension 5G'!D168),0)</f>
        <v>427.32077554035533</v>
      </c>
      <c r="F17" s="206">
        <f>IF($B17="OUI",IF($C$11="Scénario 5G sélective",'Extension 5G'!E167,'Extension 5G'!E168),0)</f>
        <v>855.04058018502076</v>
      </c>
      <c r="G17" s="206">
        <f>IF($B17="OUI",IF($C$11="Scénario 5G sélective",'Extension 5G'!F167,'Extension 5G'!F168),0)</f>
        <v>1240.453142660489</v>
      </c>
      <c r="H17" s="206">
        <f>IF($B17="OUI",IF($C$11="Scénario 5G sélective",'Extension 5G'!G167,'Extension 5G'!G168),0)</f>
        <v>1498.0410741889468</v>
      </c>
      <c r="I17" s="206">
        <f>IF($B17="OUI",IF($C$11="Scénario 5G sélective",'Extension 5G'!H167,'Extension 5G'!H168),0)</f>
        <v>1713.1295961226981</v>
      </c>
      <c r="J17" s="206">
        <f>IF($B17="OUI",IF($C$11="Scénario 5G sélective",'Extension 5G'!I167,'Extension 5G'!I168),0)</f>
        <v>1842.8890512685316</v>
      </c>
      <c r="K17" s="206">
        <f>IF($B17="OUI",IF($C$11="Scénario 5G sélective",'Extension 5G'!J167,'Extension 5G'!J168),0)</f>
        <v>1929.9910151240445</v>
      </c>
      <c r="L17" s="206">
        <f>IF($B17="OUI",IF($C$11="Scénario 5G sélective",'Extension 5G'!K167,'Extension 5G'!K168),0)</f>
        <v>1974.3750343959412</v>
      </c>
      <c r="M17" s="206">
        <f>IF($B17="OUI",IF($C$11="Scénario 5G sélective",'Extension 5G'!L167,'Extension 5G'!L168),0)</f>
        <v>2018.8133026611147</v>
      </c>
    </row>
    <row r="18" spans="1:13" x14ac:dyDescent="0.25">
      <c r="B18" s="244" t="str">
        <f>'Resultats généraux'!A72</f>
        <v>OUI</v>
      </c>
      <c r="C18" s="208" t="s">
        <v>886</v>
      </c>
      <c r="D18" s="206">
        <f>IF($B18="OUI",IF($C$11="Scénario 5G sélective",'Extension 5G'!C275,'Extension 5G'!C276),0)</f>
        <v>0</v>
      </c>
      <c r="E18" s="206">
        <f>IF($B18="OUI",IF($C$11="Scénario 5G sélective",'Extension 5G'!D275,'Extension 5G'!D276),0)</f>
        <v>25304.803190346563</v>
      </c>
      <c r="F18" s="206">
        <f>IF($B18="OUI",IF($C$11="Scénario 5G sélective",'Extension 5G'!E275,'Extension 5G'!E276),0)</f>
        <v>51062.28232932245</v>
      </c>
      <c r="G18" s="206">
        <f>IF($B18="OUI",IF($C$11="Scénario 5G sélective",'Extension 5G'!F275,'Extension 5G'!F276),0)</f>
        <v>74771.232863477009</v>
      </c>
      <c r="H18" s="206">
        <f>IF($B18="OUI",IF($C$11="Scénario 5G sélective",'Extension 5G'!G275,'Extension 5G'!G276),0)</f>
        <v>91310.303567464667</v>
      </c>
      <c r="I18" s="206">
        <f>IF($B18="OUI",IF($C$11="Scénario 5G sélective",'Extension 5G'!H275,'Extension 5G'!H276),0)</f>
        <v>105582.84259192065</v>
      </c>
      <c r="J18" s="206">
        <f>IF($B18="OUI",IF($C$11="Scénario 5G sélective",'Extension 5G'!I275,'Extension 5G'!I276),0)</f>
        <v>114947.67103654645</v>
      </c>
      <c r="K18" s="206">
        <f>IF($B18="OUI",IF($C$11="Scénario 5G sélective",'Extension 5G'!J275,'Extension 5G'!J276),0)</f>
        <v>121866.63305951189</v>
      </c>
      <c r="L18" s="206">
        <f>IF($B18="OUI",IF($C$11="Scénario 5G sélective",'Extension 5G'!K275,'Extension 5G'!K276),0)</f>
        <v>126271.14781898298</v>
      </c>
      <c r="M18" s="206">
        <f>IF($B18="OUI",IF($C$11="Scénario 5G sélective",'Extension 5G'!L275,'Extension 5G'!L276),0)</f>
        <v>130737.20499285133</v>
      </c>
    </row>
    <row r="19" spans="1:13" ht="21.95" customHeight="1" x14ac:dyDescent="0.25">
      <c r="B19" s="244" t="str">
        <f>'Resultats généraux'!A73</f>
        <v>OUI</v>
      </c>
      <c r="C19" s="208" t="s">
        <v>887</v>
      </c>
      <c r="D19" s="206">
        <f>IF($B19="OUI",IF($C$11="Scénario 5G sélective",'Extension 5G'!C335,'Extension 5G'!C336),0)</f>
        <v>0</v>
      </c>
      <c r="E19" s="206">
        <f>IF($B19="OUI",IF($C$11="Scénario 5G sélective",'Extension 5G'!D335,'Extension 5G'!D336),0)</f>
        <v>64.517246581944164</v>
      </c>
      <c r="F19" s="206">
        <f>IF($B19="OUI",IF($C$11="Scénario 5G sélective",'Extension 5G'!E335,'Extension 5G'!E336),0)</f>
        <v>148.38966713847151</v>
      </c>
      <c r="G19" s="206">
        <f>IF($B19="OUI",IF($C$11="Scénario 5G sélective",'Extension 5G'!F335,'Extension 5G'!F336),0)</f>
        <v>256.13346893031826</v>
      </c>
      <c r="H19" s="206">
        <f>IF($B19="OUI",IF($C$11="Scénario 5G sélective",'Extension 5G'!G335,'Extension 5G'!G336),0)</f>
        <v>393.23261791694972</v>
      </c>
      <c r="I19" s="206">
        <f>IF($B19="OUI",IF($C$11="Scénario 5G sélective",'Extension 5G'!H335,'Extension 5G'!H336),0)</f>
        <v>566.33884222096412</v>
      </c>
      <c r="J19" s="206">
        <f>IF($B19="OUI",IF($C$11="Scénario 5G sélective",'Extension 5G'!I335,'Extension 5G'!I336),0)</f>
        <v>783.51228145784376</v>
      </c>
      <c r="K19" s="206">
        <f>IF($B19="OUI",IF($C$11="Scénario 5G sélective",'Extension 5G'!J335,'Extension 5G'!J336),0)</f>
        <v>1054.5109756213683</v>
      </c>
      <c r="L19" s="206">
        <f>IF($B19="OUI",IF($C$11="Scénario 5G sélective",'Extension 5G'!K335,'Extension 5G'!K336),0)</f>
        <v>1391.1390324047932</v>
      </c>
      <c r="M19" s="206">
        <f>IF($B19="OUI",IF($C$11="Scénario 5G sélective",'Extension 5G'!L335,'Extension 5G'!L336),0)</f>
        <v>1807.6652867108182</v>
      </c>
    </row>
    <row r="20" spans="1:13" ht="20.45" customHeight="1" x14ac:dyDescent="0.25">
      <c r="B20" s="244" t="str">
        <f>'Resultats généraux'!A74</f>
        <v>OUI</v>
      </c>
      <c r="C20" s="208" t="s">
        <v>888</v>
      </c>
      <c r="D20" s="206">
        <f>IF($B20="OUI",IF($C$11="Scénario 5G sélective",'Extension 5G'!C365,'Extension 5G'!C366),0)</f>
        <v>0</v>
      </c>
      <c r="E20" s="206">
        <f>IF($B20="OUI",IF($C$11="Scénario 5G sélective",'Extension 5G'!D365,'Extension 5G'!D366),0)</f>
        <v>354.8448562006929</v>
      </c>
      <c r="F20" s="206">
        <f>IF($B20="OUI",IF($C$11="Scénario 5G sélective",'Extension 5G'!E365,'Extension 5G'!E366),0)</f>
        <v>816.14316926159427</v>
      </c>
      <c r="G20" s="206">
        <f>IF($B20="OUI",IF($C$11="Scénario 5G sélective",'Extension 5G'!F365,'Extension 5G'!F366),0)</f>
        <v>1408.7340791167517</v>
      </c>
      <c r="H20" s="206">
        <f>IF($B20="OUI",IF($C$11="Scénario 5G sélective",'Extension 5G'!G365,'Extension 5G'!G366),0)</f>
        <v>2162.7793985432245</v>
      </c>
      <c r="I20" s="206">
        <f>IF($B20="OUI",IF($C$11="Scénario 5G sélective",'Extension 5G'!H365,'Extension 5G'!H366),0)</f>
        <v>3114.8636322153043</v>
      </c>
      <c r="J20" s="206">
        <f>IF($B20="OUI",IF($C$11="Scénario 5G sélective",'Extension 5G'!I365,'Extension 5G'!I366),0)</f>
        <v>4309.3175480181435</v>
      </c>
      <c r="K20" s="206">
        <f>IF($B20="OUI",IF($C$11="Scénario 5G sélective",'Extension 5G'!J365,'Extension 5G'!J366),0)</f>
        <v>5799.8103659175276</v>
      </c>
      <c r="L20" s="206">
        <f>IF($B20="OUI",IF($C$11="Scénario 5G sélective",'Extension 5G'!K365,'Extension 5G'!K366),0)</f>
        <v>7651.2646782263646</v>
      </c>
      <c r="M20" s="206">
        <f>IF($B20="OUI",IF($C$11="Scénario 5G sélective",'Extension 5G'!L365,'Extension 5G'!L366),0)</f>
        <v>9942.1590769095001</v>
      </c>
    </row>
    <row r="21" spans="1:13" x14ac:dyDescent="0.25">
      <c r="B21" s="280"/>
      <c r="C21" s="280"/>
      <c r="D21" s="280"/>
      <c r="E21" s="280"/>
      <c r="F21" s="280"/>
    </row>
    <row r="22" spans="1:13" ht="128.44999999999999" customHeight="1" x14ac:dyDescent="0.25">
      <c r="B22" s="129" t="s">
        <v>889</v>
      </c>
      <c r="C22" s="280"/>
      <c r="D22" s="280"/>
      <c r="E22" s="280"/>
      <c r="F22" s="280"/>
    </row>
    <row r="23" spans="1:13" x14ac:dyDescent="0.25">
      <c r="C23" s="193"/>
    </row>
    <row r="24" spans="1:13" s="199" customFormat="1" x14ac:dyDescent="0.25">
      <c r="B24" s="308" t="s">
        <v>26</v>
      </c>
      <c r="C24" s="308">
        <f>Hypothèses_projet!$C$3</f>
        <v>2021</v>
      </c>
      <c r="D24" s="308">
        <f>C24+1</f>
        <v>2022</v>
      </c>
      <c r="E24" s="308">
        <f t="shared" ref="E24:L24" si="2">D24+1</f>
        <v>2023</v>
      </c>
      <c r="F24" s="308">
        <f t="shared" si="2"/>
        <v>2024</v>
      </c>
      <c r="G24" s="308">
        <f t="shared" si="2"/>
        <v>2025</v>
      </c>
      <c r="H24" s="308">
        <f t="shared" si="2"/>
        <v>2026</v>
      </c>
      <c r="I24" s="308">
        <f t="shared" si="2"/>
        <v>2027</v>
      </c>
      <c r="J24" s="308">
        <f t="shared" si="2"/>
        <v>2028</v>
      </c>
      <c r="K24" s="308">
        <f t="shared" si="2"/>
        <v>2029</v>
      </c>
      <c r="L24" s="308">
        <f t="shared" si="2"/>
        <v>2030</v>
      </c>
    </row>
    <row r="25" spans="1:13" s="199" customFormat="1" x14ac:dyDescent="0.25">
      <c r="B25" s="214" t="s">
        <v>157</v>
      </c>
      <c r="C25" s="215">
        <f>C68+C164+C272+C332+C362</f>
        <v>4193.6210278263761</v>
      </c>
      <c r="D25" s="215">
        <f t="shared" ref="D25:L27" si="3">D68+D164+D272+D332+D362</f>
        <v>8089.591150928085</v>
      </c>
      <c r="E25" s="215">
        <f t="shared" si="3"/>
        <v>12028.200356687965</v>
      </c>
      <c r="F25" s="215">
        <f t="shared" si="3"/>
        <v>15666.026920740595</v>
      </c>
      <c r="G25" s="215">
        <f t="shared" si="3"/>
        <v>18312.268453363125</v>
      </c>
      <c r="H25" s="215">
        <f t="shared" si="3"/>
        <v>20667.076114306179</v>
      </c>
      <c r="I25" s="215">
        <f t="shared" si="3"/>
        <v>22388.19892884342</v>
      </c>
      <c r="J25" s="215">
        <f t="shared" si="3"/>
        <v>23829.331007817505</v>
      </c>
      <c r="K25" s="215">
        <f t="shared" si="3"/>
        <v>24997.11973398802</v>
      </c>
      <c r="L25" s="215">
        <f t="shared" si="3"/>
        <v>26246.72582747478</v>
      </c>
    </row>
    <row r="26" spans="1:13" s="199" customFormat="1" x14ac:dyDescent="0.25">
      <c r="B26" s="286" t="s">
        <v>890</v>
      </c>
      <c r="C26" s="215">
        <f>C69+C165+C273+C333+C363</f>
        <v>4193.6210278263761</v>
      </c>
      <c r="D26" s="215">
        <f t="shared" si="3"/>
        <v>34241.077219597646</v>
      </c>
      <c r="E26" s="215">
        <f t="shared" si="3"/>
        <v>64910.056102595496</v>
      </c>
      <c r="F26" s="215">
        <f t="shared" si="3"/>
        <v>93342.580474925155</v>
      </c>
      <c r="G26" s="215">
        <f t="shared" si="3"/>
        <v>113676.62511147693</v>
      </c>
      <c r="H26" s="215">
        <f t="shared" si="3"/>
        <v>131644.2507767858</v>
      </c>
      <c r="I26" s="215">
        <f t="shared" si="3"/>
        <v>144271.5888461344</v>
      </c>
      <c r="J26" s="215">
        <f t="shared" si="3"/>
        <v>154480.27642399236</v>
      </c>
      <c r="K26" s="215">
        <f t="shared" si="3"/>
        <v>162285.04629799808</v>
      </c>
      <c r="L26" s="215">
        <f>L69+L165+L273+L333+L363</f>
        <v>605733.78122536466</v>
      </c>
    </row>
    <row r="27" spans="1:13" s="199" customFormat="1" x14ac:dyDescent="0.25">
      <c r="B27" s="286" t="s">
        <v>891</v>
      </c>
      <c r="C27" s="215">
        <f>C70+C166+C274+C334+C364</f>
        <v>4193.6210278263761</v>
      </c>
      <c r="D27" s="215">
        <f t="shared" si="3"/>
        <v>109749.94794574642</v>
      </c>
      <c r="E27" s="215">
        <f t="shared" si="3"/>
        <v>215704.78692756803</v>
      </c>
      <c r="F27" s="215">
        <f t="shared" si="3"/>
        <v>311742.90537924512</v>
      </c>
      <c r="G27" s="215">
        <f t="shared" si="3"/>
        <v>377149.03821325069</v>
      </c>
      <c r="H27" s="215">
        <f t="shared" si="3"/>
        <v>432966.846706293</v>
      </c>
      <c r="I27" s="215">
        <f t="shared" si="3"/>
        <v>469010.11173469044</v>
      </c>
      <c r="J27" s="215">
        <f t="shared" si="3"/>
        <v>496028.85003479221</v>
      </c>
      <c r="K27" s="215">
        <f t="shared" si="3"/>
        <v>514440.27380705654</v>
      </c>
      <c r="L27" s="215">
        <f t="shared" si="3"/>
        <v>2227286.2709766179</v>
      </c>
    </row>
    <row r="28" spans="1:13" x14ac:dyDescent="0.25">
      <c r="A28" s="146"/>
      <c r="B28" s="286" t="s">
        <v>892</v>
      </c>
      <c r="C28" s="215">
        <f>C26-C25</f>
        <v>0</v>
      </c>
      <c r="D28" s="215">
        <f t="shared" ref="D28:L28" si="4">D26-D25</f>
        <v>26151.486068669561</v>
      </c>
      <c r="E28" s="215">
        <f t="shared" si="4"/>
        <v>52881.855745907531</v>
      </c>
      <c r="F28" s="215">
        <f t="shared" si="4"/>
        <v>77676.55355418456</v>
      </c>
      <c r="G28" s="215">
        <f t="shared" si="4"/>
        <v>95364.3566581138</v>
      </c>
      <c r="H28" s="215">
        <f t="shared" si="4"/>
        <v>110977.17466247962</v>
      </c>
      <c r="I28" s="215">
        <f t="shared" si="4"/>
        <v>121883.38991729097</v>
      </c>
      <c r="J28" s="215">
        <f t="shared" si="4"/>
        <v>130650.94541617486</v>
      </c>
      <c r="K28" s="215">
        <f t="shared" si="4"/>
        <v>137287.92656401006</v>
      </c>
      <c r="L28" s="215">
        <f t="shared" si="4"/>
        <v>579487.05539788993</v>
      </c>
    </row>
    <row r="29" spans="1:13" x14ac:dyDescent="0.25">
      <c r="A29" s="146"/>
      <c r="B29" s="286" t="s">
        <v>893</v>
      </c>
      <c r="C29" s="215">
        <f>C27-C25</f>
        <v>0</v>
      </c>
      <c r="D29" s="215">
        <f t="shared" ref="D29:L29" si="5">D27-D25</f>
        <v>101660.35679481833</v>
      </c>
      <c r="E29" s="215">
        <f t="shared" si="5"/>
        <v>203676.58657088006</v>
      </c>
      <c r="F29" s="215">
        <f t="shared" si="5"/>
        <v>296076.87845850451</v>
      </c>
      <c r="G29" s="215">
        <f t="shared" si="5"/>
        <v>358836.7697598876</v>
      </c>
      <c r="H29" s="215">
        <f t="shared" si="5"/>
        <v>412299.77059198683</v>
      </c>
      <c r="I29" s="215">
        <f t="shared" si="5"/>
        <v>446621.91280584701</v>
      </c>
      <c r="J29" s="215">
        <f t="shared" si="5"/>
        <v>472199.51902697468</v>
      </c>
      <c r="K29" s="215">
        <f t="shared" si="5"/>
        <v>489443.15407306852</v>
      </c>
      <c r="L29" s="215">
        <f t="shared" si="5"/>
        <v>2201039.5451491433</v>
      </c>
    </row>
    <row r="30" spans="1:13" x14ac:dyDescent="0.25">
      <c r="B30" s="266"/>
    </row>
    <row r="31" spans="1:13" x14ac:dyDescent="0.25">
      <c r="B31" s="245" t="s">
        <v>894</v>
      </c>
      <c r="C31" s="209"/>
      <c r="D31" s="209"/>
      <c r="E31" s="209"/>
      <c r="F31" s="209"/>
    </row>
    <row r="32" spans="1:13" x14ac:dyDescent="0.25">
      <c r="B32" s="309"/>
    </row>
    <row r="33" spans="1:12" ht="177.95" customHeight="1" x14ac:dyDescent="0.25">
      <c r="B33" s="288" t="s">
        <v>554</v>
      </c>
      <c r="C33" s="247" t="s">
        <v>895</v>
      </c>
      <c r="D33" s="304"/>
      <c r="E33" s="304"/>
    </row>
    <row r="34" spans="1:12" x14ac:dyDescent="0.25">
      <c r="B34" s="309"/>
    </row>
    <row r="35" spans="1:12" x14ac:dyDescent="0.25">
      <c r="B35" s="266"/>
    </row>
    <row r="36" spans="1:12" x14ac:dyDescent="0.25">
      <c r="B36" s="237" t="s">
        <v>29</v>
      </c>
      <c r="C36" s="237"/>
      <c r="D36" s="237"/>
      <c r="E36" s="237"/>
      <c r="F36" s="237"/>
      <c r="G36" s="237"/>
      <c r="H36" s="237"/>
      <c r="I36" s="237"/>
      <c r="J36" s="237"/>
      <c r="K36" s="237"/>
      <c r="L36" s="237"/>
    </row>
    <row r="37" spans="1:12" x14ac:dyDescent="0.25">
      <c r="B37" s="238" t="s">
        <v>896</v>
      </c>
      <c r="C37" s="239"/>
      <c r="D37" s="239"/>
      <c r="E37" s="239"/>
      <c r="F37" s="239"/>
      <c r="G37" s="239"/>
      <c r="H37" s="239"/>
      <c r="I37" s="239"/>
      <c r="J37" s="239"/>
      <c r="K37" s="239"/>
      <c r="L37" s="239"/>
    </row>
    <row r="38" spans="1:12" x14ac:dyDescent="0.25">
      <c r="B38" s="240" t="s">
        <v>26</v>
      </c>
      <c r="C38" s="310">
        <f>Hypothèses_projet!$C$3</f>
        <v>2021</v>
      </c>
      <c r="D38" s="310">
        <f>C38+1</f>
        <v>2022</v>
      </c>
      <c r="E38" s="310">
        <f t="shared" ref="E38:L38" si="6">D38+1</f>
        <v>2023</v>
      </c>
      <c r="F38" s="310">
        <f t="shared" si="6"/>
        <v>2024</v>
      </c>
      <c r="G38" s="310">
        <f t="shared" si="6"/>
        <v>2025</v>
      </c>
      <c r="H38" s="310">
        <f t="shared" si="6"/>
        <v>2026</v>
      </c>
      <c r="I38" s="310">
        <f t="shared" si="6"/>
        <v>2027</v>
      </c>
      <c r="J38" s="310">
        <f t="shared" si="6"/>
        <v>2028</v>
      </c>
      <c r="K38" s="310">
        <f t="shared" si="6"/>
        <v>2029</v>
      </c>
      <c r="L38" s="310">
        <f t="shared" si="6"/>
        <v>2030</v>
      </c>
    </row>
    <row r="39" spans="1:12" ht="18.600000000000001" customHeight="1" x14ac:dyDescent="0.25">
      <c r="A39" s="136" t="s">
        <v>897</v>
      </c>
      <c r="B39" s="311" t="s">
        <v>898</v>
      </c>
      <c r="C39" s="87"/>
      <c r="D39" s="88"/>
      <c r="E39" s="88"/>
      <c r="F39" s="88"/>
      <c r="G39" s="88"/>
      <c r="H39" s="88"/>
      <c r="I39" s="88"/>
      <c r="J39" s="88"/>
      <c r="K39" s="88"/>
      <c r="L39" s="89"/>
    </row>
    <row r="40" spans="1:12" ht="18.600000000000001" customHeight="1" x14ac:dyDescent="0.25">
      <c r="A40" s="136"/>
      <c r="B40" s="312" t="s">
        <v>899</v>
      </c>
      <c r="C40" s="90"/>
      <c r="D40" s="91"/>
      <c r="E40" s="91"/>
      <c r="F40" s="91"/>
      <c r="G40" s="91"/>
      <c r="H40" s="91"/>
      <c r="I40" s="91"/>
      <c r="J40" s="91"/>
      <c r="K40" s="91"/>
      <c r="L40" s="92"/>
    </row>
    <row r="41" spans="1:12" ht="17.100000000000001" customHeight="1" x14ac:dyDescent="0.25">
      <c r="A41" s="136"/>
      <c r="B41" s="313" t="s">
        <v>900</v>
      </c>
      <c r="C41" s="90"/>
      <c r="D41" s="91"/>
      <c r="E41" s="91"/>
      <c r="F41" s="91"/>
      <c r="G41" s="91"/>
      <c r="H41" s="91"/>
      <c r="I41" s="91"/>
      <c r="J41" s="91"/>
      <c r="K41" s="91"/>
      <c r="L41" s="92"/>
    </row>
    <row r="42" spans="1:12" x14ac:dyDescent="0.25">
      <c r="A42" s="136"/>
      <c r="B42" s="311" t="s">
        <v>901</v>
      </c>
      <c r="C42" s="314"/>
      <c r="D42" s="109"/>
      <c r="E42" s="109"/>
      <c r="F42" s="109"/>
      <c r="G42" s="109"/>
      <c r="H42" s="109"/>
      <c r="I42" s="109"/>
      <c r="J42" s="109"/>
      <c r="K42" s="109"/>
      <c r="L42" s="315"/>
    </row>
    <row r="43" spans="1:12" x14ac:dyDescent="0.25">
      <c r="A43" s="136"/>
      <c r="B43" s="312" t="s">
        <v>902</v>
      </c>
      <c r="C43" s="314"/>
      <c r="D43" s="109"/>
      <c r="E43" s="109"/>
      <c r="F43" s="109"/>
      <c r="G43" s="109"/>
      <c r="H43" s="109"/>
      <c r="I43" s="109"/>
      <c r="J43" s="109"/>
      <c r="K43" s="109"/>
      <c r="L43" s="315"/>
    </row>
    <row r="44" spans="1:12" x14ac:dyDescent="0.25">
      <c r="A44" s="136"/>
      <c r="B44" s="313" t="s">
        <v>903</v>
      </c>
      <c r="C44" s="316"/>
      <c r="D44" s="317"/>
      <c r="E44" s="317"/>
      <c r="F44" s="317"/>
      <c r="G44" s="317"/>
      <c r="H44" s="317"/>
      <c r="I44" s="317"/>
      <c r="J44" s="317"/>
      <c r="K44" s="317"/>
      <c r="L44" s="318"/>
    </row>
    <row r="45" spans="1:12" ht="16.5" customHeight="1" x14ac:dyDescent="0.25">
      <c r="A45" s="136" t="s">
        <v>884</v>
      </c>
      <c r="B45" s="252" t="s">
        <v>898</v>
      </c>
      <c r="C45" s="87"/>
      <c r="D45" s="88"/>
      <c r="E45" s="88"/>
      <c r="F45" s="88"/>
      <c r="G45" s="88"/>
      <c r="H45" s="88"/>
      <c r="I45" s="88"/>
      <c r="J45" s="88"/>
      <c r="K45" s="88"/>
      <c r="L45" s="89">
        <v>0</v>
      </c>
    </row>
    <row r="46" spans="1:12" ht="16.5" customHeight="1" x14ac:dyDescent="0.25">
      <c r="A46" s="136"/>
      <c r="B46" s="252" t="s">
        <v>899</v>
      </c>
      <c r="C46" s="90"/>
      <c r="D46" s="91"/>
      <c r="E46" s="91"/>
      <c r="F46" s="91"/>
      <c r="G46" s="91"/>
      <c r="H46" s="91"/>
      <c r="I46" s="91"/>
      <c r="J46" s="91"/>
      <c r="K46" s="91"/>
      <c r="L46" s="92">
        <f>26745</f>
        <v>26745</v>
      </c>
    </row>
    <row r="47" spans="1:12" ht="17.100000000000001" customHeight="1" x14ac:dyDescent="0.25">
      <c r="A47" s="136"/>
      <c r="B47" s="252" t="s">
        <v>900</v>
      </c>
      <c r="C47" s="90"/>
      <c r="D47" s="91"/>
      <c r="E47" s="91"/>
      <c r="F47" s="91"/>
      <c r="G47" s="91"/>
      <c r="H47" s="91"/>
      <c r="I47" s="91"/>
      <c r="J47" s="91"/>
      <c r="K47" s="91"/>
      <c r="L47" s="92">
        <v>0</v>
      </c>
    </row>
    <row r="48" spans="1:12" x14ac:dyDescent="0.25">
      <c r="A48" s="136"/>
      <c r="B48" s="319" t="s">
        <v>901</v>
      </c>
      <c r="C48" s="314"/>
      <c r="D48" s="109"/>
      <c r="E48" s="109"/>
      <c r="F48" s="109"/>
      <c r="G48" s="109"/>
      <c r="H48" s="109"/>
      <c r="I48" s="109"/>
      <c r="J48" s="109"/>
      <c r="K48" s="109"/>
      <c r="L48" s="92">
        <v>0</v>
      </c>
    </row>
    <row r="49" spans="1:12" x14ac:dyDescent="0.25">
      <c r="A49" s="136"/>
      <c r="B49" s="320" t="s">
        <v>902</v>
      </c>
      <c r="C49" s="314"/>
      <c r="D49" s="109"/>
      <c r="E49" s="109"/>
      <c r="F49" s="109"/>
      <c r="G49" s="109"/>
      <c r="H49" s="109"/>
      <c r="I49" s="109"/>
      <c r="J49" s="109"/>
      <c r="K49" s="109"/>
      <c r="L49" s="315">
        <v>66763</v>
      </c>
    </row>
    <row r="50" spans="1:12" x14ac:dyDescent="0.25">
      <c r="A50" s="136"/>
      <c r="B50" s="321" t="s">
        <v>903</v>
      </c>
      <c r="C50" s="316"/>
      <c r="D50" s="317"/>
      <c r="E50" s="317"/>
      <c r="F50" s="317"/>
      <c r="G50" s="317"/>
      <c r="H50" s="317"/>
      <c r="I50" s="317"/>
      <c r="J50" s="317"/>
      <c r="K50" s="317"/>
      <c r="L50" s="322">
        <v>0</v>
      </c>
    </row>
    <row r="51" spans="1:12" ht="20.45" customHeight="1" x14ac:dyDescent="0.25">
      <c r="A51" s="136" t="s">
        <v>904</v>
      </c>
      <c r="B51" s="311" t="s">
        <v>898</v>
      </c>
      <c r="C51" s="87"/>
      <c r="D51" s="88"/>
      <c r="E51" s="88"/>
      <c r="F51" s="88"/>
      <c r="G51" s="88"/>
      <c r="H51" s="88"/>
      <c r="I51" s="88"/>
      <c r="J51" s="88"/>
      <c r="K51" s="88"/>
      <c r="L51" s="89">
        <f>0</f>
        <v>0</v>
      </c>
    </row>
    <row r="52" spans="1:12" ht="16.5" customHeight="1" x14ac:dyDescent="0.25">
      <c r="A52" s="136"/>
      <c r="B52" s="312" t="s">
        <v>899</v>
      </c>
      <c r="C52" s="90"/>
      <c r="D52" s="91"/>
      <c r="E52" s="91"/>
      <c r="F52" s="91"/>
      <c r="G52" s="91"/>
      <c r="H52" s="91"/>
      <c r="I52" s="91"/>
      <c r="J52" s="91"/>
      <c r="K52" s="91"/>
      <c r="L52" s="92">
        <f>26745</f>
        <v>26745</v>
      </c>
    </row>
    <row r="53" spans="1:12" ht="17.100000000000001" customHeight="1" x14ac:dyDescent="0.25">
      <c r="A53" s="136"/>
      <c r="B53" s="313" t="s">
        <v>900</v>
      </c>
      <c r="C53" s="90"/>
      <c r="D53" s="91"/>
      <c r="E53" s="91"/>
      <c r="F53" s="91"/>
      <c r="G53" s="91"/>
      <c r="H53" s="91"/>
      <c r="I53" s="91"/>
      <c r="J53" s="91"/>
      <c r="K53" s="91"/>
      <c r="L53" s="92">
        <v>0</v>
      </c>
    </row>
    <row r="54" spans="1:12" x14ac:dyDescent="0.25">
      <c r="A54" s="136"/>
      <c r="B54" s="311" t="s">
        <v>901</v>
      </c>
      <c r="C54" s="314"/>
      <c r="D54" s="109"/>
      <c r="E54" s="109"/>
      <c r="F54" s="109"/>
      <c r="G54" s="109"/>
      <c r="H54" s="109"/>
      <c r="I54" s="109"/>
      <c r="J54" s="109"/>
      <c r="K54" s="109"/>
      <c r="L54" s="315">
        <f>0</f>
        <v>0</v>
      </c>
    </row>
    <row r="55" spans="1:12" x14ac:dyDescent="0.25">
      <c r="A55" s="136"/>
      <c r="B55" s="312" t="s">
        <v>902</v>
      </c>
      <c r="C55" s="314"/>
      <c r="D55" s="109"/>
      <c r="E55" s="109"/>
      <c r="F55" s="109"/>
      <c r="G55" s="109"/>
      <c r="H55" s="109"/>
      <c r="I55" s="109"/>
      <c r="J55" s="109"/>
      <c r="K55" s="109"/>
      <c r="L55" s="315">
        <v>181953</v>
      </c>
    </row>
    <row r="56" spans="1:12" x14ac:dyDescent="0.25">
      <c r="A56" s="136"/>
      <c r="B56" s="313" t="s">
        <v>903</v>
      </c>
      <c r="C56" s="316"/>
      <c r="D56" s="317"/>
      <c r="E56" s="317"/>
      <c r="F56" s="317"/>
      <c r="G56" s="317"/>
      <c r="H56" s="317"/>
      <c r="I56" s="317"/>
      <c r="J56" s="317"/>
      <c r="K56" s="317"/>
      <c r="L56" s="322">
        <v>89151</v>
      </c>
    </row>
    <row r="59" spans="1:12" x14ac:dyDescent="0.25">
      <c r="B59" s="245" t="s">
        <v>885</v>
      </c>
      <c r="C59" s="209"/>
      <c r="D59" s="209"/>
      <c r="E59" s="209"/>
      <c r="F59" s="209"/>
    </row>
    <row r="61" spans="1:12" ht="157.5" customHeight="1" x14ac:dyDescent="0.25">
      <c r="B61" s="288" t="s">
        <v>554</v>
      </c>
      <c r="C61" s="247" t="s">
        <v>905</v>
      </c>
      <c r="D61" s="247"/>
      <c r="E61" s="247"/>
    </row>
    <row r="63" spans="1:12" ht="135.94999999999999" customHeight="1" x14ac:dyDescent="0.25">
      <c r="B63" s="146" t="s">
        <v>547</v>
      </c>
      <c r="C63" s="247" t="s">
        <v>906</v>
      </c>
      <c r="D63" s="247"/>
      <c r="E63" s="247"/>
    </row>
    <row r="65" spans="2:12" ht="15.95" customHeight="1" x14ac:dyDescent="0.25">
      <c r="B65" s="237" t="s">
        <v>29</v>
      </c>
      <c r="C65" s="237"/>
      <c r="D65" s="237"/>
      <c r="E65" s="237"/>
      <c r="F65" s="237"/>
      <c r="G65" s="237"/>
      <c r="H65" s="237"/>
      <c r="I65" s="237"/>
      <c r="J65" s="237"/>
      <c r="K65" s="237"/>
      <c r="L65" s="237"/>
    </row>
    <row r="66" spans="2:12" x14ac:dyDescent="0.25">
      <c r="B66" s="238" t="s">
        <v>907</v>
      </c>
      <c r="C66" s="239"/>
      <c r="D66" s="239"/>
      <c r="E66" s="239"/>
      <c r="F66" s="239"/>
      <c r="G66" s="239"/>
      <c r="H66" s="239"/>
      <c r="I66" s="239"/>
      <c r="J66" s="239"/>
      <c r="K66" s="239"/>
      <c r="L66" s="239"/>
    </row>
    <row r="67" spans="2:12" x14ac:dyDescent="0.25">
      <c r="B67" s="240" t="s">
        <v>26</v>
      </c>
      <c r="C67" s="240">
        <f>Hypothèses_projet!$C$3</f>
        <v>2021</v>
      </c>
      <c r="D67" s="240">
        <f>C67+1</f>
        <v>2022</v>
      </c>
      <c r="E67" s="240">
        <f t="shared" ref="E67:L67" si="7">D67+1</f>
        <v>2023</v>
      </c>
      <c r="F67" s="240">
        <f t="shared" si="7"/>
        <v>2024</v>
      </c>
      <c r="G67" s="240">
        <f t="shared" si="7"/>
        <v>2025</v>
      </c>
      <c r="H67" s="240">
        <f t="shared" si="7"/>
        <v>2026</v>
      </c>
      <c r="I67" s="240">
        <f t="shared" si="7"/>
        <v>2027</v>
      </c>
      <c r="J67" s="240">
        <f t="shared" si="7"/>
        <v>2028</v>
      </c>
      <c r="K67" s="240">
        <f t="shared" si="7"/>
        <v>2029</v>
      </c>
      <c r="L67" s="240">
        <f t="shared" si="7"/>
        <v>2030</v>
      </c>
    </row>
    <row r="68" spans="2:12" x14ac:dyDescent="0.25">
      <c r="B68" s="286" t="s">
        <v>157</v>
      </c>
      <c r="C68" s="290">
        <f t="shared" ref="C68:L68" si="8">(C$41+C$44)*C$127*$C$4/1000000+(C$39+C$42)*C$125*$C$4/1000000+(C$40+C$43)*C$126*$C$4/1000000</f>
        <v>0</v>
      </c>
      <c r="D68" s="290">
        <f t="shared" si="8"/>
        <v>0</v>
      </c>
      <c r="E68" s="290">
        <f t="shared" si="8"/>
        <v>0</v>
      </c>
      <c r="F68" s="290">
        <f t="shared" si="8"/>
        <v>0</v>
      </c>
      <c r="G68" s="290">
        <f t="shared" si="8"/>
        <v>0</v>
      </c>
      <c r="H68" s="290">
        <f t="shared" si="8"/>
        <v>0</v>
      </c>
      <c r="I68" s="290">
        <f t="shared" si="8"/>
        <v>0</v>
      </c>
      <c r="J68" s="290">
        <f t="shared" si="8"/>
        <v>0</v>
      </c>
      <c r="K68" s="290">
        <f t="shared" si="8"/>
        <v>0</v>
      </c>
      <c r="L68" s="290">
        <f t="shared" si="8"/>
        <v>0</v>
      </c>
    </row>
    <row r="69" spans="2:12" x14ac:dyDescent="0.25">
      <c r="B69" s="286" t="s">
        <v>890</v>
      </c>
      <c r="C69" s="290">
        <f t="shared" ref="C69:L69" si="9">(C$47+C$50)*C$139*$C$4/1000000+(C$45+C$48)*C$137*$C$4/1000000+(C$46+C$49)*C$138*$C$4/1000000</f>
        <v>0</v>
      </c>
      <c r="D69" s="290">
        <f t="shared" si="9"/>
        <v>0</v>
      </c>
      <c r="E69" s="290">
        <f t="shared" si="9"/>
        <v>0</v>
      </c>
      <c r="F69" s="290">
        <f t="shared" si="9"/>
        <v>0</v>
      </c>
      <c r="G69" s="290">
        <f t="shared" si="9"/>
        <v>0</v>
      </c>
      <c r="H69" s="290">
        <f t="shared" si="9"/>
        <v>0</v>
      </c>
      <c r="I69" s="290">
        <f t="shared" si="9"/>
        <v>0</v>
      </c>
      <c r="J69" s="290">
        <f t="shared" si="9"/>
        <v>0</v>
      </c>
      <c r="K69" s="290">
        <f t="shared" si="9"/>
        <v>0</v>
      </c>
      <c r="L69" s="290">
        <f t="shared" si="9"/>
        <v>434981.21273875708</v>
      </c>
    </row>
    <row r="70" spans="2:12" x14ac:dyDescent="0.25">
      <c r="B70" s="286" t="s">
        <v>891</v>
      </c>
      <c r="C70" s="290">
        <f t="shared" ref="C70:L70" si="10">(C$53+C$56)*C$152*$C$4/1000000+(C$51+C$54)*C$150*$C$4/1000000+(C$52+C$55)*C$151*$C$4/1000000</f>
        <v>0</v>
      </c>
      <c r="D70" s="290">
        <f t="shared" si="10"/>
        <v>0</v>
      </c>
      <c r="E70" s="290">
        <f t="shared" si="10"/>
        <v>0</v>
      </c>
      <c r="F70" s="290">
        <f t="shared" si="10"/>
        <v>0</v>
      </c>
      <c r="G70" s="290">
        <f t="shared" si="10"/>
        <v>0</v>
      </c>
      <c r="H70" s="290">
        <f t="shared" si="10"/>
        <v>0</v>
      </c>
      <c r="I70" s="290">
        <f t="shared" si="10"/>
        <v>0</v>
      </c>
      <c r="J70" s="290">
        <f t="shared" si="10"/>
        <v>0</v>
      </c>
      <c r="K70" s="290">
        <f t="shared" si="10"/>
        <v>0</v>
      </c>
      <c r="L70" s="290">
        <f t="shared" si="10"/>
        <v>1692063.4151769574</v>
      </c>
    </row>
    <row r="71" spans="2:12" x14ac:dyDescent="0.25">
      <c r="B71" s="286" t="s">
        <v>892</v>
      </c>
      <c r="C71" s="93">
        <f t="shared" ref="C71:L71" si="11">C69-C68</f>
        <v>0</v>
      </c>
      <c r="D71" s="93">
        <f t="shared" si="11"/>
        <v>0</v>
      </c>
      <c r="E71" s="93">
        <f t="shared" si="11"/>
        <v>0</v>
      </c>
      <c r="F71" s="93">
        <f t="shared" si="11"/>
        <v>0</v>
      </c>
      <c r="G71" s="93">
        <f t="shared" si="11"/>
        <v>0</v>
      </c>
      <c r="H71" s="93">
        <f t="shared" si="11"/>
        <v>0</v>
      </c>
      <c r="I71" s="93">
        <f t="shared" si="11"/>
        <v>0</v>
      </c>
      <c r="J71" s="93">
        <f t="shared" si="11"/>
        <v>0</v>
      </c>
      <c r="K71" s="93">
        <f t="shared" si="11"/>
        <v>0</v>
      </c>
      <c r="L71" s="93">
        <f t="shared" si="11"/>
        <v>434981.21273875708</v>
      </c>
    </row>
    <row r="72" spans="2:12" x14ac:dyDescent="0.25">
      <c r="B72" s="286" t="s">
        <v>893</v>
      </c>
      <c r="C72" s="290">
        <f t="shared" ref="C72:L72" si="12">C70-C68</f>
        <v>0</v>
      </c>
      <c r="D72" s="290">
        <f t="shared" si="12"/>
        <v>0</v>
      </c>
      <c r="E72" s="290">
        <f t="shared" si="12"/>
        <v>0</v>
      </c>
      <c r="F72" s="290">
        <f t="shared" si="12"/>
        <v>0</v>
      </c>
      <c r="G72" s="290">
        <f t="shared" si="12"/>
        <v>0</v>
      </c>
      <c r="H72" s="290">
        <f t="shared" si="12"/>
        <v>0</v>
      </c>
      <c r="I72" s="290">
        <f t="shared" si="12"/>
        <v>0</v>
      </c>
      <c r="J72" s="290">
        <f t="shared" si="12"/>
        <v>0</v>
      </c>
      <c r="K72" s="290">
        <f t="shared" si="12"/>
        <v>0</v>
      </c>
      <c r="L72" s="290">
        <f t="shared" si="12"/>
        <v>1692063.4151769574</v>
      </c>
    </row>
    <row r="74" spans="2:12" x14ac:dyDescent="0.25">
      <c r="B74" s="146" t="s">
        <v>908</v>
      </c>
      <c r="C74" s="94">
        <v>0.5</v>
      </c>
      <c r="E74" s="146" t="s">
        <v>210</v>
      </c>
      <c r="G74" s="180" t="s">
        <v>909</v>
      </c>
    </row>
    <row r="75" spans="2:12" x14ac:dyDescent="0.25">
      <c r="B75" s="146" t="s">
        <v>910</v>
      </c>
      <c r="C75" s="94">
        <v>1</v>
      </c>
      <c r="E75" s="146" t="s">
        <v>210</v>
      </c>
      <c r="G75" s="180" t="s">
        <v>909</v>
      </c>
    </row>
    <row r="76" spans="2:12" ht="14.45" customHeight="1" x14ac:dyDescent="0.25">
      <c r="B76" s="146" t="s">
        <v>911</v>
      </c>
      <c r="C76" s="94">
        <v>2.1</v>
      </c>
      <c r="E76" s="146" t="s">
        <v>210</v>
      </c>
      <c r="G76" s="180" t="s">
        <v>909</v>
      </c>
    </row>
    <row r="77" spans="2:12" ht="14.45" customHeight="1" x14ac:dyDescent="0.25">
      <c r="B77" s="146" t="s">
        <v>912</v>
      </c>
      <c r="C77" s="94">
        <v>2.7</v>
      </c>
      <c r="E77" s="146" t="s">
        <v>210</v>
      </c>
      <c r="G77" s="180" t="s">
        <v>909</v>
      </c>
    </row>
    <row r="78" spans="2:12" x14ac:dyDescent="0.25">
      <c r="B78" s="146" t="s">
        <v>913</v>
      </c>
      <c r="C78" s="94">
        <v>1</v>
      </c>
      <c r="E78" s="146" t="s">
        <v>210</v>
      </c>
      <c r="G78" s="180" t="s">
        <v>909</v>
      </c>
    </row>
    <row r="79" spans="2:12" ht="14.45" customHeight="1" x14ac:dyDescent="0.25">
      <c r="B79" s="146" t="s">
        <v>914</v>
      </c>
      <c r="C79" s="94">
        <v>2.2999999999999998</v>
      </c>
      <c r="E79" s="146" t="s">
        <v>210</v>
      </c>
      <c r="G79" s="180" t="s">
        <v>909</v>
      </c>
    </row>
    <row r="80" spans="2:12" ht="14.45" customHeight="1" x14ac:dyDescent="0.25">
      <c r="B80" s="146" t="s">
        <v>915</v>
      </c>
      <c r="C80" s="94">
        <v>4</v>
      </c>
      <c r="E80" s="146" t="s">
        <v>210</v>
      </c>
      <c r="G80" s="180" t="s">
        <v>909</v>
      </c>
    </row>
    <row r="81" spans="2:9" x14ac:dyDescent="0.25">
      <c r="C81" s="94"/>
    </row>
    <row r="82" spans="2:9" x14ac:dyDescent="0.25">
      <c r="B82" s="146" t="s">
        <v>916</v>
      </c>
      <c r="C82" s="94">
        <v>24</v>
      </c>
      <c r="E82" s="146" t="s">
        <v>917</v>
      </c>
    </row>
    <row r="83" spans="2:9" x14ac:dyDescent="0.25">
      <c r="C83" s="94">
        <v>365</v>
      </c>
      <c r="E83" s="146" t="s">
        <v>918</v>
      </c>
    </row>
    <row r="85" spans="2:9" x14ac:dyDescent="0.25">
      <c r="B85" s="146" t="s">
        <v>919</v>
      </c>
    </row>
    <row r="86" spans="2:9" x14ac:dyDescent="0.25">
      <c r="B86" s="146" t="s">
        <v>920</v>
      </c>
      <c r="C86" s="95">
        <v>0</v>
      </c>
      <c r="E86" s="146" t="s">
        <v>1</v>
      </c>
      <c r="G86" s="146" t="s">
        <v>921</v>
      </c>
      <c r="I86" s="180" t="s">
        <v>909</v>
      </c>
    </row>
    <row r="87" spans="2:9" x14ac:dyDescent="0.25">
      <c r="B87" s="146" t="s">
        <v>922</v>
      </c>
      <c r="C87" s="95">
        <v>0</v>
      </c>
      <c r="E87" s="146" t="s">
        <v>1</v>
      </c>
      <c r="G87" s="146" t="s">
        <v>921</v>
      </c>
      <c r="I87" s="180" t="s">
        <v>909</v>
      </c>
    </row>
    <row r="88" spans="2:9" x14ac:dyDescent="0.25">
      <c r="B88" s="146" t="s">
        <v>920</v>
      </c>
      <c r="C88" s="95">
        <v>0</v>
      </c>
      <c r="E88" s="146" t="s">
        <v>1</v>
      </c>
      <c r="G88" s="146" t="s">
        <v>884</v>
      </c>
      <c r="I88" s="180" t="s">
        <v>909</v>
      </c>
    </row>
    <row r="89" spans="2:9" x14ac:dyDescent="0.25">
      <c r="B89" s="146" t="s">
        <v>922</v>
      </c>
      <c r="C89" s="95">
        <v>0</v>
      </c>
      <c r="E89" s="146" t="s">
        <v>1</v>
      </c>
      <c r="G89" s="146" t="s">
        <v>884</v>
      </c>
      <c r="I89" s="180" t="s">
        <v>909</v>
      </c>
    </row>
    <row r="90" spans="2:9" x14ac:dyDescent="0.25">
      <c r="B90" s="146" t="s">
        <v>920</v>
      </c>
      <c r="C90" s="95">
        <v>0</v>
      </c>
      <c r="E90" s="146" t="s">
        <v>1</v>
      </c>
      <c r="G90" s="146" t="s">
        <v>904</v>
      </c>
      <c r="I90" s="180" t="s">
        <v>909</v>
      </c>
    </row>
    <row r="91" spans="2:9" x14ac:dyDescent="0.25">
      <c r="B91" s="146" t="s">
        <v>922</v>
      </c>
      <c r="C91" s="95">
        <v>0</v>
      </c>
      <c r="E91" s="146" t="s">
        <v>1</v>
      </c>
      <c r="G91" s="146" t="s">
        <v>904</v>
      </c>
      <c r="I91" s="180" t="s">
        <v>909</v>
      </c>
    </row>
    <row r="92" spans="2:9" x14ac:dyDescent="0.25">
      <c r="C92" s="284"/>
    </row>
    <row r="93" spans="2:9" x14ac:dyDescent="0.25">
      <c r="B93" s="146" t="s">
        <v>923</v>
      </c>
      <c r="C93" s="284"/>
    </row>
    <row r="94" spans="2:9" x14ac:dyDescent="0.25">
      <c r="B94" s="146" t="s">
        <v>920</v>
      </c>
      <c r="C94" s="95">
        <v>0</v>
      </c>
      <c r="E94" s="146" t="s">
        <v>1</v>
      </c>
      <c r="G94" s="146" t="s">
        <v>921</v>
      </c>
      <c r="I94" s="180" t="s">
        <v>909</v>
      </c>
    </row>
    <row r="95" spans="2:9" x14ac:dyDescent="0.25">
      <c r="B95" s="146" t="s">
        <v>922</v>
      </c>
      <c r="C95" s="95">
        <v>0</v>
      </c>
      <c r="E95" s="146" t="s">
        <v>1</v>
      </c>
      <c r="G95" s="146" t="s">
        <v>921</v>
      </c>
      <c r="I95" s="180" t="s">
        <v>909</v>
      </c>
    </row>
    <row r="96" spans="2:9" x14ac:dyDescent="0.25">
      <c r="B96" s="146" t="s">
        <v>920</v>
      </c>
      <c r="C96" s="95">
        <v>0</v>
      </c>
      <c r="E96" s="146" t="s">
        <v>1</v>
      </c>
      <c r="G96" s="146" t="s">
        <v>884</v>
      </c>
      <c r="I96" s="180" t="s">
        <v>909</v>
      </c>
    </row>
    <row r="97" spans="2:9" x14ac:dyDescent="0.25">
      <c r="B97" s="146" t="s">
        <v>922</v>
      </c>
      <c r="C97" s="95">
        <v>0</v>
      </c>
      <c r="E97" s="146" t="s">
        <v>1</v>
      </c>
      <c r="G97" s="146" t="s">
        <v>884</v>
      </c>
      <c r="I97" s="180" t="s">
        <v>909</v>
      </c>
    </row>
    <row r="98" spans="2:9" x14ac:dyDescent="0.25">
      <c r="B98" s="146" t="s">
        <v>920</v>
      </c>
      <c r="C98" s="95">
        <v>0</v>
      </c>
      <c r="E98" s="146" t="s">
        <v>1</v>
      </c>
      <c r="G98" s="146" t="s">
        <v>904</v>
      </c>
      <c r="I98" s="180" t="s">
        <v>909</v>
      </c>
    </row>
    <row r="99" spans="2:9" x14ac:dyDescent="0.25">
      <c r="B99" s="146" t="s">
        <v>922</v>
      </c>
      <c r="C99" s="95">
        <v>0</v>
      </c>
      <c r="E99" s="146" t="s">
        <v>1</v>
      </c>
      <c r="G99" s="146" t="s">
        <v>904</v>
      </c>
      <c r="I99" s="180" t="s">
        <v>909</v>
      </c>
    </row>
    <row r="100" spans="2:9" x14ac:dyDescent="0.25">
      <c r="C100" s="284"/>
    </row>
    <row r="101" spans="2:9" x14ac:dyDescent="0.25">
      <c r="B101" s="146" t="s">
        <v>924</v>
      </c>
      <c r="C101" s="284"/>
    </row>
    <row r="102" spans="2:9" x14ac:dyDescent="0.25">
      <c r="B102" s="146" t="s">
        <v>925</v>
      </c>
      <c r="C102" s="95">
        <v>0</v>
      </c>
      <c r="E102" s="146" t="s">
        <v>1</v>
      </c>
      <c r="G102" s="146" t="s">
        <v>921</v>
      </c>
      <c r="I102" s="180" t="s">
        <v>909</v>
      </c>
    </row>
    <row r="103" spans="2:9" x14ac:dyDescent="0.25">
      <c r="B103" s="146" t="s">
        <v>926</v>
      </c>
      <c r="C103" s="95">
        <v>0</v>
      </c>
      <c r="E103" s="146" t="s">
        <v>1</v>
      </c>
      <c r="G103" s="146" t="s">
        <v>921</v>
      </c>
      <c r="I103" s="180" t="s">
        <v>909</v>
      </c>
    </row>
    <row r="104" spans="2:9" ht="12" customHeight="1" x14ac:dyDescent="0.25"/>
    <row r="105" spans="2:9" ht="12" customHeight="1" x14ac:dyDescent="0.25"/>
    <row r="106" spans="2:9" x14ac:dyDescent="0.25">
      <c r="B106" s="237" t="s">
        <v>927</v>
      </c>
      <c r="C106" s="237"/>
    </row>
    <row r="107" spans="2:9" ht="18.95" customHeight="1" x14ac:dyDescent="0.25">
      <c r="B107" s="238" t="s">
        <v>907</v>
      </c>
      <c r="C107" s="239"/>
    </row>
    <row r="108" spans="2:9" x14ac:dyDescent="0.25">
      <c r="B108" s="302" t="s">
        <v>928</v>
      </c>
      <c r="C108" s="302">
        <f>Hypothèses_projet!$C$3</f>
        <v>2021</v>
      </c>
    </row>
    <row r="109" spans="2:9" x14ac:dyDescent="0.25">
      <c r="B109" s="323" t="s">
        <v>929</v>
      </c>
      <c r="C109" s="96">
        <f>C74*$C$82*$C$83</f>
        <v>4380</v>
      </c>
      <c r="E109" s="146" t="s">
        <v>930</v>
      </c>
    </row>
    <row r="110" spans="2:9" x14ac:dyDescent="0.25">
      <c r="B110" s="323" t="s">
        <v>931</v>
      </c>
      <c r="C110" s="96">
        <f>C75*$C$82*$C$83</f>
        <v>8760</v>
      </c>
      <c r="E110" s="146" t="s">
        <v>930</v>
      </c>
    </row>
    <row r="111" spans="2:9" x14ac:dyDescent="0.25">
      <c r="B111" s="323" t="s">
        <v>932</v>
      </c>
      <c r="C111" s="96">
        <f t="shared" ref="C111:C115" si="13">C76*$C$82*$C$83</f>
        <v>18396.000000000004</v>
      </c>
      <c r="E111" s="146" t="s">
        <v>930</v>
      </c>
    </row>
    <row r="112" spans="2:9" x14ac:dyDescent="0.25">
      <c r="B112" s="323" t="s">
        <v>933</v>
      </c>
      <c r="C112" s="96">
        <f t="shared" si="13"/>
        <v>23652.000000000004</v>
      </c>
      <c r="E112" s="146" t="s">
        <v>930</v>
      </c>
    </row>
    <row r="113" spans="1:12" x14ac:dyDescent="0.25">
      <c r="B113" s="323" t="s">
        <v>934</v>
      </c>
      <c r="C113" s="96">
        <f t="shared" si="13"/>
        <v>8760</v>
      </c>
      <c r="E113" s="146" t="s">
        <v>930</v>
      </c>
    </row>
    <row r="114" spans="1:12" x14ac:dyDescent="0.25">
      <c r="B114" s="323" t="s">
        <v>935</v>
      </c>
      <c r="C114" s="96">
        <f t="shared" si="13"/>
        <v>20148</v>
      </c>
      <c r="E114" s="146" t="s">
        <v>930</v>
      </c>
    </row>
    <row r="115" spans="1:12" x14ac:dyDescent="0.25">
      <c r="B115" s="323" t="s">
        <v>936</v>
      </c>
      <c r="C115" s="96">
        <f t="shared" si="13"/>
        <v>35040</v>
      </c>
      <c r="E115" s="146" t="s">
        <v>930</v>
      </c>
    </row>
    <row r="116" spans="1:12" x14ac:dyDescent="0.25">
      <c r="B116" s="164"/>
      <c r="C116" s="193"/>
    </row>
    <row r="117" spans="1:12" x14ac:dyDescent="0.25">
      <c r="B117" s="164"/>
      <c r="C117" s="193"/>
    </row>
    <row r="118" spans="1:12" x14ac:dyDescent="0.25">
      <c r="B118" s="237" t="s">
        <v>29</v>
      </c>
      <c r="C118" s="237"/>
      <c r="D118" s="237"/>
      <c r="E118" s="237"/>
      <c r="F118" s="237"/>
      <c r="G118" s="237"/>
      <c r="H118" s="237"/>
      <c r="I118" s="237"/>
      <c r="J118" s="237"/>
      <c r="K118" s="237"/>
      <c r="L118" s="237"/>
    </row>
    <row r="119" spans="1:12" x14ac:dyDescent="0.25">
      <c r="B119" s="238" t="s">
        <v>907</v>
      </c>
      <c r="C119" s="239"/>
      <c r="D119" s="239"/>
      <c r="E119" s="239"/>
      <c r="F119" s="239"/>
      <c r="G119" s="239"/>
      <c r="H119" s="239"/>
      <c r="I119" s="239"/>
      <c r="J119" s="239"/>
      <c r="K119" s="239"/>
      <c r="L119" s="239"/>
    </row>
    <row r="120" spans="1:12" x14ac:dyDescent="0.25">
      <c r="A120" s="136" t="s">
        <v>897</v>
      </c>
      <c r="B120" s="324" t="s">
        <v>26</v>
      </c>
      <c r="C120" s="325">
        <f>Hypothèses_projet!$C$3</f>
        <v>2021</v>
      </c>
      <c r="D120" s="326">
        <f>C120+1</f>
        <v>2022</v>
      </c>
      <c r="E120" s="326">
        <f t="shared" ref="E120:L120" si="14">D120+1</f>
        <v>2023</v>
      </c>
      <c r="F120" s="326">
        <f t="shared" si="14"/>
        <v>2024</v>
      </c>
      <c r="G120" s="326">
        <f t="shared" si="14"/>
        <v>2025</v>
      </c>
      <c r="H120" s="326">
        <f t="shared" si="14"/>
        <v>2026</v>
      </c>
      <c r="I120" s="326">
        <f t="shared" si="14"/>
        <v>2027</v>
      </c>
      <c r="J120" s="326">
        <f t="shared" si="14"/>
        <v>2028</v>
      </c>
      <c r="K120" s="326">
        <f t="shared" si="14"/>
        <v>2029</v>
      </c>
      <c r="L120" s="326">
        <f t="shared" si="14"/>
        <v>2030</v>
      </c>
    </row>
    <row r="121" spans="1:12" x14ac:dyDescent="0.25">
      <c r="A121" s="136"/>
      <c r="B121" s="312" t="s">
        <v>929</v>
      </c>
      <c r="C121" s="97">
        <f>C74*$C$82*$C$83</f>
        <v>4380</v>
      </c>
      <c r="D121" s="98">
        <f>C121</f>
        <v>4380</v>
      </c>
      <c r="E121" s="98">
        <f t="shared" ref="E121:L121" si="15">D121</f>
        <v>4380</v>
      </c>
      <c r="F121" s="98">
        <f t="shared" si="15"/>
        <v>4380</v>
      </c>
      <c r="G121" s="98">
        <f t="shared" si="15"/>
        <v>4380</v>
      </c>
      <c r="H121" s="98">
        <f t="shared" si="15"/>
        <v>4380</v>
      </c>
      <c r="I121" s="98">
        <f t="shared" si="15"/>
        <v>4380</v>
      </c>
      <c r="J121" s="98">
        <f t="shared" si="15"/>
        <v>4380</v>
      </c>
      <c r="K121" s="98">
        <f t="shared" si="15"/>
        <v>4380</v>
      </c>
      <c r="L121" s="99">
        <f t="shared" si="15"/>
        <v>4380</v>
      </c>
    </row>
    <row r="122" spans="1:12" x14ac:dyDescent="0.25">
      <c r="A122" s="136"/>
      <c r="B122" s="312" t="s">
        <v>931</v>
      </c>
      <c r="C122" s="97">
        <f>C75*$C$82*$C$83</f>
        <v>8760</v>
      </c>
      <c r="D122" s="100">
        <v>4380</v>
      </c>
      <c r="E122" s="100">
        <v>4380</v>
      </c>
      <c r="F122" s="100">
        <v>4380</v>
      </c>
      <c r="G122" s="100">
        <v>4380</v>
      </c>
      <c r="H122" s="100">
        <v>4380</v>
      </c>
      <c r="I122" s="100">
        <v>4380</v>
      </c>
      <c r="J122" s="100">
        <v>4380</v>
      </c>
      <c r="K122" s="100">
        <v>4380</v>
      </c>
      <c r="L122" s="101">
        <v>4380</v>
      </c>
    </row>
    <row r="123" spans="1:12" x14ac:dyDescent="0.25">
      <c r="A123" s="136"/>
      <c r="B123" s="312" t="s">
        <v>932</v>
      </c>
      <c r="C123" s="97">
        <f>$C$76*$C$82*$C$83*(1+$C$86/100)*(1+$C$86/100)*(1+$C$86/100)</f>
        <v>18396.000000000004</v>
      </c>
      <c r="D123" s="98">
        <f>C123*(1+$C$86/100)</f>
        <v>18396.000000000004</v>
      </c>
      <c r="E123" s="98">
        <f t="shared" ref="E123:G123" si="16">D123*(1+$C$86/100)</f>
        <v>18396.000000000004</v>
      </c>
      <c r="F123" s="98">
        <f t="shared" si="16"/>
        <v>18396.000000000004</v>
      </c>
      <c r="G123" s="98">
        <f t="shared" si="16"/>
        <v>18396.000000000004</v>
      </c>
      <c r="H123" s="100">
        <f>G123*(1+$C$87/100)</f>
        <v>18396.000000000004</v>
      </c>
      <c r="I123" s="100">
        <f t="shared" ref="I123:L123" si="17">H123*(1+$C$87/100)</f>
        <v>18396.000000000004</v>
      </c>
      <c r="J123" s="100">
        <f t="shared" si="17"/>
        <v>18396.000000000004</v>
      </c>
      <c r="K123" s="100">
        <f t="shared" si="17"/>
        <v>18396.000000000004</v>
      </c>
      <c r="L123" s="101">
        <f t="shared" si="17"/>
        <v>18396.000000000004</v>
      </c>
    </row>
    <row r="124" spans="1:12" x14ac:dyDescent="0.25">
      <c r="A124" s="136"/>
      <c r="B124" s="312" t="s">
        <v>933</v>
      </c>
      <c r="C124" s="97">
        <f>C77*$C$82*$C$83*(1+$C$94/100)</f>
        <v>23652.000000000004</v>
      </c>
      <c r="D124" s="100">
        <f>C124*(1+$C$94/100)</f>
        <v>23652.000000000004</v>
      </c>
      <c r="E124" s="100">
        <f t="shared" ref="E124:G124" si="18">D124*(1+$C$94/100)</f>
        <v>23652.000000000004</v>
      </c>
      <c r="F124" s="100">
        <f t="shared" si="18"/>
        <v>23652.000000000004</v>
      </c>
      <c r="G124" s="100">
        <f t="shared" si="18"/>
        <v>23652.000000000004</v>
      </c>
      <c r="H124" s="100">
        <f>G124*(1+$C$95/100)</f>
        <v>23652.000000000004</v>
      </c>
      <c r="I124" s="100">
        <f t="shared" ref="I124:L124" si="19">H124*(1+$C$95/100)</f>
        <v>23652.000000000004</v>
      </c>
      <c r="J124" s="100">
        <f t="shared" si="19"/>
        <v>23652.000000000004</v>
      </c>
      <c r="K124" s="100">
        <f t="shared" si="19"/>
        <v>23652.000000000004</v>
      </c>
      <c r="L124" s="101">
        <f t="shared" si="19"/>
        <v>23652.000000000004</v>
      </c>
    </row>
    <row r="125" spans="1:12" x14ac:dyDescent="0.25">
      <c r="A125" s="136"/>
      <c r="B125" s="312" t="s">
        <v>934</v>
      </c>
      <c r="C125" s="97">
        <f>C78*$C$82*$C$83</f>
        <v>8760</v>
      </c>
      <c r="D125" s="100">
        <f>C125</f>
        <v>8760</v>
      </c>
      <c r="E125" s="100">
        <f t="shared" ref="E125:L125" si="20">D125</f>
        <v>8760</v>
      </c>
      <c r="F125" s="100">
        <f t="shared" si="20"/>
        <v>8760</v>
      </c>
      <c r="G125" s="100">
        <f t="shared" si="20"/>
        <v>8760</v>
      </c>
      <c r="H125" s="100">
        <f t="shared" si="20"/>
        <v>8760</v>
      </c>
      <c r="I125" s="100">
        <f t="shared" si="20"/>
        <v>8760</v>
      </c>
      <c r="J125" s="100">
        <f t="shared" si="20"/>
        <v>8760</v>
      </c>
      <c r="K125" s="100">
        <f t="shared" si="20"/>
        <v>8760</v>
      </c>
      <c r="L125" s="101">
        <f t="shared" si="20"/>
        <v>8760</v>
      </c>
    </row>
    <row r="126" spans="1:12" x14ac:dyDescent="0.25">
      <c r="A126" s="136"/>
      <c r="B126" s="312" t="s">
        <v>935</v>
      </c>
      <c r="C126" s="97">
        <f>C79*$C$82*$C$83</f>
        <v>20148</v>
      </c>
      <c r="D126" s="100">
        <f>C126*(1+$C$102/100)</f>
        <v>20148</v>
      </c>
      <c r="E126" s="100">
        <f>D126*(1+$C$102/100)</f>
        <v>20148</v>
      </c>
      <c r="F126" s="100">
        <f>E126*(1+$C$102/100)</f>
        <v>20148</v>
      </c>
      <c r="G126" s="100">
        <f t="shared" ref="G126:L126" si="21">F126*(1+$C$103/100)</f>
        <v>20148</v>
      </c>
      <c r="H126" s="100">
        <f t="shared" si="21"/>
        <v>20148</v>
      </c>
      <c r="I126" s="100">
        <f t="shared" si="21"/>
        <v>20148</v>
      </c>
      <c r="J126" s="100">
        <f t="shared" si="21"/>
        <v>20148</v>
      </c>
      <c r="K126" s="100">
        <f t="shared" si="21"/>
        <v>20148</v>
      </c>
      <c r="L126" s="101">
        <f t="shared" si="21"/>
        <v>20148</v>
      </c>
    </row>
    <row r="127" spans="1:12" x14ac:dyDescent="0.25">
      <c r="A127" s="136"/>
      <c r="B127" s="312" t="s">
        <v>936</v>
      </c>
      <c r="C127" s="97">
        <f>C80*$C$82*$C$83</f>
        <v>35040</v>
      </c>
      <c r="D127" s="100">
        <f>C127</f>
        <v>35040</v>
      </c>
      <c r="E127" s="100">
        <f t="shared" ref="E127:L127" si="22">D127</f>
        <v>35040</v>
      </c>
      <c r="F127" s="100">
        <f t="shared" si="22"/>
        <v>35040</v>
      </c>
      <c r="G127" s="100">
        <f t="shared" si="22"/>
        <v>35040</v>
      </c>
      <c r="H127" s="100">
        <f t="shared" si="22"/>
        <v>35040</v>
      </c>
      <c r="I127" s="100">
        <f t="shared" si="22"/>
        <v>35040</v>
      </c>
      <c r="J127" s="100">
        <f t="shared" si="22"/>
        <v>35040</v>
      </c>
      <c r="K127" s="100">
        <f t="shared" si="22"/>
        <v>35040</v>
      </c>
      <c r="L127" s="101">
        <f t="shared" si="22"/>
        <v>35040</v>
      </c>
    </row>
    <row r="128" spans="1:12" x14ac:dyDescent="0.25">
      <c r="A128" s="136"/>
      <c r="B128" s="303"/>
      <c r="C128" s="102"/>
      <c r="D128" s="103"/>
      <c r="E128" s="103"/>
      <c r="F128" s="103"/>
      <c r="G128" s="103"/>
      <c r="H128" s="103"/>
      <c r="I128" s="103"/>
      <c r="J128" s="103"/>
      <c r="K128" s="103"/>
      <c r="L128" s="104"/>
    </row>
    <row r="129" spans="1:12" x14ac:dyDescent="0.25">
      <c r="A129" s="105"/>
    </row>
    <row r="130" spans="1:12" x14ac:dyDescent="0.25">
      <c r="B130" s="237" t="s">
        <v>29</v>
      </c>
      <c r="C130" s="237"/>
      <c r="D130" s="237"/>
      <c r="E130" s="237"/>
      <c r="F130" s="237"/>
      <c r="G130" s="237"/>
      <c r="H130" s="237"/>
      <c r="I130" s="237"/>
      <c r="J130" s="237"/>
      <c r="K130" s="237"/>
      <c r="L130" s="237"/>
    </row>
    <row r="131" spans="1:12" x14ac:dyDescent="0.25">
      <c r="B131" s="238" t="s">
        <v>907</v>
      </c>
      <c r="C131" s="239"/>
      <c r="D131" s="239"/>
      <c r="E131" s="239"/>
      <c r="F131" s="239"/>
      <c r="G131" s="239"/>
      <c r="H131" s="239"/>
      <c r="I131" s="239"/>
      <c r="J131" s="239"/>
      <c r="K131" s="239"/>
      <c r="L131" s="239"/>
    </row>
    <row r="132" spans="1:12" x14ac:dyDescent="0.25">
      <c r="A132" s="137" t="s">
        <v>884</v>
      </c>
      <c r="B132" s="324" t="s">
        <v>26</v>
      </c>
      <c r="C132" s="325">
        <f>Hypothèses_projet!$C$3</f>
        <v>2021</v>
      </c>
      <c r="D132" s="326">
        <f>C132+1</f>
        <v>2022</v>
      </c>
      <c r="E132" s="326">
        <f t="shared" ref="E132:L132" si="23">D132+1</f>
        <v>2023</v>
      </c>
      <c r="F132" s="326">
        <f t="shared" si="23"/>
        <v>2024</v>
      </c>
      <c r="G132" s="326">
        <f t="shared" si="23"/>
        <v>2025</v>
      </c>
      <c r="H132" s="326">
        <f t="shared" si="23"/>
        <v>2026</v>
      </c>
      <c r="I132" s="326">
        <f t="shared" si="23"/>
        <v>2027</v>
      </c>
      <c r="J132" s="326">
        <f t="shared" si="23"/>
        <v>2028</v>
      </c>
      <c r="K132" s="326">
        <f t="shared" si="23"/>
        <v>2029</v>
      </c>
      <c r="L132" s="327">
        <f t="shared" si="23"/>
        <v>2030</v>
      </c>
    </row>
    <row r="133" spans="1:12" x14ac:dyDescent="0.25">
      <c r="A133" s="138"/>
      <c r="B133" s="312" t="s">
        <v>929</v>
      </c>
      <c r="C133" s="97">
        <f>C74*$C$82*$C$83</f>
        <v>4380</v>
      </c>
      <c r="D133" s="98">
        <f>C133</f>
        <v>4380</v>
      </c>
      <c r="E133" s="98">
        <f t="shared" ref="E133:L134" si="24">D133</f>
        <v>4380</v>
      </c>
      <c r="F133" s="98">
        <f t="shared" si="24"/>
        <v>4380</v>
      </c>
      <c r="G133" s="98">
        <f t="shared" si="24"/>
        <v>4380</v>
      </c>
      <c r="H133" s="98">
        <f t="shared" si="24"/>
        <v>4380</v>
      </c>
      <c r="I133" s="98">
        <f t="shared" si="24"/>
        <v>4380</v>
      </c>
      <c r="J133" s="98">
        <f t="shared" si="24"/>
        <v>4380</v>
      </c>
      <c r="K133" s="98">
        <f t="shared" si="24"/>
        <v>4380</v>
      </c>
      <c r="L133" s="99">
        <f t="shared" si="24"/>
        <v>4380</v>
      </c>
    </row>
    <row r="134" spans="1:12" x14ac:dyDescent="0.25">
      <c r="A134" s="138"/>
      <c r="B134" s="312" t="s">
        <v>931</v>
      </c>
      <c r="C134" s="97">
        <f>C75*$C$82*$C$83</f>
        <v>8760</v>
      </c>
      <c r="D134" s="100">
        <f>C134</f>
        <v>8760</v>
      </c>
      <c r="E134" s="100">
        <f t="shared" si="24"/>
        <v>8760</v>
      </c>
      <c r="F134" s="100">
        <f t="shared" si="24"/>
        <v>8760</v>
      </c>
      <c r="G134" s="100">
        <f t="shared" si="24"/>
        <v>8760</v>
      </c>
      <c r="H134" s="100">
        <f t="shared" si="24"/>
        <v>8760</v>
      </c>
      <c r="I134" s="100">
        <f t="shared" si="24"/>
        <v>8760</v>
      </c>
      <c r="J134" s="100">
        <f t="shared" si="24"/>
        <v>8760</v>
      </c>
      <c r="K134" s="100">
        <f t="shared" si="24"/>
        <v>8760</v>
      </c>
      <c r="L134" s="101">
        <f t="shared" si="24"/>
        <v>8760</v>
      </c>
    </row>
    <row r="135" spans="1:12" x14ac:dyDescent="0.25">
      <c r="A135" s="138"/>
      <c r="B135" s="312" t="s">
        <v>932</v>
      </c>
      <c r="C135" s="97">
        <f>C76*$C$82*$C$83*(1+$C$88/100)*(1+C88/100)*(1+C88/100)</f>
        <v>18396.000000000004</v>
      </c>
      <c r="D135" s="98">
        <f>C135*(1+$C$88/100)</f>
        <v>18396.000000000004</v>
      </c>
      <c r="E135" s="98">
        <f>D135*(1+$C$88/100)</f>
        <v>18396.000000000004</v>
      </c>
      <c r="F135" s="98">
        <f>E135*(1+$C$88/100)</f>
        <v>18396.000000000004</v>
      </c>
      <c r="G135" s="98">
        <f>F135*(1+$C$88/100)</f>
        <v>18396.000000000004</v>
      </c>
      <c r="H135" s="100">
        <f>G135*(1+$C$89/100)</f>
        <v>18396.000000000004</v>
      </c>
      <c r="I135" s="100">
        <f t="shared" ref="I135:L135" si="25">H135*(1+$C$89/100)</f>
        <v>18396.000000000004</v>
      </c>
      <c r="J135" s="100">
        <f t="shared" si="25"/>
        <v>18396.000000000004</v>
      </c>
      <c r="K135" s="100">
        <f t="shared" si="25"/>
        <v>18396.000000000004</v>
      </c>
      <c r="L135" s="101">
        <f t="shared" si="25"/>
        <v>18396.000000000004</v>
      </c>
    </row>
    <row r="136" spans="1:12" x14ac:dyDescent="0.25">
      <c r="A136" s="138"/>
      <c r="B136" s="312" t="s">
        <v>933</v>
      </c>
      <c r="C136" s="97">
        <f>C77*$C$82*$C$83*(1+$C$96/100)</f>
        <v>23652.000000000004</v>
      </c>
      <c r="D136" s="98">
        <f>C136*(1+$C$96/100)</f>
        <v>23652.000000000004</v>
      </c>
      <c r="E136" s="98">
        <f t="shared" ref="E136:G136" si="26">D136*(1+$C$96/100)</f>
        <v>23652.000000000004</v>
      </c>
      <c r="F136" s="98">
        <f t="shared" si="26"/>
        <v>23652.000000000004</v>
      </c>
      <c r="G136" s="98">
        <f t="shared" si="26"/>
        <v>23652.000000000004</v>
      </c>
      <c r="H136" s="100">
        <f>G136*(1+$C$97/100)</f>
        <v>23652.000000000004</v>
      </c>
      <c r="I136" s="100">
        <f t="shared" ref="I136:L136" si="27">H136*(1+$C$97/100)</f>
        <v>23652.000000000004</v>
      </c>
      <c r="J136" s="100">
        <f t="shared" si="27"/>
        <v>23652.000000000004</v>
      </c>
      <c r="K136" s="100">
        <f t="shared" si="27"/>
        <v>23652.000000000004</v>
      </c>
      <c r="L136" s="101">
        <f t="shared" si="27"/>
        <v>23652.000000000004</v>
      </c>
    </row>
    <row r="137" spans="1:12" x14ac:dyDescent="0.25">
      <c r="A137" s="138"/>
      <c r="B137" s="312" t="s">
        <v>934</v>
      </c>
      <c r="C137" s="97">
        <f>C78*$C$82*$C$83</f>
        <v>8760</v>
      </c>
      <c r="D137" s="100">
        <f>C137</f>
        <v>8760</v>
      </c>
      <c r="E137" s="100">
        <f t="shared" ref="E137:L137" si="28">D137</f>
        <v>8760</v>
      </c>
      <c r="F137" s="100">
        <f t="shared" si="28"/>
        <v>8760</v>
      </c>
      <c r="G137" s="100">
        <f t="shared" si="28"/>
        <v>8760</v>
      </c>
      <c r="H137" s="100">
        <f t="shared" si="28"/>
        <v>8760</v>
      </c>
      <c r="I137" s="100">
        <f t="shared" si="28"/>
        <v>8760</v>
      </c>
      <c r="J137" s="100">
        <f t="shared" si="28"/>
        <v>8760</v>
      </c>
      <c r="K137" s="100">
        <f t="shared" si="28"/>
        <v>8760</v>
      </c>
      <c r="L137" s="101">
        <f t="shared" si="28"/>
        <v>8760</v>
      </c>
    </row>
    <row r="138" spans="1:12" x14ac:dyDescent="0.25">
      <c r="A138" s="138"/>
      <c r="B138" s="312" t="s">
        <v>935</v>
      </c>
      <c r="C138" s="97">
        <f>C79*$C$82*$C$83</f>
        <v>20148</v>
      </c>
      <c r="D138" s="100">
        <f>C138*(1+$C$102/100)</f>
        <v>20148</v>
      </c>
      <c r="E138" s="100">
        <f t="shared" ref="E138:F138" si="29">D138*(1+$C$102/100)</f>
        <v>20148</v>
      </c>
      <c r="F138" s="100">
        <f t="shared" si="29"/>
        <v>20148</v>
      </c>
      <c r="G138" s="100">
        <f>F138*(1+$C$103/100)</f>
        <v>20148</v>
      </c>
      <c r="H138" s="100">
        <f>G138*(1+$C$103/100)</f>
        <v>20148</v>
      </c>
      <c r="I138" s="100">
        <f t="shared" ref="I138:K138" si="30">H138*(1+$C$103/100)</f>
        <v>20148</v>
      </c>
      <c r="J138" s="100">
        <f t="shared" si="30"/>
        <v>20148</v>
      </c>
      <c r="K138" s="100">
        <f t="shared" si="30"/>
        <v>20148</v>
      </c>
      <c r="L138" s="101">
        <f>K138*(1+$C$103/100)</f>
        <v>20148</v>
      </c>
    </row>
    <row r="139" spans="1:12" x14ac:dyDescent="0.25">
      <c r="A139" s="138"/>
      <c r="B139" s="312" t="s">
        <v>936</v>
      </c>
      <c r="C139" s="97">
        <f>C80*$C$82*$C$83</f>
        <v>35040</v>
      </c>
      <c r="D139" s="100">
        <f>C139</f>
        <v>35040</v>
      </c>
      <c r="E139" s="100">
        <f t="shared" ref="E139:L139" si="31">D139</f>
        <v>35040</v>
      </c>
      <c r="F139" s="100">
        <f t="shared" si="31"/>
        <v>35040</v>
      </c>
      <c r="G139" s="100">
        <f t="shared" si="31"/>
        <v>35040</v>
      </c>
      <c r="H139" s="100">
        <f t="shared" si="31"/>
        <v>35040</v>
      </c>
      <c r="I139" s="100">
        <f t="shared" si="31"/>
        <v>35040</v>
      </c>
      <c r="J139" s="100">
        <f t="shared" si="31"/>
        <v>35040</v>
      </c>
      <c r="K139" s="100">
        <f t="shared" si="31"/>
        <v>35040</v>
      </c>
      <c r="L139" s="101">
        <f t="shared" si="31"/>
        <v>35040</v>
      </c>
    </row>
    <row r="140" spans="1:12" x14ac:dyDescent="0.25">
      <c r="A140" s="139"/>
      <c r="B140" s="303"/>
      <c r="C140" s="102"/>
      <c r="D140" s="103"/>
      <c r="E140" s="103"/>
      <c r="F140" s="103"/>
      <c r="G140" s="103"/>
      <c r="H140" s="103"/>
      <c r="I140" s="103"/>
      <c r="J140" s="103"/>
      <c r="K140" s="103"/>
      <c r="L140" s="104"/>
    </row>
    <row r="141" spans="1:12" x14ac:dyDescent="0.25">
      <c r="A141" s="105"/>
    </row>
    <row r="143" spans="1:12" x14ac:dyDescent="0.25">
      <c r="B143" s="237" t="s">
        <v>29</v>
      </c>
      <c r="C143" s="237"/>
      <c r="D143" s="237"/>
      <c r="E143" s="237"/>
      <c r="F143" s="237"/>
      <c r="G143" s="237"/>
      <c r="H143" s="237"/>
      <c r="I143" s="237"/>
      <c r="J143" s="237"/>
      <c r="K143" s="237"/>
      <c r="L143" s="237"/>
    </row>
    <row r="144" spans="1:12" x14ac:dyDescent="0.25">
      <c r="B144" s="238" t="s">
        <v>907</v>
      </c>
      <c r="C144" s="239"/>
      <c r="D144" s="239"/>
      <c r="E144" s="239"/>
      <c r="F144" s="239"/>
      <c r="G144" s="239"/>
      <c r="H144" s="239"/>
      <c r="I144" s="239"/>
      <c r="J144" s="239"/>
      <c r="K144" s="239"/>
      <c r="L144" s="239"/>
    </row>
    <row r="145" spans="1:17" x14ac:dyDescent="0.25">
      <c r="A145" s="137" t="s">
        <v>904</v>
      </c>
      <c r="B145" s="324" t="s">
        <v>26</v>
      </c>
      <c r="C145" s="325">
        <f>Hypothèses_projet!$C$3</f>
        <v>2021</v>
      </c>
      <c r="D145" s="326">
        <f>C145+1</f>
        <v>2022</v>
      </c>
      <c r="E145" s="326">
        <f t="shared" ref="E145:L145" si="32">D145+1</f>
        <v>2023</v>
      </c>
      <c r="F145" s="326">
        <f t="shared" si="32"/>
        <v>2024</v>
      </c>
      <c r="G145" s="326">
        <f t="shared" si="32"/>
        <v>2025</v>
      </c>
      <c r="H145" s="326">
        <f t="shared" si="32"/>
        <v>2026</v>
      </c>
      <c r="I145" s="326">
        <f t="shared" si="32"/>
        <v>2027</v>
      </c>
      <c r="J145" s="326">
        <f t="shared" si="32"/>
        <v>2028</v>
      </c>
      <c r="K145" s="326">
        <f t="shared" si="32"/>
        <v>2029</v>
      </c>
      <c r="L145" s="327">
        <f t="shared" si="32"/>
        <v>2030</v>
      </c>
    </row>
    <row r="146" spans="1:17" x14ac:dyDescent="0.25">
      <c r="A146" s="138"/>
      <c r="B146" s="328" t="s">
        <v>929</v>
      </c>
      <c r="C146" s="97">
        <f>C74*C82*C83</f>
        <v>4380</v>
      </c>
      <c r="D146" s="98">
        <f>C146</f>
        <v>4380</v>
      </c>
      <c r="E146" s="98">
        <f t="shared" ref="E146:L147" si="33">D146</f>
        <v>4380</v>
      </c>
      <c r="F146" s="98">
        <f t="shared" si="33"/>
        <v>4380</v>
      </c>
      <c r="G146" s="98">
        <f t="shared" si="33"/>
        <v>4380</v>
      </c>
      <c r="H146" s="98">
        <f t="shared" si="33"/>
        <v>4380</v>
      </c>
      <c r="I146" s="98">
        <f t="shared" si="33"/>
        <v>4380</v>
      </c>
      <c r="J146" s="98">
        <f t="shared" si="33"/>
        <v>4380</v>
      </c>
      <c r="K146" s="98">
        <f t="shared" si="33"/>
        <v>4380</v>
      </c>
      <c r="L146" s="99">
        <f t="shared" si="33"/>
        <v>4380</v>
      </c>
    </row>
    <row r="147" spans="1:17" ht="15.95" customHeight="1" x14ac:dyDescent="0.25">
      <c r="A147" s="138"/>
      <c r="B147" s="328" t="s">
        <v>931</v>
      </c>
      <c r="C147" s="97">
        <f>C75*C82*C83</f>
        <v>8760</v>
      </c>
      <c r="D147" s="98">
        <f>C147</f>
        <v>8760</v>
      </c>
      <c r="E147" s="98">
        <f t="shared" si="33"/>
        <v>8760</v>
      </c>
      <c r="F147" s="98">
        <f t="shared" si="33"/>
        <v>8760</v>
      </c>
      <c r="G147" s="98">
        <f t="shared" si="33"/>
        <v>8760</v>
      </c>
      <c r="H147" s="98">
        <f t="shared" si="33"/>
        <v>8760</v>
      </c>
      <c r="I147" s="98">
        <f t="shared" si="33"/>
        <v>8760</v>
      </c>
      <c r="J147" s="98">
        <f t="shared" si="33"/>
        <v>8760</v>
      </c>
      <c r="K147" s="98">
        <f t="shared" si="33"/>
        <v>8760</v>
      </c>
      <c r="L147" s="99">
        <f t="shared" si="33"/>
        <v>8760</v>
      </c>
    </row>
    <row r="148" spans="1:17" ht="15.95" customHeight="1" x14ac:dyDescent="0.25">
      <c r="A148" s="138"/>
      <c r="B148" s="328" t="s">
        <v>932</v>
      </c>
      <c r="C148" s="97">
        <f>C76*C82*C83*(1+$C$90/100)*(1+C90/100)*(1+C90/100)</f>
        <v>18396.000000000004</v>
      </c>
      <c r="D148" s="98">
        <f>C148*(1+$C$90/100)</f>
        <v>18396.000000000004</v>
      </c>
      <c r="E148" s="98">
        <f t="shared" ref="E148:G148" si="34">D148*(1+$C$90/100)</f>
        <v>18396.000000000004</v>
      </c>
      <c r="F148" s="98">
        <f t="shared" si="34"/>
        <v>18396.000000000004</v>
      </c>
      <c r="G148" s="98">
        <f t="shared" si="34"/>
        <v>18396.000000000004</v>
      </c>
      <c r="H148" s="98">
        <f>G148*(1+$C$91/100)</f>
        <v>18396.000000000004</v>
      </c>
      <c r="I148" s="98">
        <f t="shared" ref="I148:L148" si="35">H148*(1+$C$91/100)</f>
        <v>18396.000000000004</v>
      </c>
      <c r="J148" s="98">
        <f t="shared" si="35"/>
        <v>18396.000000000004</v>
      </c>
      <c r="K148" s="98">
        <f t="shared" si="35"/>
        <v>18396.000000000004</v>
      </c>
      <c r="L148" s="99">
        <f t="shared" si="35"/>
        <v>18396.000000000004</v>
      </c>
    </row>
    <row r="149" spans="1:17" ht="15.95" customHeight="1" x14ac:dyDescent="0.25">
      <c r="A149" s="138"/>
      <c r="B149" s="328" t="s">
        <v>933</v>
      </c>
      <c r="C149" s="97">
        <f>C77*C82*C83*(1+$C$98/100)</f>
        <v>23652.000000000004</v>
      </c>
      <c r="D149" s="98">
        <f>C149*(1+$C$98/100)</f>
        <v>23652.000000000004</v>
      </c>
      <c r="E149" s="98">
        <f t="shared" ref="E149:G149" si="36">D149*(1+$C$98/100)</f>
        <v>23652.000000000004</v>
      </c>
      <c r="F149" s="98">
        <f t="shared" si="36"/>
        <v>23652.000000000004</v>
      </c>
      <c r="G149" s="98">
        <f t="shared" si="36"/>
        <v>23652.000000000004</v>
      </c>
      <c r="H149" s="98">
        <f>G149*(1+$C$99/100)</f>
        <v>23652.000000000004</v>
      </c>
      <c r="I149" s="98">
        <f t="shared" ref="I149:L149" si="37">H149*(1+$C$99/100)</f>
        <v>23652.000000000004</v>
      </c>
      <c r="J149" s="98">
        <f t="shared" si="37"/>
        <v>23652.000000000004</v>
      </c>
      <c r="K149" s="98">
        <f t="shared" si="37"/>
        <v>23652.000000000004</v>
      </c>
      <c r="L149" s="99">
        <f t="shared" si="37"/>
        <v>23652.000000000004</v>
      </c>
    </row>
    <row r="150" spans="1:17" ht="15.95" customHeight="1" x14ac:dyDescent="0.25">
      <c r="A150" s="138"/>
      <c r="B150" s="328" t="s">
        <v>934</v>
      </c>
      <c r="C150" s="97">
        <f>C78*C82*C83</f>
        <v>8760</v>
      </c>
      <c r="D150" s="98">
        <f>C150</f>
        <v>8760</v>
      </c>
      <c r="E150" s="98">
        <f t="shared" ref="E150:L150" si="38">D150</f>
        <v>8760</v>
      </c>
      <c r="F150" s="98">
        <f t="shared" si="38"/>
        <v>8760</v>
      </c>
      <c r="G150" s="98">
        <f t="shared" si="38"/>
        <v>8760</v>
      </c>
      <c r="H150" s="98">
        <f t="shared" si="38"/>
        <v>8760</v>
      </c>
      <c r="I150" s="98">
        <f t="shared" si="38"/>
        <v>8760</v>
      </c>
      <c r="J150" s="98">
        <f t="shared" si="38"/>
        <v>8760</v>
      </c>
      <c r="K150" s="98">
        <f t="shared" si="38"/>
        <v>8760</v>
      </c>
      <c r="L150" s="99">
        <f t="shared" si="38"/>
        <v>8760</v>
      </c>
    </row>
    <row r="151" spans="1:17" ht="15.95" customHeight="1" x14ac:dyDescent="0.25">
      <c r="A151" s="138"/>
      <c r="B151" s="328" t="s">
        <v>935</v>
      </c>
      <c r="C151" s="97">
        <f>C79*C82*C83</f>
        <v>20148</v>
      </c>
      <c r="D151" s="98">
        <f>C151*(1+$C$102/100)</f>
        <v>20148</v>
      </c>
      <c r="E151" s="98">
        <f t="shared" ref="E151:F151" si="39">D151*(1+$C$102/100)</f>
        <v>20148</v>
      </c>
      <c r="F151" s="98">
        <f t="shared" si="39"/>
        <v>20148</v>
      </c>
      <c r="G151" s="98">
        <f>F151*(1+$C$103/100)</f>
        <v>20148</v>
      </c>
      <c r="H151" s="98">
        <f t="shared" ref="H151:K151" si="40">G151*(1+$C$103/100)</f>
        <v>20148</v>
      </c>
      <c r="I151" s="98">
        <f t="shared" si="40"/>
        <v>20148</v>
      </c>
      <c r="J151" s="98">
        <f t="shared" si="40"/>
        <v>20148</v>
      </c>
      <c r="K151" s="98">
        <f t="shared" si="40"/>
        <v>20148</v>
      </c>
      <c r="L151" s="99">
        <f>K151*(1+$C$103/100)</f>
        <v>20148</v>
      </c>
    </row>
    <row r="152" spans="1:17" ht="15.95" customHeight="1" x14ac:dyDescent="0.25">
      <c r="A152" s="139"/>
      <c r="B152" s="329" t="s">
        <v>936</v>
      </c>
      <c r="C152" s="106">
        <f>C80*C82*C83</f>
        <v>35040</v>
      </c>
      <c r="D152" s="107">
        <f>C152</f>
        <v>35040</v>
      </c>
      <c r="E152" s="107">
        <f t="shared" ref="E152:L152" si="41">D152</f>
        <v>35040</v>
      </c>
      <c r="F152" s="107">
        <f t="shared" si="41"/>
        <v>35040</v>
      </c>
      <c r="G152" s="107">
        <f t="shared" si="41"/>
        <v>35040</v>
      </c>
      <c r="H152" s="107">
        <f t="shared" si="41"/>
        <v>35040</v>
      </c>
      <c r="I152" s="107">
        <f t="shared" si="41"/>
        <v>35040</v>
      </c>
      <c r="J152" s="107">
        <f t="shared" si="41"/>
        <v>35040</v>
      </c>
      <c r="K152" s="107">
        <f t="shared" si="41"/>
        <v>35040</v>
      </c>
      <c r="L152" s="108">
        <f t="shared" si="41"/>
        <v>35040</v>
      </c>
    </row>
    <row r="153" spans="1:17" ht="15.95" customHeight="1" x14ac:dyDescent="0.25">
      <c r="C153" s="193"/>
      <c r="D153" s="193"/>
      <c r="E153" s="193"/>
      <c r="F153" s="193"/>
      <c r="G153" s="193"/>
      <c r="H153" s="193"/>
      <c r="I153" s="193"/>
      <c r="J153" s="193"/>
      <c r="K153" s="193"/>
      <c r="L153" s="193"/>
    </row>
    <row r="155" spans="1:17" s="193" customFormat="1" x14ac:dyDescent="0.25">
      <c r="A155" s="330"/>
      <c r="B155" s="245" t="s">
        <v>1320</v>
      </c>
      <c r="C155" s="209"/>
      <c r="D155" s="209"/>
      <c r="E155" s="209"/>
      <c r="F155" s="209" t="s">
        <v>201</v>
      </c>
      <c r="I155" s="266"/>
      <c r="J155" s="266"/>
      <c r="K155" s="266"/>
      <c r="L155" s="266"/>
      <c r="M155" s="266"/>
      <c r="N155" s="266"/>
      <c r="O155" s="266"/>
      <c r="P155" s="266"/>
      <c r="Q155" s="266"/>
    </row>
    <row r="156" spans="1:17" s="193" customFormat="1" x14ac:dyDescent="0.25">
      <c r="A156" s="330"/>
      <c r="B156" s="288"/>
      <c r="C156" s="331"/>
    </row>
    <row r="157" spans="1:17" s="193" customFormat="1" ht="96.6" customHeight="1" x14ac:dyDescent="0.25">
      <c r="A157" s="330"/>
      <c r="B157" s="288" t="s">
        <v>554</v>
      </c>
      <c r="C157" s="332" t="s">
        <v>937</v>
      </c>
      <c r="D157" s="332"/>
      <c r="E157" s="332"/>
    </row>
    <row r="158" spans="1:17" s="193" customFormat="1" x14ac:dyDescent="0.25">
      <c r="A158" s="330"/>
      <c r="B158" s="288"/>
      <c r="C158" s="331"/>
    </row>
    <row r="159" spans="1:17" s="193" customFormat="1" ht="171" customHeight="1" x14ac:dyDescent="0.25">
      <c r="A159" s="330"/>
      <c r="B159" s="146" t="s">
        <v>547</v>
      </c>
      <c r="C159" s="333" t="s">
        <v>938</v>
      </c>
      <c r="D159" s="333"/>
      <c r="E159" s="333"/>
    </row>
    <row r="160" spans="1:17" s="193" customFormat="1" x14ac:dyDescent="0.25">
      <c r="A160" s="330"/>
      <c r="B160" s="331"/>
    </row>
    <row r="161" spans="1:12" ht="15.95" customHeight="1" x14ac:dyDescent="0.25">
      <c r="B161" s="237" t="s">
        <v>29</v>
      </c>
      <c r="C161" s="237"/>
      <c r="D161" s="237"/>
      <c r="E161" s="237"/>
      <c r="F161" s="237"/>
      <c r="G161" s="237"/>
      <c r="H161" s="237"/>
      <c r="I161" s="237"/>
      <c r="J161" s="237"/>
      <c r="K161" s="237"/>
      <c r="L161" s="237"/>
    </row>
    <row r="162" spans="1:12" x14ac:dyDescent="0.25">
      <c r="B162" s="238" t="s">
        <v>907</v>
      </c>
      <c r="C162" s="239"/>
      <c r="D162" s="239"/>
      <c r="E162" s="239"/>
      <c r="F162" s="239"/>
      <c r="G162" s="239"/>
      <c r="H162" s="239"/>
      <c r="I162" s="239"/>
      <c r="J162" s="239"/>
      <c r="K162" s="239"/>
      <c r="L162" s="239"/>
    </row>
    <row r="163" spans="1:12" x14ac:dyDescent="0.25">
      <c r="B163" s="240" t="s">
        <v>26</v>
      </c>
      <c r="C163" s="240">
        <f>Hypothèses_projet!$C$3</f>
        <v>2021</v>
      </c>
      <c r="D163" s="240">
        <f>C163+1</f>
        <v>2022</v>
      </c>
      <c r="E163" s="240">
        <f t="shared" ref="E163:L163" si="42">D163+1</f>
        <v>2023</v>
      </c>
      <c r="F163" s="240">
        <f t="shared" si="42"/>
        <v>2024</v>
      </c>
      <c r="G163" s="240">
        <f t="shared" si="42"/>
        <v>2025</v>
      </c>
      <c r="H163" s="240">
        <f t="shared" si="42"/>
        <v>2026</v>
      </c>
      <c r="I163" s="240">
        <f t="shared" si="42"/>
        <v>2027</v>
      </c>
      <c r="J163" s="240">
        <f t="shared" si="42"/>
        <v>2028</v>
      </c>
      <c r="K163" s="240">
        <f t="shared" si="42"/>
        <v>2029</v>
      </c>
      <c r="L163" s="240">
        <f t="shared" si="42"/>
        <v>2030</v>
      </c>
    </row>
    <row r="164" spans="1:12" x14ac:dyDescent="0.25">
      <c r="B164" s="286" t="s">
        <v>157</v>
      </c>
      <c r="C164" s="290">
        <f>C182</f>
        <v>0</v>
      </c>
      <c r="D164" s="290">
        <f t="shared" ref="D164:L164" si="43">D182</f>
        <v>106.83019388508882</v>
      </c>
      <c r="E164" s="290">
        <f t="shared" si="43"/>
        <v>213.76014504625516</v>
      </c>
      <c r="F164" s="290">
        <f t="shared" si="43"/>
        <v>310.11328566512225</v>
      </c>
      <c r="G164" s="290">
        <f t="shared" si="43"/>
        <v>374.51026854723676</v>
      </c>
      <c r="H164" s="290">
        <f t="shared" si="43"/>
        <v>428.28239903067447</v>
      </c>
      <c r="I164" s="290">
        <f t="shared" si="43"/>
        <v>460.72226281713307</v>
      </c>
      <c r="J164" s="290">
        <f t="shared" si="43"/>
        <v>482.49775378101117</v>
      </c>
      <c r="K164" s="290">
        <f t="shared" si="43"/>
        <v>493.59375859898529</v>
      </c>
      <c r="L164" s="290">
        <f t="shared" si="43"/>
        <v>504.70332566527878</v>
      </c>
    </row>
    <row r="165" spans="1:12" x14ac:dyDescent="0.25">
      <c r="B165" s="286" t="s">
        <v>890</v>
      </c>
      <c r="C165" s="290">
        <f>C195</f>
        <v>0</v>
      </c>
      <c r="D165" s="290">
        <f t="shared" ref="D165:L165" si="44">D195</f>
        <v>534.15096942544415</v>
      </c>
      <c r="E165" s="290">
        <f t="shared" si="44"/>
        <v>1068.8007252312759</v>
      </c>
      <c r="F165" s="290">
        <f t="shared" si="44"/>
        <v>1550.5664283256112</v>
      </c>
      <c r="G165" s="290">
        <f t="shared" si="44"/>
        <v>1872.5513427361836</v>
      </c>
      <c r="H165" s="290">
        <f t="shared" si="44"/>
        <v>2141.4119951533726</v>
      </c>
      <c r="I165" s="290">
        <f t="shared" si="44"/>
        <v>2303.6113140856646</v>
      </c>
      <c r="J165" s="290">
        <f t="shared" si="44"/>
        <v>2412.4887689050556</v>
      </c>
      <c r="K165" s="290">
        <f t="shared" si="44"/>
        <v>2467.9687929949264</v>
      </c>
      <c r="L165" s="290">
        <f t="shared" si="44"/>
        <v>2523.5166283263934</v>
      </c>
    </row>
    <row r="166" spans="1:12" x14ac:dyDescent="0.25">
      <c r="B166" s="286" t="s">
        <v>891</v>
      </c>
      <c r="C166" s="290">
        <f>C208</f>
        <v>0</v>
      </c>
      <c r="D166" s="290">
        <f t="shared" ref="D166:L166" si="45">D208</f>
        <v>3204.905816552664</v>
      </c>
      <c r="E166" s="290">
        <f t="shared" si="45"/>
        <v>6412.8043513876537</v>
      </c>
      <c r="F166" s="290">
        <f t="shared" si="45"/>
        <v>9303.3985699536697</v>
      </c>
      <c r="G166" s="290">
        <f t="shared" si="45"/>
        <v>11235.308056417101</v>
      </c>
      <c r="H166" s="290">
        <f t="shared" si="45"/>
        <v>12848.471970920231</v>
      </c>
      <c r="I166" s="290">
        <f t="shared" si="45"/>
        <v>13821.66788451399</v>
      </c>
      <c r="J166" s="290">
        <f t="shared" si="45"/>
        <v>14474.932613430336</v>
      </c>
      <c r="K166" s="290">
        <f t="shared" si="45"/>
        <v>14807.812757969557</v>
      </c>
      <c r="L166" s="290">
        <f t="shared" si="45"/>
        <v>15141.099769958359</v>
      </c>
    </row>
    <row r="167" spans="1:12" x14ac:dyDescent="0.25">
      <c r="B167" s="286" t="s">
        <v>892</v>
      </c>
      <c r="C167" s="93">
        <f>IF($F$155="Oui",C165-C164,0)</f>
        <v>0</v>
      </c>
      <c r="D167" s="93">
        <f t="shared" ref="D167:L167" si="46">IF($F$155="Oui",D165-D164,0)</f>
        <v>427.32077554035533</v>
      </c>
      <c r="E167" s="93">
        <f t="shared" si="46"/>
        <v>855.04058018502076</v>
      </c>
      <c r="F167" s="93">
        <f t="shared" si="46"/>
        <v>1240.453142660489</v>
      </c>
      <c r="G167" s="93">
        <f t="shared" si="46"/>
        <v>1498.0410741889468</v>
      </c>
      <c r="H167" s="93">
        <f t="shared" si="46"/>
        <v>1713.1295961226981</v>
      </c>
      <c r="I167" s="93">
        <f t="shared" si="46"/>
        <v>1842.8890512685316</v>
      </c>
      <c r="J167" s="93">
        <f t="shared" si="46"/>
        <v>1929.9910151240445</v>
      </c>
      <c r="K167" s="93">
        <f t="shared" si="46"/>
        <v>1974.3750343959412</v>
      </c>
      <c r="L167" s="93">
        <f t="shared" si="46"/>
        <v>2018.8133026611147</v>
      </c>
    </row>
    <row r="168" spans="1:12" x14ac:dyDescent="0.25">
      <c r="B168" s="286" t="s">
        <v>893</v>
      </c>
      <c r="C168" s="93">
        <f>IF($F$155="Oui",C166-C164,0)</f>
        <v>0</v>
      </c>
      <c r="D168" s="93">
        <f t="shared" ref="D168:L168" si="47">IF($F$155="Oui",D166-D164,0)</f>
        <v>3098.0756226675753</v>
      </c>
      <c r="E168" s="93">
        <f t="shared" si="47"/>
        <v>6199.0442063413984</v>
      </c>
      <c r="F168" s="93">
        <f t="shared" si="47"/>
        <v>8993.2852842885477</v>
      </c>
      <c r="G168" s="93">
        <f t="shared" si="47"/>
        <v>10860.797787869864</v>
      </c>
      <c r="H168" s="93">
        <f t="shared" si="47"/>
        <v>12420.189571889556</v>
      </c>
      <c r="I168" s="93">
        <f t="shared" si="47"/>
        <v>13360.945621696857</v>
      </c>
      <c r="J168" s="93">
        <f t="shared" si="47"/>
        <v>13992.434859649324</v>
      </c>
      <c r="K168" s="93">
        <f t="shared" si="47"/>
        <v>14314.218999370572</v>
      </c>
      <c r="L168" s="93">
        <f t="shared" si="47"/>
        <v>14636.396444293079</v>
      </c>
    </row>
    <row r="169" spans="1:12" x14ac:dyDescent="0.25">
      <c r="B169" s="334"/>
      <c r="C169" s="98"/>
      <c r="D169" s="98"/>
      <c r="E169" s="98"/>
      <c r="F169" s="98"/>
      <c r="G169" s="98"/>
      <c r="H169" s="98"/>
      <c r="I169" s="98"/>
      <c r="J169" s="98"/>
      <c r="K169" s="98"/>
      <c r="L169" s="98"/>
    </row>
    <row r="170" spans="1:12" s="193" customFormat="1" x14ac:dyDescent="0.25">
      <c r="A170" s="330"/>
      <c r="B170" s="335" t="s">
        <v>70</v>
      </c>
    </row>
    <row r="171" spans="1:12" s="193" customFormat="1" x14ac:dyDescent="0.25">
      <c r="A171" s="330"/>
      <c r="B171" s="336"/>
    </row>
    <row r="172" spans="1:12" s="193" customFormat="1" x14ac:dyDescent="0.25">
      <c r="A172" s="330"/>
      <c r="B172" s="266" t="s">
        <v>939</v>
      </c>
    </row>
    <row r="173" spans="1:12" s="193" customFormat="1" x14ac:dyDescent="0.25">
      <c r="A173" s="330"/>
      <c r="B173" s="291" t="s">
        <v>29</v>
      </c>
      <c r="C173" s="291"/>
      <c r="D173" s="291"/>
      <c r="E173" s="291"/>
      <c r="F173" s="291"/>
      <c r="G173" s="291"/>
      <c r="H173" s="291"/>
      <c r="I173" s="291"/>
      <c r="J173" s="291"/>
      <c r="K173" s="291"/>
      <c r="L173" s="291"/>
    </row>
    <row r="174" spans="1:12" s="193" customFormat="1" x14ac:dyDescent="0.25">
      <c r="A174" s="330"/>
      <c r="B174" s="292" t="s">
        <v>940</v>
      </c>
      <c r="C174" s="293"/>
      <c r="D174" s="293"/>
      <c r="E174" s="293"/>
      <c r="F174" s="293"/>
      <c r="G174" s="293"/>
      <c r="H174" s="293"/>
      <c r="I174" s="293"/>
      <c r="J174" s="293"/>
      <c r="K174" s="293"/>
      <c r="L174" s="293"/>
    </row>
    <row r="175" spans="1:12" s="193" customFormat="1" x14ac:dyDescent="0.25">
      <c r="A175" s="136" t="s">
        <v>897</v>
      </c>
      <c r="B175" s="294" t="s">
        <v>26</v>
      </c>
      <c r="C175" s="337">
        <f>Hypothèses_projet!$C$3</f>
        <v>2021</v>
      </c>
      <c r="D175" s="337">
        <f>C175+1</f>
        <v>2022</v>
      </c>
      <c r="E175" s="337">
        <f t="shared" ref="E175:L175" si="48">D175+1</f>
        <v>2023</v>
      </c>
      <c r="F175" s="337">
        <f t="shared" si="48"/>
        <v>2024</v>
      </c>
      <c r="G175" s="337">
        <f t="shared" si="48"/>
        <v>2025</v>
      </c>
      <c r="H175" s="337">
        <f t="shared" si="48"/>
        <v>2026</v>
      </c>
      <c r="I175" s="337">
        <f t="shared" si="48"/>
        <v>2027</v>
      </c>
      <c r="J175" s="337">
        <f t="shared" si="48"/>
        <v>2028</v>
      </c>
      <c r="K175" s="337">
        <f t="shared" si="48"/>
        <v>2029</v>
      </c>
      <c r="L175" s="338">
        <f t="shared" si="48"/>
        <v>2030</v>
      </c>
    </row>
    <row r="176" spans="1:12" s="193" customFormat="1" x14ac:dyDescent="0.25">
      <c r="A176" s="136"/>
      <c r="B176" s="299" t="s">
        <v>175</v>
      </c>
      <c r="C176" s="98">
        <f t="shared" ref="C176:L176" si="49">C184*$C$220*$C$213/100*($C$235+$C$237*$C$238)/20</f>
        <v>0</v>
      </c>
      <c r="D176" s="98">
        <f t="shared" si="49"/>
        <v>33.086377574999986</v>
      </c>
      <c r="E176" s="98">
        <f t="shared" si="49"/>
        <v>66.17275515</v>
      </c>
      <c r="F176" s="98">
        <f t="shared" si="49"/>
        <v>95.950494967500006</v>
      </c>
      <c r="G176" s="98">
        <f t="shared" si="49"/>
        <v>115.8023215125</v>
      </c>
      <c r="H176" s="98">
        <f t="shared" si="49"/>
        <v>132.3455103</v>
      </c>
      <c r="I176" s="98">
        <f t="shared" si="49"/>
        <v>142.2714235725</v>
      </c>
      <c r="J176" s="98">
        <f t="shared" si="49"/>
        <v>148.88869908750002</v>
      </c>
      <c r="K176" s="98">
        <f t="shared" si="49"/>
        <v>152.197336845</v>
      </c>
      <c r="L176" s="99">
        <f t="shared" si="49"/>
        <v>155.5059746025</v>
      </c>
    </row>
    <row r="177" spans="1:12" s="193" customFormat="1" x14ac:dyDescent="0.25">
      <c r="A177" s="136"/>
      <c r="B177" s="299" t="s">
        <v>941</v>
      </c>
      <c r="C177" s="98">
        <f t="shared" ref="C177:L177" si="50">C184*$C$221*$C$214/100*($C$240+$C$242*$C$243)/20</f>
        <v>0</v>
      </c>
      <c r="D177" s="98">
        <f t="shared" si="50"/>
        <v>38.553413272499981</v>
      </c>
      <c r="E177" s="98">
        <f t="shared" si="50"/>
        <v>77.106826545000004</v>
      </c>
      <c r="F177" s="98">
        <f t="shared" si="50"/>
        <v>111.80489849025</v>
      </c>
      <c r="G177" s="98">
        <f t="shared" si="50"/>
        <v>134.93694645375001</v>
      </c>
      <c r="H177" s="98">
        <f t="shared" si="50"/>
        <v>154.21365309000001</v>
      </c>
      <c r="I177" s="98">
        <f t="shared" si="50"/>
        <v>165.77967707175</v>
      </c>
      <c r="J177" s="98">
        <f t="shared" si="50"/>
        <v>173.49035972625001</v>
      </c>
      <c r="K177" s="98">
        <f t="shared" si="50"/>
        <v>177.34570105350002</v>
      </c>
      <c r="L177" s="99">
        <f t="shared" si="50"/>
        <v>181.20104238075001</v>
      </c>
    </row>
    <row r="178" spans="1:12" s="193" customFormat="1" x14ac:dyDescent="0.25">
      <c r="A178" s="136"/>
      <c r="B178" s="299" t="s">
        <v>187</v>
      </c>
      <c r="C178" s="98">
        <f t="shared" ref="C178:L178" si="51">C183*$C$223/100*$C$215/100*($C$245+$C$247*$C$248)/20</f>
        <v>0</v>
      </c>
      <c r="D178" s="98">
        <f t="shared" si="51"/>
        <v>6.3105960121513602</v>
      </c>
      <c r="E178" s="98">
        <f t="shared" si="51"/>
        <v>12.72094930038017</v>
      </c>
      <c r="F178" s="98">
        <f t="shared" si="51"/>
        <v>18.606451833603494</v>
      </c>
      <c r="G178" s="98">
        <f t="shared" si="51"/>
        <v>22.691675991955485</v>
      </c>
      <c r="H178" s="98">
        <f t="shared" si="51"/>
        <v>26.204007538924468</v>
      </c>
      <c r="I178" s="98">
        <f t="shared" si="51"/>
        <v>28.487991963501752</v>
      </c>
      <c r="J178" s="98">
        <f t="shared" si="51"/>
        <v>30.159563352792382</v>
      </c>
      <c r="K178" s="98">
        <f t="shared" si="51"/>
        <v>31.203608383472748</v>
      </c>
      <c r="L178" s="99">
        <f t="shared" si="51"/>
        <v>32.261215662472452</v>
      </c>
    </row>
    <row r="179" spans="1:12" s="193" customFormat="1" x14ac:dyDescent="0.25">
      <c r="A179" s="136"/>
      <c r="B179" s="299" t="s">
        <v>188</v>
      </c>
      <c r="C179" s="98">
        <f t="shared" ref="C179:L179" si="52">C184*$C$222*$C$216/100*($C$250+$C$251*$C$252)/20</f>
        <v>0</v>
      </c>
      <c r="D179" s="98">
        <f t="shared" si="52"/>
        <v>2.6252559954374992</v>
      </c>
      <c r="E179" s="98">
        <f t="shared" si="52"/>
        <v>5.2505119908750011</v>
      </c>
      <c r="F179" s="98">
        <f t="shared" si="52"/>
        <v>7.6132423867687509</v>
      </c>
      <c r="G179" s="98">
        <f t="shared" si="52"/>
        <v>9.188395984031251</v>
      </c>
      <c r="H179" s="98">
        <f t="shared" si="52"/>
        <v>10.501023981750002</v>
      </c>
      <c r="I179" s="98">
        <f t="shared" si="52"/>
        <v>11.288600780381252</v>
      </c>
      <c r="J179" s="98">
        <f t="shared" si="52"/>
        <v>11.813651979468752</v>
      </c>
      <c r="K179" s="98">
        <f t="shared" si="52"/>
        <v>12.076177579012501</v>
      </c>
      <c r="L179" s="99">
        <f t="shared" si="52"/>
        <v>12.338703178556253</v>
      </c>
    </row>
    <row r="180" spans="1:12" s="193" customFormat="1" x14ac:dyDescent="0.25">
      <c r="A180" s="136"/>
      <c r="B180" s="299" t="s">
        <v>942</v>
      </c>
      <c r="C180" s="98">
        <f t="shared" ref="C180:L180" si="53">C184*$C$224*$C$217/100*($C$254+$C$255*$C$256)/20</f>
        <v>0</v>
      </c>
      <c r="D180" s="98">
        <f t="shared" si="53"/>
        <v>17.628413272499991</v>
      </c>
      <c r="E180" s="98">
        <f t="shared" si="53"/>
        <v>35.256826544999996</v>
      </c>
      <c r="F180" s="98">
        <f t="shared" si="53"/>
        <v>51.122398490249999</v>
      </c>
      <c r="G180" s="98">
        <f t="shared" si="53"/>
        <v>61.699446453749999</v>
      </c>
      <c r="H180" s="98">
        <f t="shared" si="53"/>
        <v>70.513653089999991</v>
      </c>
      <c r="I180" s="98">
        <f t="shared" si="53"/>
        <v>75.802177071749995</v>
      </c>
      <c r="J180" s="98">
        <f t="shared" si="53"/>
        <v>79.327859726249997</v>
      </c>
      <c r="K180" s="98">
        <f t="shared" si="53"/>
        <v>81.090701053499998</v>
      </c>
      <c r="L180" s="99">
        <f t="shared" si="53"/>
        <v>82.853542380749985</v>
      </c>
    </row>
    <row r="181" spans="1:12" s="193" customFormat="1" x14ac:dyDescent="0.25">
      <c r="A181" s="136"/>
      <c r="B181" s="299" t="s">
        <v>943</v>
      </c>
      <c r="C181" s="98">
        <f t="shared" ref="C181:L181" si="54">C184*$C$225*$C$218/100*($C$258+$C$259*$C$260)/20</f>
        <v>0</v>
      </c>
      <c r="D181" s="98">
        <f t="shared" si="54"/>
        <v>8.6261377574999969</v>
      </c>
      <c r="E181" s="98">
        <f t="shared" si="54"/>
        <v>17.252275515000001</v>
      </c>
      <c r="F181" s="98">
        <f t="shared" si="54"/>
        <v>25.015799496750002</v>
      </c>
      <c r="G181" s="98">
        <f t="shared" si="54"/>
        <v>30.19148215125</v>
      </c>
      <c r="H181" s="98">
        <f t="shared" si="54"/>
        <v>34.504551030000002</v>
      </c>
      <c r="I181" s="98">
        <f t="shared" si="54"/>
        <v>37.092392357250006</v>
      </c>
      <c r="J181" s="98">
        <f t="shared" si="54"/>
        <v>38.817619908750004</v>
      </c>
      <c r="K181" s="98">
        <f t="shared" si="54"/>
        <v>39.680233684500003</v>
      </c>
      <c r="L181" s="99">
        <f t="shared" si="54"/>
        <v>40.542847460250002</v>
      </c>
    </row>
    <row r="182" spans="1:12" s="193" customFormat="1" x14ac:dyDescent="0.25">
      <c r="A182" s="136"/>
      <c r="B182" s="299" t="s">
        <v>176</v>
      </c>
      <c r="C182" s="98">
        <f>SUM(C176:C181)</f>
        <v>0</v>
      </c>
      <c r="D182" s="98">
        <f t="shared" ref="D182:L182" si="55">SUM(D176:D181)</f>
        <v>106.83019388508882</v>
      </c>
      <c r="E182" s="98">
        <f t="shared" si="55"/>
        <v>213.76014504625516</v>
      </c>
      <c r="F182" s="98">
        <f t="shared" si="55"/>
        <v>310.11328566512225</v>
      </c>
      <c r="G182" s="98">
        <f t="shared" si="55"/>
        <v>374.51026854723676</v>
      </c>
      <c r="H182" s="98">
        <f t="shared" si="55"/>
        <v>428.28239903067447</v>
      </c>
      <c r="I182" s="98">
        <f t="shared" si="55"/>
        <v>460.72226281713307</v>
      </c>
      <c r="J182" s="98">
        <f t="shared" si="55"/>
        <v>482.49775378101117</v>
      </c>
      <c r="K182" s="98">
        <f t="shared" si="55"/>
        <v>493.59375859898529</v>
      </c>
      <c r="L182" s="99">
        <f t="shared" si="55"/>
        <v>504.70332566527878</v>
      </c>
    </row>
    <row r="183" spans="1:12" s="193" customFormat="1" x14ac:dyDescent="0.25">
      <c r="A183" s="136"/>
      <c r="B183" s="299" t="s">
        <v>944</v>
      </c>
      <c r="C183" s="91">
        <v>0</v>
      </c>
      <c r="D183" s="91">
        <v>51640</v>
      </c>
      <c r="E183" s="91">
        <v>104096.32000000001</v>
      </c>
      <c r="F183" s="91">
        <v>152257.7536</v>
      </c>
      <c r="G183" s="91">
        <v>185687.39719167998</v>
      </c>
      <c r="H183" s="91">
        <v>214429.02488203259</v>
      </c>
      <c r="I183" s="91">
        <v>233119.01160564192</v>
      </c>
      <c r="J183" s="91">
        <v>246797.58433898672</v>
      </c>
      <c r="K183" s="91">
        <v>255341.06981651043</v>
      </c>
      <c r="L183" s="92">
        <v>263995.5360162768</v>
      </c>
    </row>
    <row r="184" spans="1:12" s="193" customFormat="1" x14ac:dyDescent="0.25">
      <c r="A184" s="136"/>
      <c r="B184" s="339" t="s">
        <v>945</v>
      </c>
      <c r="C184" s="340">
        <v>0</v>
      </c>
      <c r="D184" s="340">
        <v>29999.999999999985</v>
      </c>
      <c r="E184" s="340">
        <v>60000</v>
      </c>
      <c r="F184" s="340">
        <v>87000</v>
      </c>
      <c r="G184" s="340">
        <v>105000</v>
      </c>
      <c r="H184" s="340">
        <v>120000</v>
      </c>
      <c r="I184" s="340">
        <v>129000</v>
      </c>
      <c r="J184" s="340">
        <v>135000</v>
      </c>
      <c r="K184" s="340">
        <v>138000</v>
      </c>
      <c r="L184" s="322">
        <v>141000</v>
      </c>
    </row>
    <row r="185" spans="1:12" s="193" customFormat="1" x14ac:dyDescent="0.25">
      <c r="A185" s="341"/>
      <c r="B185" s="342"/>
      <c r="C185" s="342"/>
      <c r="D185" s="342"/>
      <c r="E185" s="342"/>
      <c r="F185" s="342"/>
      <c r="G185" s="342"/>
      <c r="H185" s="342"/>
      <c r="I185" s="342"/>
      <c r="J185" s="342"/>
      <c r="K185" s="342"/>
      <c r="L185" s="342"/>
    </row>
    <row r="186" spans="1:12" s="193" customFormat="1" x14ac:dyDescent="0.25">
      <c r="A186" s="330"/>
      <c r="B186" s="291" t="s">
        <v>29</v>
      </c>
      <c r="C186" s="291"/>
      <c r="D186" s="291"/>
      <c r="E186" s="291"/>
      <c r="F186" s="291"/>
      <c r="G186" s="291"/>
      <c r="H186" s="291"/>
      <c r="I186" s="291"/>
      <c r="J186" s="291"/>
      <c r="K186" s="291"/>
      <c r="L186" s="291"/>
    </row>
    <row r="187" spans="1:12" s="193" customFormat="1" x14ac:dyDescent="0.25">
      <c r="A187" s="330"/>
      <c r="B187" s="292" t="s">
        <v>171</v>
      </c>
      <c r="C187" s="293"/>
      <c r="D187" s="293"/>
      <c r="E187" s="293"/>
      <c r="F187" s="293"/>
      <c r="G187" s="293"/>
      <c r="H187" s="293"/>
      <c r="I187" s="293"/>
      <c r="J187" s="293"/>
      <c r="K187" s="293"/>
      <c r="L187" s="293"/>
    </row>
    <row r="188" spans="1:12" s="193" customFormat="1" x14ac:dyDescent="0.25">
      <c r="A188" s="137" t="s">
        <v>884</v>
      </c>
      <c r="B188" s="294" t="s">
        <v>26</v>
      </c>
      <c r="C188" s="337">
        <f>Hypothèses_projet!$C$3</f>
        <v>2021</v>
      </c>
      <c r="D188" s="337">
        <f>C188+1</f>
        <v>2022</v>
      </c>
      <c r="E188" s="337">
        <f t="shared" ref="E188:L188" si="56">D188+1</f>
        <v>2023</v>
      </c>
      <c r="F188" s="337">
        <f t="shared" si="56"/>
        <v>2024</v>
      </c>
      <c r="G188" s="337">
        <f t="shared" si="56"/>
        <v>2025</v>
      </c>
      <c r="H188" s="337">
        <f t="shared" si="56"/>
        <v>2026</v>
      </c>
      <c r="I188" s="337">
        <f t="shared" si="56"/>
        <v>2027</v>
      </c>
      <c r="J188" s="337">
        <f t="shared" si="56"/>
        <v>2028</v>
      </c>
      <c r="K188" s="337">
        <f t="shared" si="56"/>
        <v>2029</v>
      </c>
      <c r="L188" s="338">
        <f t="shared" si="56"/>
        <v>2030</v>
      </c>
    </row>
    <row r="189" spans="1:12" s="193" customFormat="1" x14ac:dyDescent="0.25">
      <c r="A189" s="138"/>
      <c r="B189" s="299" t="s">
        <v>175</v>
      </c>
      <c r="C189" s="98">
        <f t="shared" ref="C189:L189" si="57">C197*$C$220*$C$213/100*($C$235+$C$237*$C$238)/20</f>
        <v>0</v>
      </c>
      <c r="D189" s="98">
        <f t="shared" si="57"/>
        <v>165.43188787499994</v>
      </c>
      <c r="E189" s="98">
        <f t="shared" si="57"/>
        <v>330.86377575</v>
      </c>
      <c r="F189" s="98">
        <f t="shared" si="57"/>
        <v>479.75247483750002</v>
      </c>
      <c r="G189" s="98">
        <f t="shared" si="57"/>
        <v>579.01160756249999</v>
      </c>
      <c r="H189" s="98">
        <f t="shared" si="57"/>
        <v>661.7275515</v>
      </c>
      <c r="I189" s="98">
        <f t="shared" si="57"/>
        <v>711.35711786249999</v>
      </c>
      <c r="J189" s="98">
        <f t="shared" si="57"/>
        <v>744.44349543750002</v>
      </c>
      <c r="K189" s="98">
        <f t="shared" si="57"/>
        <v>760.98668422500009</v>
      </c>
      <c r="L189" s="99">
        <f t="shared" si="57"/>
        <v>777.52987301250005</v>
      </c>
    </row>
    <row r="190" spans="1:12" s="193" customFormat="1" x14ac:dyDescent="0.25">
      <c r="A190" s="138"/>
      <c r="B190" s="299" t="s">
        <v>941</v>
      </c>
      <c r="C190" s="98">
        <f t="shared" ref="C190:L190" si="58">C197*$C$221*$C$214/100*($C$240+$C$242*$C$243)/20</f>
        <v>0</v>
      </c>
      <c r="D190" s="98">
        <f t="shared" si="58"/>
        <v>192.76706636249995</v>
      </c>
      <c r="E190" s="98">
        <f t="shared" si="58"/>
        <v>385.53413272500001</v>
      </c>
      <c r="F190" s="98">
        <f t="shared" si="58"/>
        <v>559.02449245125001</v>
      </c>
      <c r="G190" s="98">
        <f t="shared" si="58"/>
        <v>674.68473226875005</v>
      </c>
      <c r="H190" s="98">
        <f t="shared" si="58"/>
        <v>771.06826545000001</v>
      </c>
      <c r="I190" s="98">
        <f t="shared" si="58"/>
        <v>828.89838535875003</v>
      </c>
      <c r="J190" s="98">
        <f t="shared" si="58"/>
        <v>867.45179863124997</v>
      </c>
      <c r="K190" s="98">
        <f t="shared" si="58"/>
        <v>886.72850526750005</v>
      </c>
      <c r="L190" s="99">
        <f t="shared" si="58"/>
        <v>906.00521190375002</v>
      </c>
    </row>
    <row r="191" spans="1:12" s="193" customFormat="1" x14ac:dyDescent="0.25">
      <c r="A191" s="138"/>
      <c r="B191" s="299" t="s">
        <v>187</v>
      </c>
      <c r="C191" s="98">
        <f t="shared" ref="C191:L191" si="59">C196*$C$223/100*$C$215/100*($C$245+$C$247*$C$248)/20</f>
        <v>0</v>
      </c>
      <c r="D191" s="98">
        <f t="shared" si="59"/>
        <v>31.552980060756802</v>
      </c>
      <c r="E191" s="98">
        <f t="shared" si="59"/>
        <v>63.604746501900856</v>
      </c>
      <c r="F191" s="98">
        <f t="shared" si="59"/>
        <v>93.032259168017461</v>
      </c>
      <c r="G191" s="98">
        <f t="shared" si="59"/>
        <v>113.45837995977747</v>
      </c>
      <c r="H191" s="98">
        <f t="shared" si="59"/>
        <v>131.02003769462235</v>
      </c>
      <c r="I191" s="98">
        <f t="shared" si="59"/>
        <v>142.43995981750876</v>
      </c>
      <c r="J191" s="98">
        <f t="shared" si="59"/>
        <v>150.79781676396192</v>
      </c>
      <c r="K191" s="98">
        <f t="shared" si="59"/>
        <v>156.01804191736375</v>
      </c>
      <c r="L191" s="99">
        <f t="shared" si="59"/>
        <v>161.30607831236225</v>
      </c>
    </row>
    <row r="192" spans="1:12" s="193" customFormat="1" x14ac:dyDescent="0.25">
      <c r="A192" s="138"/>
      <c r="B192" s="299" t="s">
        <v>188</v>
      </c>
      <c r="C192" s="98">
        <f t="shared" ref="C192:L192" si="60">C197*$C$222*$C$216/100*($C$250+$C$251*$C$252)/20</f>
        <v>0</v>
      </c>
      <c r="D192" s="98">
        <f t="shared" si="60"/>
        <v>13.126279977187497</v>
      </c>
      <c r="E192" s="98">
        <f t="shared" si="60"/>
        <v>26.252559954375005</v>
      </c>
      <c r="F192" s="98">
        <f t="shared" si="60"/>
        <v>38.066211933843753</v>
      </c>
      <c r="G192" s="98">
        <f t="shared" si="60"/>
        <v>45.941979920156257</v>
      </c>
      <c r="H192" s="98">
        <f t="shared" si="60"/>
        <v>52.505119908750011</v>
      </c>
      <c r="I192" s="98">
        <f t="shared" si="60"/>
        <v>56.443003901906266</v>
      </c>
      <c r="J192" s="98">
        <f t="shared" si="60"/>
        <v>59.068259897343765</v>
      </c>
      <c r="K192" s="98">
        <f t="shared" si="60"/>
        <v>60.380887895062507</v>
      </c>
      <c r="L192" s="99">
        <f t="shared" si="60"/>
        <v>61.693515892781264</v>
      </c>
    </row>
    <row r="193" spans="1:12" s="193" customFormat="1" x14ac:dyDescent="0.25">
      <c r="A193" s="138"/>
      <c r="B193" s="299" t="s">
        <v>942</v>
      </c>
      <c r="C193" s="98">
        <f t="shared" ref="C193:L193" si="61">C197*$C$224*$C$217/100*($C$254+$C$255*$C$256)/20</f>
        <v>0</v>
      </c>
      <c r="D193" s="98">
        <f t="shared" si="61"/>
        <v>88.142066362499961</v>
      </c>
      <c r="E193" s="98">
        <f t="shared" si="61"/>
        <v>176.28413272500001</v>
      </c>
      <c r="F193" s="98">
        <f t="shared" si="61"/>
        <v>255.61199245124999</v>
      </c>
      <c r="G193" s="98">
        <f t="shared" si="61"/>
        <v>308.49723226875</v>
      </c>
      <c r="H193" s="98">
        <f t="shared" si="61"/>
        <v>352.56826545000001</v>
      </c>
      <c r="I193" s="98">
        <f t="shared" si="61"/>
        <v>379.01088535874999</v>
      </c>
      <c r="J193" s="98">
        <f t="shared" si="61"/>
        <v>396.63929863124997</v>
      </c>
      <c r="K193" s="98">
        <f t="shared" si="61"/>
        <v>405.45350526749996</v>
      </c>
      <c r="L193" s="99">
        <f t="shared" si="61"/>
        <v>414.26771190374996</v>
      </c>
    </row>
    <row r="194" spans="1:12" s="193" customFormat="1" x14ac:dyDescent="0.25">
      <c r="A194" s="138"/>
      <c r="B194" s="299" t="s">
        <v>943</v>
      </c>
      <c r="C194" s="98">
        <f t="shared" ref="C194:L194" si="62">C197*$C$225*$C$218/100*($C$258+$C$259*$C$260)/20</f>
        <v>0</v>
      </c>
      <c r="D194" s="98">
        <f t="shared" si="62"/>
        <v>43.130688787499984</v>
      </c>
      <c r="E194" s="98">
        <f t="shared" si="62"/>
        <v>86.261377575000012</v>
      </c>
      <c r="F194" s="98">
        <f t="shared" si="62"/>
        <v>125.07899748375</v>
      </c>
      <c r="G194" s="98">
        <f t="shared" si="62"/>
        <v>150.95741075625</v>
      </c>
      <c r="H194" s="98">
        <f t="shared" si="62"/>
        <v>172.52275515000002</v>
      </c>
      <c r="I194" s="98">
        <f t="shared" si="62"/>
        <v>185.46196178625001</v>
      </c>
      <c r="J194" s="98">
        <f t="shared" si="62"/>
        <v>194.08809954375002</v>
      </c>
      <c r="K194" s="98">
        <f t="shared" si="62"/>
        <v>198.40116842250001</v>
      </c>
      <c r="L194" s="99">
        <f t="shared" si="62"/>
        <v>202.71423730125002</v>
      </c>
    </row>
    <row r="195" spans="1:12" s="193" customFormat="1" x14ac:dyDescent="0.25">
      <c r="A195" s="138"/>
      <c r="B195" s="299" t="s">
        <v>176</v>
      </c>
      <c r="C195" s="98">
        <f>SUM(C189:C193)</f>
        <v>0</v>
      </c>
      <c r="D195" s="98">
        <f>SUM(D189:D194)</f>
        <v>534.15096942544415</v>
      </c>
      <c r="E195" s="98">
        <f t="shared" ref="E195:L195" si="63">SUM(E189:E194)</f>
        <v>1068.8007252312759</v>
      </c>
      <c r="F195" s="98">
        <f t="shared" si="63"/>
        <v>1550.5664283256112</v>
      </c>
      <c r="G195" s="98">
        <f t="shared" si="63"/>
        <v>1872.5513427361836</v>
      </c>
      <c r="H195" s="98">
        <f t="shared" si="63"/>
        <v>2141.4119951533726</v>
      </c>
      <c r="I195" s="98">
        <f t="shared" si="63"/>
        <v>2303.6113140856646</v>
      </c>
      <c r="J195" s="98">
        <f t="shared" si="63"/>
        <v>2412.4887689050556</v>
      </c>
      <c r="K195" s="98">
        <f t="shared" si="63"/>
        <v>2467.9687929949264</v>
      </c>
      <c r="L195" s="99">
        <f t="shared" si="63"/>
        <v>2523.5166283263934</v>
      </c>
    </row>
    <row r="196" spans="1:12" s="193" customFormat="1" x14ac:dyDescent="0.25">
      <c r="A196" s="138"/>
      <c r="B196" s="299" t="s">
        <v>944</v>
      </c>
      <c r="C196" s="91">
        <v>0</v>
      </c>
      <c r="D196" s="91">
        <f>D183*5</f>
        <v>258200</v>
      </c>
      <c r="E196" s="91">
        <f t="shared" ref="E196:L197" si="64">E183*5</f>
        <v>520481.60000000003</v>
      </c>
      <c r="F196" s="91">
        <f t="shared" si="64"/>
        <v>761288.76799999992</v>
      </c>
      <c r="G196" s="91">
        <f t="shared" si="64"/>
        <v>928436.98595839995</v>
      </c>
      <c r="H196" s="91">
        <f t="shared" si="64"/>
        <v>1072145.1244101629</v>
      </c>
      <c r="I196" s="91">
        <f t="shared" si="64"/>
        <v>1165595.0580282095</v>
      </c>
      <c r="J196" s="91">
        <f t="shared" si="64"/>
        <v>1233987.9216949337</v>
      </c>
      <c r="K196" s="91">
        <f t="shared" si="64"/>
        <v>1276705.3490825521</v>
      </c>
      <c r="L196" s="92">
        <f t="shared" si="64"/>
        <v>1319977.680081384</v>
      </c>
    </row>
    <row r="197" spans="1:12" s="193" customFormat="1" x14ac:dyDescent="0.25">
      <c r="A197" s="139"/>
      <c r="B197" s="339" t="s">
        <v>945</v>
      </c>
      <c r="C197" s="340">
        <v>0</v>
      </c>
      <c r="D197" s="340">
        <f>D184*5</f>
        <v>149999.99999999994</v>
      </c>
      <c r="E197" s="340">
        <f t="shared" si="64"/>
        <v>300000</v>
      </c>
      <c r="F197" s="340">
        <f t="shared" si="64"/>
        <v>435000</v>
      </c>
      <c r="G197" s="340">
        <f t="shared" si="64"/>
        <v>525000</v>
      </c>
      <c r="H197" s="340">
        <f t="shared" si="64"/>
        <v>600000</v>
      </c>
      <c r="I197" s="340">
        <f t="shared" si="64"/>
        <v>645000</v>
      </c>
      <c r="J197" s="340">
        <f t="shared" si="64"/>
        <v>675000</v>
      </c>
      <c r="K197" s="340">
        <f t="shared" si="64"/>
        <v>690000</v>
      </c>
      <c r="L197" s="322">
        <f t="shared" si="64"/>
        <v>705000</v>
      </c>
    </row>
    <row r="198" spans="1:12" s="193" customFormat="1" x14ac:dyDescent="0.25">
      <c r="A198" s="341"/>
      <c r="B198" s="342"/>
      <c r="C198" s="342"/>
      <c r="D198" s="342"/>
      <c r="E198" s="342"/>
      <c r="F198" s="342"/>
      <c r="G198" s="342"/>
      <c r="H198" s="342"/>
      <c r="I198" s="342"/>
      <c r="J198" s="342"/>
      <c r="K198" s="342"/>
      <c r="L198" s="342"/>
    </row>
    <row r="199" spans="1:12" s="193" customFormat="1" x14ac:dyDescent="0.25">
      <c r="A199" s="330"/>
      <c r="B199" s="291" t="s">
        <v>29</v>
      </c>
      <c r="C199" s="291"/>
      <c r="D199" s="291"/>
      <c r="E199" s="291"/>
      <c r="F199" s="291"/>
      <c r="G199" s="291"/>
      <c r="H199" s="291"/>
      <c r="I199" s="291"/>
      <c r="J199" s="291"/>
      <c r="K199" s="291"/>
      <c r="L199" s="291"/>
    </row>
    <row r="200" spans="1:12" s="193" customFormat="1" x14ac:dyDescent="0.25">
      <c r="A200" s="330"/>
      <c r="B200" s="292" t="s">
        <v>171</v>
      </c>
      <c r="C200" s="293"/>
      <c r="D200" s="293"/>
      <c r="E200" s="293"/>
      <c r="F200" s="293"/>
      <c r="G200" s="293"/>
      <c r="H200" s="293"/>
      <c r="I200" s="293"/>
      <c r="J200" s="293"/>
      <c r="K200" s="293"/>
      <c r="L200" s="293"/>
    </row>
    <row r="201" spans="1:12" s="193" customFormat="1" x14ac:dyDescent="0.25">
      <c r="A201" s="137" t="s">
        <v>904</v>
      </c>
      <c r="B201" s="294" t="s">
        <v>26</v>
      </c>
      <c r="C201" s="337">
        <f>Hypothèses_projet!$C$3</f>
        <v>2021</v>
      </c>
      <c r="D201" s="337">
        <f>C201+1</f>
        <v>2022</v>
      </c>
      <c r="E201" s="337">
        <f t="shared" ref="E201:L201" si="65">D201+1</f>
        <v>2023</v>
      </c>
      <c r="F201" s="337">
        <f t="shared" si="65"/>
        <v>2024</v>
      </c>
      <c r="G201" s="337">
        <f t="shared" si="65"/>
        <v>2025</v>
      </c>
      <c r="H201" s="337">
        <f t="shared" si="65"/>
        <v>2026</v>
      </c>
      <c r="I201" s="337">
        <f t="shared" si="65"/>
        <v>2027</v>
      </c>
      <c r="J201" s="337">
        <f t="shared" si="65"/>
        <v>2028</v>
      </c>
      <c r="K201" s="337">
        <f t="shared" si="65"/>
        <v>2029</v>
      </c>
      <c r="L201" s="338">
        <f t="shared" si="65"/>
        <v>2030</v>
      </c>
    </row>
    <row r="202" spans="1:12" s="193" customFormat="1" x14ac:dyDescent="0.25">
      <c r="A202" s="138"/>
      <c r="B202" s="299" t="s">
        <v>175</v>
      </c>
      <c r="C202" s="98">
        <f>C210*$C$220*$C$213/100*($C$235+$C$237*$C$238)/20</f>
        <v>0</v>
      </c>
      <c r="D202" s="98">
        <f t="shared" ref="D202:L202" si="66">D210*$C$220*$C$213/100*($C$235+$C$237*$C$238)/20</f>
        <v>992.59132724999949</v>
      </c>
      <c r="E202" s="98">
        <f t="shared" si="66"/>
        <v>1985.1826544999999</v>
      </c>
      <c r="F202" s="98">
        <f t="shared" si="66"/>
        <v>2878.5148490250003</v>
      </c>
      <c r="G202" s="98">
        <f t="shared" si="66"/>
        <v>3474.0696453750002</v>
      </c>
      <c r="H202" s="98">
        <f t="shared" si="66"/>
        <v>3970.3653089999998</v>
      </c>
      <c r="I202" s="98">
        <f t="shared" si="66"/>
        <v>4268.1427071750004</v>
      </c>
      <c r="J202" s="98">
        <f t="shared" si="66"/>
        <v>4466.6609726250008</v>
      </c>
      <c r="K202" s="98">
        <f t="shared" si="66"/>
        <v>4565.9201053500001</v>
      </c>
      <c r="L202" s="99">
        <f t="shared" si="66"/>
        <v>4665.1792380749994</v>
      </c>
    </row>
    <row r="203" spans="1:12" s="193" customFormat="1" x14ac:dyDescent="0.25">
      <c r="A203" s="138"/>
      <c r="B203" s="299" t="s">
        <v>941</v>
      </c>
      <c r="C203" s="98">
        <f t="shared" ref="C203:L203" si="67">C210*$C$221*$C$214/100*($C$240+$C$242*$C$243)/20</f>
        <v>0</v>
      </c>
      <c r="D203" s="98">
        <f t="shared" si="67"/>
        <v>1156.6023981749995</v>
      </c>
      <c r="E203" s="98">
        <f t="shared" si="67"/>
        <v>2313.2047963499999</v>
      </c>
      <c r="F203" s="98">
        <f t="shared" si="67"/>
        <v>3354.1469547075003</v>
      </c>
      <c r="G203" s="98">
        <f t="shared" si="67"/>
        <v>4048.1083936125005</v>
      </c>
      <c r="H203" s="98">
        <f t="shared" si="67"/>
        <v>4626.4095926999998</v>
      </c>
      <c r="I203" s="98">
        <f t="shared" si="67"/>
        <v>4973.3903121525</v>
      </c>
      <c r="J203" s="98">
        <f t="shared" si="67"/>
        <v>5204.7107917875001</v>
      </c>
      <c r="K203" s="98">
        <f t="shared" si="67"/>
        <v>5320.3710316050001</v>
      </c>
      <c r="L203" s="99">
        <f t="shared" si="67"/>
        <v>5436.0312714225001</v>
      </c>
    </row>
    <row r="204" spans="1:12" s="193" customFormat="1" x14ac:dyDescent="0.25">
      <c r="A204" s="138"/>
      <c r="B204" s="299" t="s">
        <v>187</v>
      </c>
      <c r="C204" s="98">
        <f t="shared" ref="C204:L204" si="68">C209*$C$223/100*$C$215/100*($C$245+$C$247*$C$248)/20</f>
        <v>0</v>
      </c>
      <c r="D204" s="98">
        <f t="shared" si="68"/>
        <v>189.31788036454083</v>
      </c>
      <c r="E204" s="98">
        <f t="shared" si="68"/>
        <v>381.62847901140509</v>
      </c>
      <c r="F204" s="98">
        <f t="shared" si="68"/>
        <v>558.19355500810479</v>
      </c>
      <c r="G204" s="98">
        <f t="shared" si="68"/>
        <v>680.75027975866465</v>
      </c>
      <c r="H204" s="98">
        <f t="shared" si="68"/>
        <v>786.12022616773424</v>
      </c>
      <c r="I204" s="98">
        <f t="shared" si="68"/>
        <v>854.63975890505276</v>
      </c>
      <c r="J204" s="98">
        <f t="shared" si="68"/>
        <v>904.78690058377163</v>
      </c>
      <c r="K204" s="98">
        <f t="shared" si="68"/>
        <v>936.10825150418259</v>
      </c>
      <c r="L204" s="99">
        <f t="shared" si="68"/>
        <v>967.83646987417319</v>
      </c>
    </row>
    <row r="205" spans="1:12" s="193" customFormat="1" x14ac:dyDescent="0.25">
      <c r="A205" s="138"/>
      <c r="B205" s="299" t="s">
        <v>188</v>
      </c>
      <c r="C205" s="98">
        <f t="shared" ref="C205:L205" si="69">C210*$C$222*$C$216/100*($C$250+$C$251*$C$252)/20</f>
        <v>0</v>
      </c>
      <c r="D205" s="98">
        <f t="shared" si="69"/>
        <v>78.757679863124977</v>
      </c>
      <c r="E205" s="98">
        <f t="shared" si="69"/>
        <v>157.51535972625001</v>
      </c>
      <c r="F205" s="98">
        <f t="shared" si="69"/>
        <v>228.39727160306251</v>
      </c>
      <c r="G205" s="98">
        <f t="shared" si="69"/>
        <v>275.65187952093754</v>
      </c>
      <c r="H205" s="98">
        <f t="shared" si="69"/>
        <v>315.03071945250002</v>
      </c>
      <c r="I205" s="98">
        <f t="shared" si="69"/>
        <v>338.65802341143751</v>
      </c>
      <c r="J205" s="98">
        <f t="shared" si="69"/>
        <v>354.40955938406256</v>
      </c>
      <c r="K205" s="98">
        <f t="shared" si="69"/>
        <v>362.28532737037506</v>
      </c>
      <c r="L205" s="99">
        <f t="shared" si="69"/>
        <v>370.16109535668755</v>
      </c>
    </row>
    <row r="206" spans="1:12" s="193" customFormat="1" x14ac:dyDescent="0.25">
      <c r="A206" s="138"/>
      <c r="B206" s="299" t="s">
        <v>942</v>
      </c>
      <c r="C206" s="98">
        <f>C210*$C$224*$C$217/100*($C$254+$C$255*$C$256)/20</f>
        <v>0</v>
      </c>
      <c r="D206" s="98">
        <f t="shared" ref="D206:L206" si="70">D210*$C$224*$C$216/100*($C$254+$C$255*$C$256)/20</f>
        <v>528.85239817499973</v>
      </c>
      <c r="E206" s="98">
        <f t="shared" si="70"/>
        <v>1057.7047963499999</v>
      </c>
      <c r="F206" s="98">
        <f t="shared" si="70"/>
        <v>1533.6719547074999</v>
      </c>
      <c r="G206" s="98">
        <f t="shared" si="70"/>
        <v>1850.9833936125001</v>
      </c>
      <c r="H206" s="98">
        <f t="shared" si="70"/>
        <v>2115.4095926999998</v>
      </c>
      <c r="I206" s="98">
        <f t="shared" si="70"/>
        <v>2274.0653121525002</v>
      </c>
      <c r="J206" s="98">
        <f t="shared" si="70"/>
        <v>2379.8357917874996</v>
      </c>
      <c r="K206" s="98">
        <f t="shared" si="70"/>
        <v>2432.7210316049996</v>
      </c>
      <c r="L206" s="99">
        <f t="shared" si="70"/>
        <v>2485.6062714225</v>
      </c>
    </row>
    <row r="207" spans="1:12" s="193" customFormat="1" x14ac:dyDescent="0.25">
      <c r="A207" s="138"/>
      <c r="B207" s="299" t="s">
        <v>943</v>
      </c>
      <c r="C207" s="98">
        <f t="shared" ref="C207:L207" si="71">C210*$C$225*$C$218/100*($C$258+$C$259*$C$260)/20</f>
        <v>0</v>
      </c>
      <c r="D207" s="98">
        <f t="shared" si="71"/>
        <v>258.78413272499989</v>
      </c>
      <c r="E207" s="98">
        <f t="shared" si="71"/>
        <v>517.56826545000001</v>
      </c>
      <c r="F207" s="98">
        <f t="shared" si="71"/>
        <v>750.47398490250009</v>
      </c>
      <c r="G207" s="98">
        <f t="shared" si="71"/>
        <v>905.74446453750011</v>
      </c>
      <c r="H207" s="98">
        <f t="shared" si="71"/>
        <v>1035.1365309</v>
      </c>
      <c r="I207" s="98">
        <f t="shared" si="71"/>
        <v>1112.7717707175002</v>
      </c>
      <c r="J207" s="98">
        <f t="shared" si="71"/>
        <v>1164.5285972625002</v>
      </c>
      <c r="K207" s="98">
        <f t="shared" si="71"/>
        <v>1190.4070105350002</v>
      </c>
      <c r="L207" s="99">
        <f t="shared" si="71"/>
        <v>1216.2854238075001</v>
      </c>
    </row>
    <row r="208" spans="1:12" s="193" customFormat="1" x14ac:dyDescent="0.25">
      <c r="A208" s="138"/>
      <c r="B208" s="299" t="s">
        <v>176</v>
      </c>
      <c r="C208" s="98">
        <f>SUM(C202:C206)</f>
        <v>0</v>
      </c>
      <c r="D208" s="98">
        <f>SUM(D202:D207)</f>
        <v>3204.905816552664</v>
      </c>
      <c r="E208" s="98">
        <f t="shared" ref="E208:L208" si="72">SUM(E202:E207)</f>
        <v>6412.8043513876537</v>
      </c>
      <c r="F208" s="98">
        <f t="shared" si="72"/>
        <v>9303.3985699536697</v>
      </c>
      <c r="G208" s="98">
        <f t="shared" si="72"/>
        <v>11235.308056417101</v>
      </c>
      <c r="H208" s="98">
        <f t="shared" si="72"/>
        <v>12848.471970920231</v>
      </c>
      <c r="I208" s="98">
        <f t="shared" si="72"/>
        <v>13821.66788451399</v>
      </c>
      <c r="J208" s="98">
        <f t="shared" si="72"/>
        <v>14474.932613430336</v>
      </c>
      <c r="K208" s="98">
        <f t="shared" si="72"/>
        <v>14807.812757969557</v>
      </c>
      <c r="L208" s="99">
        <f t="shared" si="72"/>
        <v>15141.099769958359</v>
      </c>
    </row>
    <row r="209" spans="1:12" s="193" customFormat="1" x14ac:dyDescent="0.25">
      <c r="A209" s="138"/>
      <c r="B209" s="299" t="s">
        <v>944</v>
      </c>
      <c r="C209" s="109">
        <v>0</v>
      </c>
      <c r="D209" s="109">
        <f>D183*30</f>
        <v>1549200</v>
      </c>
      <c r="E209" s="109">
        <f t="shared" ref="E209:L210" si="73">E183*30</f>
        <v>3122889.6</v>
      </c>
      <c r="F209" s="109">
        <f t="shared" si="73"/>
        <v>4567732.608</v>
      </c>
      <c r="G209" s="109">
        <f t="shared" si="73"/>
        <v>5570621.9157503992</v>
      </c>
      <c r="H209" s="109">
        <f t="shared" si="73"/>
        <v>6432870.7464609779</v>
      </c>
      <c r="I209" s="109">
        <f t="shared" si="73"/>
        <v>6993570.3481692579</v>
      </c>
      <c r="J209" s="109">
        <f t="shared" si="73"/>
        <v>7403927.5301696016</v>
      </c>
      <c r="K209" s="109">
        <f t="shared" si="73"/>
        <v>7660232.0944953132</v>
      </c>
      <c r="L209" s="92">
        <f t="shared" si="73"/>
        <v>7919866.0804883037</v>
      </c>
    </row>
    <row r="210" spans="1:12" s="193" customFormat="1" x14ac:dyDescent="0.25">
      <c r="A210" s="139"/>
      <c r="B210" s="339" t="s">
        <v>945</v>
      </c>
      <c r="C210" s="340">
        <v>0</v>
      </c>
      <c r="D210" s="340">
        <f>D184*30</f>
        <v>899999.99999999953</v>
      </c>
      <c r="E210" s="340">
        <f t="shared" si="73"/>
        <v>1800000</v>
      </c>
      <c r="F210" s="340">
        <f t="shared" si="73"/>
        <v>2610000</v>
      </c>
      <c r="G210" s="340">
        <f t="shared" si="73"/>
        <v>3150000</v>
      </c>
      <c r="H210" s="340">
        <f t="shared" si="73"/>
        <v>3600000</v>
      </c>
      <c r="I210" s="340">
        <f t="shared" si="73"/>
        <v>3870000</v>
      </c>
      <c r="J210" s="340">
        <f t="shared" si="73"/>
        <v>4050000</v>
      </c>
      <c r="K210" s="340">
        <f t="shared" si="73"/>
        <v>4140000</v>
      </c>
      <c r="L210" s="322">
        <f t="shared" si="73"/>
        <v>4230000</v>
      </c>
    </row>
    <row r="211" spans="1:12" s="193" customFormat="1" x14ac:dyDescent="0.25">
      <c r="A211" s="341"/>
      <c r="B211" s="342"/>
      <c r="C211" s="342"/>
      <c r="D211" s="342"/>
      <c r="E211" s="342"/>
      <c r="F211" s="342"/>
      <c r="G211" s="342"/>
      <c r="H211" s="342"/>
      <c r="I211" s="342"/>
      <c r="J211" s="342"/>
      <c r="K211" s="342"/>
      <c r="L211" s="342"/>
    </row>
    <row r="212" spans="1:12" s="193" customFormat="1" x14ac:dyDescent="0.25">
      <c r="A212" s="330"/>
    </row>
    <row r="213" spans="1:12" s="193" customFormat="1" x14ac:dyDescent="0.25">
      <c r="A213" s="330"/>
      <c r="B213" s="252" t="s">
        <v>946</v>
      </c>
      <c r="C213" s="95">
        <v>5</v>
      </c>
      <c r="E213" s="193" t="s">
        <v>1</v>
      </c>
    </row>
    <row r="214" spans="1:12" s="193" customFormat="1" x14ac:dyDescent="0.25">
      <c r="A214" s="330"/>
      <c r="B214" s="252" t="s">
        <v>947</v>
      </c>
      <c r="C214" s="95">
        <v>5</v>
      </c>
      <c r="E214" s="193" t="s">
        <v>1</v>
      </c>
    </row>
    <row r="215" spans="1:12" s="193" customFormat="1" x14ac:dyDescent="0.25">
      <c r="A215" s="330"/>
      <c r="B215" s="252" t="s">
        <v>179</v>
      </c>
      <c r="C215" s="95">
        <v>5</v>
      </c>
      <c r="E215" s="193" t="s">
        <v>1</v>
      </c>
    </row>
    <row r="216" spans="1:12" s="193" customFormat="1" x14ac:dyDescent="0.25">
      <c r="A216" s="330"/>
      <c r="B216" s="255" t="s">
        <v>180</v>
      </c>
      <c r="C216" s="95">
        <v>5</v>
      </c>
      <c r="E216" s="193" t="s">
        <v>1</v>
      </c>
    </row>
    <row r="217" spans="1:12" s="193" customFormat="1" x14ac:dyDescent="0.25">
      <c r="A217" s="330"/>
      <c r="B217" s="255" t="s">
        <v>948</v>
      </c>
      <c r="C217" s="95">
        <v>5</v>
      </c>
      <c r="E217" s="193" t="s">
        <v>1</v>
      </c>
    </row>
    <row r="218" spans="1:12" s="193" customFormat="1" x14ac:dyDescent="0.25">
      <c r="A218" s="330"/>
      <c r="B218" s="255" t="s">
        <v>949</v>
      </c>
      <c r="C218" s="95">
        <v>5</v>
      </c>
      <c r="E218" s="193" t="s">
        <v>1</v>
      </c>
    </row>
    <row r="219" spans="1:12" s="193" customFormat="1" x14ac:dyDescent="0.25">
      <c r="A219" s="330"/>
      <c r="B219" s="255"/>
      <c r="C219" s="110"/>
    </row>
    <row r="220" spans="1:12" s="193" customFormat="1" x14ac:dyDescent="0.25">
      <c r="A220" s="330"/>
      <c r="B220" s="255" t="s">
        <v>178</v>
      </c>
      <c r="C220" s="95">
        <v>1</v>
      </c>
      <c r="G220" s="343" t="s">
        <v>950</v>
      </c>
    </row>
    <row r="221" spans="1:12" s="193" customFormat="1" x14ac:dyDescent="0.25">
      <c r="A221" s="330"/>
      <c r="B221" s="255" t="s">
        <v>181</v>
      </c>
      <c r="C221" s="95">
        <v>1</v>
      </c>
      <c r="G221" s="343" t="s">
        <v>950</v>
      </c>
    </row>
    <row r="222" spans="1:12" s="193" customFormat="1" x14ac:dyDescent="0.25">
      <c r="A222" s="330"/>
      <c r="B222" s="255" t="s">
        <v>182</v>
      </c>
      <c r="C222" s="95">
        <v>0.5</v>
      </c>
      <c r="G222" s="343" t="s">
        <v>950</v>
      </c>
    </row>
    <row r="223" spans="1:12" s="193" customFormat="1" x14ac:dyDescent="0.25">
      <c r="A223" s="330"/>
      <c r="B223" s="255" t="s">
        <v>177</v>
      </c>
      <c r="C223" s="95">
        <v>80</v>
      </c>
      <c r="E223" s="193" t="s">
        <v>1</v>
      </c>
      <c r="G223" s="266" t="s">
        <v>951</v>
      </c>
    </row>
    <row r="224" spans="1:12" s="193" customFormat="1" x14ac:dyDescent="0.25">
      <c r="A224" s="330"/>
      <c r="B224" s="255" t="s">
        <v>952</v>
      </c>
      <c r="C224" s="95">
        <v>1</v>
      </c>
      <c r="G224" s="344" t="s">
        <v>953</v>
      </c>
    </row>
    <row r="225" spans="1:9" s="193" customFormat="1" x14ac:dyDescent="0.25">
      <c r="A225" s="330"/>
      <c r="B225" s="255" t="s">
        <v>438</v>
      </c>
      <c r="C225" s="95">
        <v>1</v>
      </c>
      <c r="G225" s="344"/>
    </row>
    <row r="226" spans="1:9" s="193" customFormat="1" x14ac:dyDescent="0.25">
      <c r="A226" s="330"/>
      <c r="B226" s="255" t="s">
        <v>189</v>
      </c>
      <c r="C226" s="95"/>
      <c r="E226" s="193" t="s">
        <v>1</v>
      </c>
      <c r="G226" s="343" t="s">
        <v>954</v>
      </c>
    </row>
    <row r="227" spans="1:9" s="193" customFormat="1" x14ac:dyDescent="0.25">
      <c r="A227" s="330"/>
      <c r="B227" s="255" t="s">
        <v>190</v>
      </c>
      <c r="C227" s="95"/>
      <c r="E227" s="193" t="s">
        <v>1</v>
      </c>
      <c r="G227" s="343" t="s">
        <v>954</v>
      </c>
    </row>
    <row r="228" spans="1:9" s="193" customFormat="1" x14ac:dyDescent="0.25">
      <c r="A228" s="330"/>
      <c r="B228" s="266" t="s">
        <v>191</v>
      </c>
      <c r="C228" s="95"/>
      <c r="E228" s="193" t="s">
        <v>1</v>
      </c>
      <c r="G228" s="343" t="s">
        <v>954</v>
      </c>
    </row>
    <row r="229" spans="1:9" s="193" customFormat="1" x14ac:dyDescent="0.25">
      <c r="A229" s="330"/>
      <c r="B229" s="266" t="s">
        <v>192</v>
      </c>
      <c r="C229" s="95"/>
      <c r="E229" s="193" t="s">
        <v>1</v>
      </c>
      <c r="G229" s="343" t="s">
        <v>954</v>
      </c>
    </row>
    <row r="230" spans="1:9" s="193" customFormat="1" x14ac:dyDescent="0.25">
      <c r="A230" s="330"/>
      <c r="B230" s="266" t="s">
        <v>955</v>
      </c>
      <c r="C230" s="95"/>
      <c r="G230" s="343"/>
    </row>
    <row r="231" spans="1:9" s="193" customFormat="1" x14ac:dyDescent="0.25">
      <c r="A231" s="330"/>
      <c r="B231" s="266" t="s">
        <v>956</v>
      </c>
      <c r="C231" s="95"/>
      <c r="G231" s="343"/>
    </row>
    <row r="232" spans="1:9" s="193" customFormat="1" x14ac:dyDescent="0.25">
      <c r="A232" s="330"/>
      <c r="B232" s="255" t="s">
        <v>186</v>
      </c>
      <c r="C232" s="95">
        <v>20</v>
      </c>
      <c r="E232" s="193" t="s">
        <v>43</v>
      </c>
      <c r="G232" s="266" t="s">
        <v>44</v>
      </c>
    </row>
    <row r="233" spans="1:9" s="193" customFormat="1" x14ac:dyDescent="0.25">
      <c r="A233" s="330"/>
      <c r="B233" s="336"/>
    </row>
    <row r="234" spans="1:9" s="193" customFormat="1" x14ac:dyDescent="0.25">
      <c r="A234" s="330"/>
      <c r="B234" s="336"/>
    </row>
    <row r="235" spans="1:9" s="193" customFormat="1" ht="18" x14ac:dyDescent="0.25">
      <c r="A235" s="330"/>
      <c r="B235" s="252" t="s">
        <v>100</v>
      </c>
      <c r="C235" s="111">
        <f>441/1000</f>
        <v>0.441</v>
      </c>
      <c r="D235" s="254"/>
      <c r="E235" s="255" t="s">
        <v>1328</v>
      </c>
      <c r="G235" s="193" t="s">
        <v>184</v>
      </c>
    </row>
    <row r="236" spans="1:9" s="193" customFormat="1" ht="18" x14ac:dyDescent="0.25">
      <c r="A236" s="330"/>
      <c r="B236" s="252" t="s">
        <v>45</v>
      </c>
      <c r="C236" s="111">
        <f>422/1000</f>
        <v>0.42199999999999999</v>
      </c>
      <c r="D236" s="254"/>
      <c r="E236" s="255" t="s">
        <v>1328</v>
      </c>
      <c r="F236" s="254"/>
      <c r="G236" s="345" t="s">
        <v>35</v>
      </c>
      <c r="H236" s="254"/>
      <c r="I236" s="255" t="s">
        <v>957</v>
      </c>
    </row>
    <row r="237" spans="1:9" s="193" customFormat="1" ht="18" x14ac:dyDescent="0.25">
      <c r="A237" s="330"/>
      <c r="B237" s="252" t="s">
        <v>48</v>
      </c>
      <c r="C237" s="111">
        <f>(21.3538+8.9864)/2000</f>
        <v>1.5170099999999999E-2</v>
      </c>
      <c r="D237" s="254"/>
      <c r="E237" s="255" t="s">
        <v>1331</v>
      </c>
      <c r="F237" s="346"/>
      <c r="G237" s="347" t="s">
        <v>38</v>
      </c>
      <c r="H237" s="254"/>
      <c r="I237" s="255" t="s">
        <v>958</v>
      </c>
    </row>
    <row r="238" spans="1:9" s="193" customFormat="1" x14ac:dyDescent="0.25">
      <c r="A238" s="330"/>
      <c r="B238" s="252" t="s">
        <v>46</v>
      </c>
      <c r="C238" s="111">
        <f>10/1000</f>
        <v>0.01</v>
      </c>
      <c r="D238" s="254"/>
      <c r="E238" s="255" t="s">
        <v>40</v>
      </c>
      <c r="F238" s="346"/>
      <c r="G238" s="180" t="s">
        <v>47</v>
      </c>
      <c r="H238" s="254"/>
      <c r="I238" s="255" t="s">
        <v>958</v>
      </c>
    </row>
    <row r="239" spans="1:9" s="193" customFormat="1" x14ac:dyDescent="0.25">
      <c r="A239" s="330"/>
      <c r="C239" s="111"/>
      <c r="D239" s="254"/>
      <c r="E239" s="255"/>
      <c r="F239" s="346"/>
      <c r="G239" s="180"/>
      <c r="H239" s="254"/>
      <c r="I239" s="255"/>
    </row>
    <row r="240" spans="1:9" s="193" customFormat="1" x14ac:dyDescent="0.25">
      <c r="A240" s="330"/>
      <c r="B240" s="252" t="s">
        <v>101</v>
      </c>
      <c r="C240" s="111">
        <f>0.514</f>
        <v>0.51400000000000001</v>
      </c>
      <c r="D240" s="254"/>
      <c r="E240" s="255" t="s">
        <v>185</v>
      </c>
      <c r="G240" s="193" t="s">
        <v>184</v>
      </c>
    </row>
    <row r="241" spans="1:14" s="193" customFormat="1" ht="18" x14ac:dyDescent="0.25">
      <c r="A241" s="330"/>
      <c r="B241" s="252" t="s">
        <v>959</v>
      </c>
      <c r="C241" s="111">
        <f>169/1000</f>
        <v>0.16900000000000001</v>
      </c>
      <c r="D241" s="254"/>
      <c r="E241" s="255" t="s">
        <v>1328</v>
      </c>
      <c r="F241" s="254"/>
      <c r="G241" s="345" t="s">
        <v>35</v>
      </c>
      <c r="H241" s="254"/>
      <c r="I241" s="255" t="s">
        <v>957</v>
      </c>
    </row>
    <row r="242" spans="1:14" s="193" customFormat="1" ht="18" x14ac:dyDescent="0.25">
      <c r="A242" s="330"/>
      <c r="B242" s="252" t="s">
        <v>48</v>
      </c>
      <c r="C242" s="111">
        <f>(21.3538+8.9864)/2000</f>
        <v>1.5170099999999999E-2</v>
      </c>
      <c r="D242" s="254"/>
      <c r="E242" s="255" t="s">
        <v>1331</v>
      </c>
      <c r="F242" s="346"/>
      <c r="G242" s="347" t="s">
        <v>38</v>
      </c>
      <c r="H242" s="254"/>
      <c r="I242" s="255" t="s">
        <v>958</v>
      </c>
    </row>
    <row r="243" spans="1:14" s="193" customFormat="1" x14ac:dyDescent="0.25">
      <c r="A243" s="330"/>
      <c r="B243" s="252" t="s">
        <v>49</v>
      </c>
      <c r="C243" s="111">
        <f>3/1000</f>
        <v>3.0000000000000001E-3</v>
      </c>
      <c r="D243" s="254"/>
      <c r="E243" s="255" t="s">
        <v>50</v>
      </c>
      <c r="F243" s="346"/>
      <c r="G243" s="347" t="s">
        <v>51</v>
      </c>
      <c r="H243" s="254"/>
      <c r="I243" s="255" t="s">
        <v>958</v>
      </c>
    </row>
    <row r="244" spans="1:14" s="193" customFormat="1" x14ac:dyDescent="0.25">
      <c r="A244" s="330"/>
      <c r="C244" s="111"/>
      <c r="D244" s="254"/>
      <c r="E244" s="255"/>
      <c r="F244" s="346"/>
      <c r="G244" s="180"/>
      <c r="H244" s="254"/>
      <c r="I244" s="255"/>
    </row>
    <row r="245" spans="1:14" s="193" customFormat="1" x14ac:dyDescent="0.25">
      <c r="A245" s="330"/>
      <c r="B245" s="252" t="s">
        <v>102</v>
      </c>
      <c r="C245" s="111">
        <f>61.1/1000</f>
        <v>6.1100000000000002E-2</v>
      </c>
      <c r="D245" s="254"/>
      <c r="E245" s="255" t="s">
        <v>185</v>
      </c>
      <c r="F245" s="346"/>
      <c r="G245" s="193" t="s">
        <v>184</v>
      </c>
      <c r="H245" s="254"/>
      <c r="I245" s="255"/>
    </row>
    <row r="246" spans="1:14" s="193" customFormat="1" ht="18" x14ac:dyDescent="0.25">
      <c r="A246" s="330"/>
      <c r="B246" s="252" t="s">
        <v>54</v>
      </c>
      <c r="C246" s="111">
        <f>32/1000</f>
        <v>3.2000000000000001E-2</v>
      </c>
      <c r="D246" s="254"/>
      <c r="E246" s="255" t="s">
        <v>1328</v>
      </c>
      <c r="F246" s="254"/>
      <c r="G246" s="345" t="s">
        <v>35</v>
      </c>
      <c r="H246" s="254"/>
      <c r="I246" s="255" t="s">
        <v>957</v>
      </c>
    </row>
    <row r="247" spans="1:14" s="193" customFormat="1" ht="18" x14ac:dyDescent="0.25">
      <c r="A247" s="330"/>
      <c r="B247" s="252" t="s">
        <v>48</v>
      </c>
      <c r="C247" s="111">
        <f>(21.3538+8.9864)/2000</f>
        <v>1.5170099999999999E-2</v>
      </c>
      <c r="D247" s="254"/>
      <c r="E247" s="255" t="s">
        <v>1331</v>
      </c>
      <c r="F247" s="346"/>
      <c r="G247" s="347" t="s">
        <v>38</v>
      </c>
      <c r="H247" s="254"/>
      <c r="I247" s="255" t="s">
        <v>958</v>
      </c>
    </row>
    <row r="248" spans="1:14" s="193" customFormat="1" x14ac:dyDescent="0.25">
      <c r="A248" s="330"/>
      <c r="B248" s="252" t="s">
        <v>55</v>
      </c>
      <c r="C248" s="111">
        <f>0.12/1000</f>
        <v>1.1999999999999999E-4</v>
      </c>
      <c r="D248" s="254"/>
      <c r="E248" s="255" t="s">
        <v>50</v>
      </c>
      <c r="F248" s="346"/>
      <c r="G248" s="347" t="s">
        <v>51</v>
      </c>
      <c r="H248" s="254"/>
      <c r="I248" s="255" t="s">
        <v>958</v>
      </c>
    </row>
    <row r="249" spans="1:14" s="193" customFormat="1" x14ac:dyDescent="0.25">
      <c r="A249" s="330"/>
      <c r="C249" s="111"/>
    </row>
    <row r="250" spans="1:14" s="193" customFormat="1" ht="18" x14ac:dyDescent="0.25">
      <c r="A250" s="330"/>
      <c r="B250" s="252" t="s">
        <v>52</v>
      </c>
      <c r="C250" s="111">
        <f>70/1000</f>
        <v>7.0000000000000007E-2</v>
      </c>
      <c r="D250" s="254"/>
      <c r="E250" s="255" t="s">
        <v>1330</v>
      </c>
      <c r="F250" s="254"/>
      <c r="G250" s="345" t="s">
        <v>35</v>
      </c>
      <c r="H250" s="254"/>
      <c r="I250" s="255" t="s">
        <v>957</v>
      </c>
    </row>
    <row r="251" spans="1:14" s="193" customFormat="1" ht="18" x14ac:dyDescent="0.25">
      <c r="A251" s="330"/>
      <c r="B251" s="255" t="s">
        <v>48</v>
      </c>
      <c r="C251" s="111">
        <f>(21.3538+8.9864)/2000</f>
        <v>1.5170099999999999E-2</v>
      </c>
      <c r="D251" s="254"/>
      <c r="E251" s="255" t="s">
        <v>1331</v>
      </c>
      <c r="F251" s="346"/>
      <c r="G251" s="347" t="s">
        <v>38</v>
      </c>
      <c r="H251" s="254"/>
      <c r="I251" s="255" t="s">
        <v>958</v>
      </c>
    </row>
    <row r="252" spans="1:14" s="193" customFormat="1" x14ac:dyDescent="0.25">
      <c r="A252" s="330"/>
      <c r="B252" s="255" t="s">
        <v>53</v>
      </c>
      <c r="C252" s="111">
        <f>0.45/1000</f>
        <v>4.4999999999999999E-4</v>
      </c>
      <c r="D252" s="254"/>
      <c r="E252" s="255" t="s">
        <v>50</v>
      </c>
      <c r="F252" s="346"/>
      <c r="G252" s="347" t="s">
        <v>51</v>
      </c>
      <c r="H252" s="254"/>
      <c r="I252" s="255" t="s">
        <v>958</v>
      </c>
    </row>
    <row r="253" spans="1:14" s="193" customFormat="1" x14ac:dyDescent="0.25">
      <c r="A253" s="330"/>
      <c r="C253" s="111"/>
      <c r="D253" s="164"/>
      <c r="E253" s="254"/>
      <c r="F253" s="348"/>
      <c r="G253" s="254"/>
      <c r="H253" s="255"/>
      <c r="I253" s="346"/>
      <c r="J253" s="347"/>
      <c r="M253" s="254"/>
      <c r="N253" s="255"/>
    </row>
    <row r="254" spans="1:14" ht="18" x14ac:dyDescent="0.25">
      <c r="B254" s="252" t="s">
        <v>880</v>
      </c>
      <c r="C254" s="111">
        <f>235/1000</f>
        <v>0.23499999999999999</v>
      </c>
      <c r="D254" s="254"/>
      <c r="E254" s="255" t="s">
        <v>1330</v>
      </c>
      <c r="F254" s="254"/>
      <c r="G254" s="345" t="s">
        <v>35</v>
      </c>
      <c r="H254" s="254"/>
      <c r="I254" s="255" t="s">
        <v>957</v>
      </c>
      <c r="J254" s="193"/>
    </row>
    <row r="255" spans="1:14" ht="18" x14ac:dyDescent="0.25">
      <c r="B255" s="255" t="s">
        <v>48</v>
      </c>
      <c r="C255" s="111">
        <f>(21.3538+8.9864)/2000</f>
        <v>1.5170099999999999E-2</v>
      </c>
      <c r="D255" s="254"/>
      <c r="E255" s="255" t="s">
        <v>1331</v>
      </c>
      <c r="F255" s="346"/>
      <c r="G255" s="347" t="s">
        <v>38</v>
      </c>
      <c r="H255" s="254"/>
      <c r="I255" s="255" t="s">
        <v>958</v>
      </c>
      <c r="J255" s="193"/>
    </row>
    <row r="256" spans="1:14" x14ac:dyDescent="0.25">
      <c r="B256" s="255" t="s">
        <v>960</v>
      </c>
      <c r="C256" s="111">
        <f>3/1000</f>
        <v>3.0000000000000001E-3</v>
      </c>
      <c r="D256" s="254"/>
      <c r="E256" s="255" t="s">
        <v>50</v>
      </c>
      <c r="F256" s="346"/>
      <c r="G256" s="347" t="s">
        <v>51</v>
      </c>
      <c r="H256" s="254"/>
      <c r="I256" s="255" t="s">
        <v>958</v>
      </c>
      <c r="J256" s="193"/>
    </row>
    <row r="257" spans="1:17" x14ac:dyDescent="0.25">
      <c r="C257" s="111"/>
    </row>
    <row r="258" spans="1:17" ht="18" x14ac:dyDescent="0.25">
      <c r="B258" s="252" t="s">
        <v>881</v>
      </c>
      <c r="C258" s="111">
        <f>115/1000</f>
        <v>0.115</v>
      </c>
      <c r="D258" s="254"/>
      <c r="E258" s="255" t="s">
        <v>1330</v>
      </c>
      <c r="F258" s="254"/>
      <c r="G258" s="345" t="s">
        <v>35</v>
      </c>
      <c r="H258" s="254"/>
      <c r="I258" s="255" t="s">
        <v>957</v>
      </c>
      <c r="J258" s="193"/>
    </row>
    <row r="259" spans="1:17" ht="18" x14ac:dyDescent="0.25">
      <c r="B259" s="255" t="s">
        <v>48</v>
      </c>
      <c r="C259" s="111">
        <f>(21.3538+8.9864)/2000</f>
        <v>1.5170099999999999E-2</v>
      </c>
      <c r="D259" s="254"/>
      <c r="E259" s="255" t="s">
        <v>1331</v>
      </c>
      <c r="F259" s="346"/>
      <c r="G259" s="347" t="s">
        <v>38</v>
      </c>
      <c r="H259" s="254"/>
      <c r="I259" s="255" t="s">
        <v>958</v>
      </c>
      <c r="J259" s="193"/>
    </row>
    <row r="260" spans="1:17" x14ac:dyDescent="0.25">
      <c r="B260" s="255" t="s">
        <v>961</v>
      </c>
      <c r="C260" s="111">
        <f>1/1000</f>
        <v>1E-3</v>
      </c>
      <c r="D260" s="254"/>
      <c r="E260" s="255" t="s">
        <v>50</v>
      </c>
      <c r="F260" s="346"/>
      <c r="G260" s="347" t="s">
        <v>51</v>
      </c>
      <c r="H260" s="254"/>
      <c r="I260" s="255" t="s">
        <v>958</v>
      </c>
      <c r="J260" s="193"/>
    </row>
    <row r="263" spans="1:17" s="193" customFormat="1" x14ac:dyDescent="0.25">
      <c r="A263" s="330"/>
      <c r="B263" s="245" t="s">
        <v>886</v>
      </c>
      <c r="C263" s="209"/>
      <c r="D263" s="209"/>
      <c r="E263" s="209"/>
      <c r="F263" s="209" t="s">
        <v>201</v>
      </c>
      <c r="I263" s="266"/>
      <c r="J263" s="266"/>
      <c r="K263" s="266"/>
      <c r="L263" s="266"/>
      <c r="M263" s="266"/>
      <c r="N263" s="266"/>
      <c r="O263" s="266"/>
      <c r="P263" s="266"/>
      <c r="Q263" s="266"/>
    </row>
    <row r="264" spans="1:17" x14ac:dyDescent="0.25">
      <c r="B264" s="112"/>
    </row>
    <row r="265" spans="1:17" ht="48.6" customHeight="1" x14ac:dyDescent="0.25">
      <c r="B265" s="288" t="s">
        <v>554</v>
      </c>
      <c r="C265" s="140" t="s">
        <v>962</v>
      </c>
      <c r="D265" s="140"/>
      <c r="E265" s="140"/>
    </row>
    <row r="267" spans="1:17" ht="178.5" customHeight="1" x14ac:dyDescent="0.25">
      <c r="B267" s="146" t="s">
        <v>547</v>
      </c>
      <c r="C267" s="332" t="s">
        <v>963</v>
      </c>
      <c r="D267" s="332"/>
      <c r="E267" s="332"/>
    </row>
    <row r="268" spans="1:17" x14ac:dyDescent="0.25">
      <c r="B268" s="112"/>
    </row>
    <row r="269" spans="1:17" ht="15.95" customHeight="1" x14ac:dyDescent="0.25">
      <c r="B269" s="237" t="s">
        <v>29</v>
      </c>
      <c r="C269" s="237"/>
      <c r="D269" s="237"/>
      <c r="E269" s="237"/>
      <c r="F269" s="237"/>
      <c r="G269" s="237"/>
      <c r="H269" s="237"/>
      <c r="I269" s="237"/>
      <c r="J269" s="237"/>
      <c r="K269" s="237"/>
      <c r="L269" s="237"/>
    </row>
    <row r="270" spans="1:17" x14ac:dyDescent="0.25">
      <c r="B270" s="238" t="s">
        <v>907</v>
      </c>
      <c r="C270" s="239"/>
      <c r="D270" s="239"/>
      <c r="E270" s="239"/>
      <c r="F270" s="239"/>
      <c r="G270" s="239"/>
      <c r="H270" s="239"/>
      <c r="I270" s="239"/>
      <c r="J270" s="239"/>
      <c r="K270" s="239"/>
      <c r="L270" s="239"/>
    </row>
    <row r="271" spans="1:17" x14ac:dyDescent="0.25">
      <c r="B271" s="240" t="s">
        <v>26</v>
      </c>
      <c r="C271" s="240">
        <f>Hypothèses_projet!$C$3</f>
        <v>2021</v>
      </c>
      <c r="D271" s="240">
        <f>C271+1</f>
        <v>2022</v>
      </c>
      <c r="E271" s="240">
        <f t="shared" ref="E271:L271" si="74">D271+1</f>
        <v>2023</v>
      </c>
      <c r="F271" s="240">
        <f t="shared" si="74"/>
        <v>2024</v>
      </c>
      <c r="G271" s="240">
        <f t="shared" si="74"/>
        <v>2025</v>
      </c>
      <c r="H271" s="240">
        <f t="shared" si="74"/>
        <v>2026</v>
      </c>
      <c r="I271" s="240">
        <f t="shared" si="74"/>
        <v>2027</v>
      </c>
      <c r="J271" s="240">
        <f t="shared" si="74"/>
        <v>2028</v>
      </c>
      <c r="K271" s="240">
        <f t="shared" si="74"/>
        <v>2029</v>
      </c>
      <c r="L271" s="240">
        <f t="shared" si="74"/>
        <v>2030</v>
      </c>
    </row>
    <row r="272" spans="1:17" x14ac:dyDescent="0.25">
      <c r="B272" s="286" t="s">
        <v>157</v>
      </c>
      <c r="C272" s="290">
        <f>SUM(C292:C297)</f>
        <v>0</v>
      </c>
      <c r="D272" s="290">
        <f t="shared" ref="D272:L272" si="75">SUM(D292:D297)</f>
        <v>3369.7778264339822</v>
      </c>
      <c r="E272" s="290">
        <f t="shared" si="75"/>
        <v>6740.1587679717932</v>
      </c>
      <c r="F272" s="290">
        <f t="shared" si="75"/>
        <v>9774.2040470385637</v>
      </c>
      <c r="G272" s="290">
        <f t="shared" si="75"/>
        <v>11797.877637975291</v>
      </c>
      <c r="H272" s="290">
        <f t="shared" si="75"/>
        <v>13484.925113750845</v>
      </c>
      <c r="I272" s="290">
        <f t="shared" si="75"/>
        <v>14498.221204349164</v>
      </c>
      <c r="J272" s="290">
        <f t="shared" si="75"/>
        <v>15174.652246191656</v>
      </c>
      <c r="K272" s="290">
        <f t="shared" si="75"/>
        <v>15514.126866759711</v>
      </c>
      <c r="L272" s="290">
        <f t="shared" si="75"/>
        <v>15853.683482317247</v>
      </c>
    </row>
    <row r="273" spans="1:12" x14ac:dyDescent="0.25">
      <c r="B273" s="286" t="s">
        <v>890</v>
      </c>
      <c r="C273" s="290">
        <f>SUM(C303:C308)</f>
        <v>0</v>
      </c>
      <c r="D273" s="290">
        <f t="shared" ref="D273:L273" si="76">SUM(D303:D308)</f>
        <v>28674.581016780547</v>
      </c>
      <c r="E273" s="290">
        <f t="shared" si="76"/>
        <v>57802.441097294242</v>
      </c>
      <c r="F273" s="290">
        <f t="shared" si="76"/>
        <v>84545.436910515578</v>
      </c>
      <c r="G273" s="290">
        <f t="shared" si="76"/>
        <v>103108.18120543996</v>
      </c>
      <c r="H273" s="290">
        <f t="shared" si="76"/>
        <v>119067.76770567149</v>
      </c>
      <c r="I273" s="290">
        <f t="shared" si="76"/>
        <v>129445.89224089561</v>
      </c>
      <c r="J273" s="290">
        <f t="shared" si="76"/>
        <v>137041.28530570355</v>
      </c>
      <c r="K273" s="290">
        <f t="shared" si="76"/>
        <v>141785.27468574268</v>
      </c>
      <c r="L273" s="290">
        <f t="shared" si="76"/>
        <v>146590.88847516858</v>
      </c>
    </row>
    <row r="274" spans="1:12" x14ac:dyDescent="0.25">
      <c r="B274" s="286" t="s">
        <v>891</v>
      </c>
      <c r="C274" s="290">
        <f>SUM(C314:C319)</f>
        <v>0</v>
      </c>
      <c r="D274" s="290">
        <f t="shared" ref="D274:L274" si="77">SUM(D314:D319)</f>
        <v>101093.33479301946</v>
      </c>
      <c r="E274" s="290">
        <f t="shared" si="77"/>
        <v>202204.7630391538</v>
      </c>
      <c r="F274" s="290">
        <f t="shared" si="77"/>
        <v>293226.1214111569</v>
      </c>
      <c r="G274" s="290">
        <f t="shared" si="77"/>
        <v>353936.32913925871</v>
      </c>
      <c r="H274" s="290">
        <f t="shared" si="77"/>
        <v>404547.7534125254</v>
      </c>
      <c r="I274" s="290">
        <f t="shared" si="77"/>
        <v>434946.63613047486</v>
      </c>
      <c r="J274" s="290">
        <f t="shared" si="77"/>
        <v>455239.56738574977</v>
      </c>
      <c r="K274" s="290">
        <f t="shared" si="77"/>
        <v>465423.80600279127</v>
      </c>
      <c r="L274" s="290">
        <f t="shared" si="77"/>
        <v>475610.50446951744</v>
      </c>
    </row>
    <row r="275" spans="1:12" x14ac:dyDescent="0.25">
      <c r="B275" s="286" t="s">
        <v>892</v>
      </c>
      <c r="C275" s="93">
        <f>IF($F$263="Oui",C273-C272,0)</f>
        <v>0</v>
      </c>
      <c r="D275" s="93">
        <f t="shared" ref="D275:L275" si="78">IF($F$263="Oui",D273-D272,0)</f>
        <v>25304.803190346563</v>
      </c>
      <c r="E275" s="93">
        <f t="shared" si="78"/>
        <v>51062.28232932245</v>
      </c>
      <c r="F275" s="93">
        <f t="shared" si="78"/>
        <v>74771.232863477009</v>
      </c>
      <c r="G275" s="93">
        <f t="shared" si="78"/>
        <v>91310.303567464667</v>
      </c>
      <c r="H275" s="93">
        <f t="shared" si="78"/>
        <v>105582.84259192065</v>
      </c>
      <c r="I275" s="93">
        <f t="shared" si="78"/>
        <v>114947.67103654645</v>
      </c>
      <c r="J275" s="93">
        <f t="shared" si="78"/>
        <v>121866.63305951189</v>
      </c>
      <c r="K275" s="93">
        <f t="shared" si="78"/>
        <v>126271.14781898298</v>
      </c>
      <c r="L275" s="93">
        <f t="shared" si="78"/>
        <v>130737.20499285133</v>
      </c>
    </row>
    <row r="276" spans="1:12" x14ac:dyDescent="0.25">
      <c r="B276" s="286" t="s">
        <v>893</v>
      </c>
      <c r="C276" s="93">
        <f>IF($F$263="Oui",C274-C272,0)</f>
        <v>0</v>
      </c>
      <c r="D276" s="93">
        <f t="shared" ref="D276:L276" si="79">IF($F$263="Oui",D274-D272,0)</f>
        <v>97723.556966585471</v>
      </c>
      <c r="E276" s="93">
        <f t="shared" si="79"/>
        <v>195464.604271182</v>
      </c>
      <c r="F276" s="93">
        <f t="shared" si="79"/>
        <v>283451.91736411833</v>
      </c>
      <c r="G276" s="93">
        <f t="shared" si="79"/>
        <v>342138.45150128345</v>
      </c>
      <c r="H276" s="93">
        <f t="shared" si="79"/>
        <v>391062.82829877455</v>
      </c>
      <c r="I276" s="93">
        <f t="shared" si="79"/>
        <v>420448.41492612567</v>
      </c>
      <c r="J276" s="93">
        <f t="shared" si="79"/>
        <v>440064.91513955814</v>
      </c>
      <c r="K276" s="93">
        <f t="shared" si="79"/>
        <v>449909.67913603154</v>
      </c>
      <c r="L276" s="93">
        <f t="shared" si="79"/>
        <v>459756.82098720019</v>
      </c>
    </row>
    <row r="278" spans="1:12" x14ac:dyDescent="0.25">
      <c r="B278" s="146" t="s">
        <v>964</v>
      </c>
      <c r="C278" s="113">
        <v>175</v>
      </c>
      <c r="E278" s="146" t="s">
        <v>3</v>
      </c>
    </row>
    <row r="279" spans="1:12" x14ac:dyDescent="0.25">
      <c r="B279" s="146" t="s">
        <v>965</v>
      </c>
      <c r="C279" s="113">
        <v>50</v>
      </c>
      <c r="E279" s="146" t="s">
        <v>3</v>
      </c>
      <c r="G279" s="180" t="s">
        <v>966</v>
      </c>
    </row>
    <row r="280" spans="1:12" x14ac:dyDescent="0.25">
      <c r="B280" s="146" t="s">
        <v>967</v>
      </c>
      <c r="C280" s="113">
        <v>4</v>
      </c>
      <c r="E280" s="146" t="s">
        <v>3</v>
      </c>
      <c r="G280" s="180" t="s">
        <v>968</v>
      </c>
    </row>
    <row r="281" spans="1:12" x14ac:dyDescent="0.25">
      <c r="B281" s="146" t="s">
        <v>969</v>
      </c>
      <c r="C281" s="113">
        <v>12</v>
      </c>
      <c r="E281" s="146" t="s">
        <v>3</v>
      </c>
      <c r="G281" s="180" t="s">
        <v>966</v>
      </c>
    </row>
    <row r="282" spans="1:12" x14ac:dyDescent="0.25">
      <c r="B282" s="146" t="s">
        <v>970</v>
      </c>
      <c r="C282" s="113">
        <v>100</v>
      </c>
      <c r="E282" s="146" t="s">
        <v>3</v>
      </c>
      <c r="G282" s="180" t="s">
        <v>971</v>
      </c>
    </row>
    <row r="283" spans="1:12" x14ac:dyDescent="0.25">
      <c r="B283" s="146" t="s">
        <v>972</v>
      </c>
      <c r="C283" s="113">
        <v>150</v>
      </c>
      <c r="E283" s="146" t="s">
        <v>3</v>
      </c>
      <c r="G283" s="180" t="s">
        <v>973</v>
      </c>
    </row>
    <row r="286" spans="1:12" x14ac:dyDescent="0.25">
      <c r="A286" s="330"/>
      <c r="B286" s="335" t="s">
        <v>974</v>
      </c>
      <c r="C286" s="193"/>
      <c r="D286" s="193"/>
      <c r="E286" s="193"/>
      <c r="F286" s="193"/>
      <c r="G286" s="193"/>
      <c r="H286" s="193"/>
      <c r="I286" s="193"/>
      <c r="J286" s="193"/>
      <c r="K286" s="193"/>
      <c r="L286" s="193"/>
    </row>
    <row r="287" spans="1:12" x14ac:dyDescent="0.25">
      <c r="A287" s="330"/>
      <c r="B287" s="336"/>
      <c r="C287" s="193"/>
      <c r="D287" s="193"/>
      <c r="E287" s="193"/>
      <c r="F287" s="193"/>
      <c r="G287" s="193"/>
      <c r="H287" s="193"/>
      <c r="I287" s="193"/>
      <c r="J287" s="193"/>
      <c r="K287" s="193"/>
      <c r="L287" s="193"/>
    </row>
    <row r="288" spans="1:12" x14ac:dyDescent="0.25">
      <c r="A288" s="330"/>
      <c r="B288" s="266" t="s">
        <v>975</v>
      </c>
      <c r="C288" s="193"/>
      <c r="D288" s="193"/>
      <c r="E288" s="193"/>
      <c r="F288" s="193"/>
      <c r="G288" s="193"/>
      <c r="H288" s="193"/>
      <c r="I288" s="193"/>
      <c r="J288" s="193"/>
      <c r="K288" s="193"/>
      <c r="L288" s="193"/>
    </row>
    <row r="289" spans="1:12" x14ac:dyDescent="0.25">
      <c r="A289" s="330"/>
      <c r="B289" s="291" t="s">
        <v>29</v>
      </c>
      <c r="C289" s="291"/>
      <c r="D289" s="291"/>
      <c r="E289" s="291"/>
      <c r="F289" s="291"/>
      <c r="G289" s="291"/>
      <c r="H289" s="291"/>
      <c r="I289" s="291"/>
      <c r="J289" s="291"/>
      <c r="K289" s="291"/>
      <c r="L289" s="291"/>
    </row>
    <row r="290" spans="1:12" x14ac:dyDescent="0.25">
      <c r="A290" s="330"/>
      <c r="B290" s="292" t="s">
        <v>940</v>
      </c>
      <c r="C290" s="293"/>
      <c r="D290" s="293"/>
      <c r="E290" s="293"/>
      <c r="F290" s="293"/>
      <c r="G290" s="293"/>
      <c r="H290" s="293"/>
      <c r="I290" s="293"/>
      <c r="J290" s="293"/>
      <c r="K290" s="293"/>
      <c r="L290" s="293"/>
    </row>
    <row r="291" spans="1:12" x14ac:dyDescent="0.25">
      <c r="A291" s="136" t="s">
        <v>897</v>
      </c>
      <c r="B291" s="294" t="s">
        <v>26</v>
      </c>
      <c r="C291" s="337">
        <f>Hypothèses_projet!$C$3</f>
        <v>2021</v>
      </c>
      <c r="D291" s="337">
        <f>C291+1</f>
        <v>2022</v>
      </c>
      <c r="E291" s="337">
        <f t="shared" ref="E291:L291" si="80">D291+1</f>
        <v>2023</v>
      </c>
      <c r="F291" s="337">
        <f t="shared" si="80"/>
        <v>2024</v>
      </c>
      <c r="G291" s="337">
        <f t="shared" si="80"/>
        <v>2025</v>
      </c>
      <c r="H291" s="337">
        <f t="shared" si="80"/>
        <v>2026</v>
      </c>
      <c r="I291" s="337">
        <f t="shared" si="80"/>
        <v>2027</v>
      </c>
      <c r="J291" s="337">
        <f t="shared" si="80"/>
        <v>2028</v>
      </c>
      <c r="K291" s="337">
        <f t="shared" si="80"/>
        <v>2029</v>
      </c>
      <c r="L291" s="338">
        <f t="shared" si="80"/>
        <v>2030</v>
      </c>
    </row>
    <row r="292" spans="1:12" x14ac:dyDescent="0.25">
      <c r="A292" s="136"/>
      <c r="B292" s="299" t="s">
        <v>445</v>
      </c>
      <c r="C292" s="98">
        <f t="shared" ref="C292:L292" si="81">$C$278*$C$4/1000000*$C$220*C184</f>
        <v>0</v>
      </c>
      <c r="D292" s="98">
        <f t="shared" si="81"/>
        <v>1212.1297006243681</v>
      </c>
      <c r="E292" s="98">
        <f t="shared" si="81"/>
        <v>2424.2594012487375</v>
      </c>
      <c r="F292" s="98">
        <f t="shared" si="81"/>
        <v>3515.1761318106692</v>
      </c>
      <c r="G292" s="98">
        <f t="shared" si="81"/>
        <v>4242.4539521852903</v>
      </c>
      <c r="H292" s="98">
        <f t="shared" si="81"/>
        <v>4848.518802497475</v>
      </c>
      <c r="I292" s="98">
        <f t="shared" si="81"/>
        <v>5212.1577126847851</v>
      </c>
      <c r="J292" s="98">
        <f t="shared" si="81"/>
        <v>5454.5836528096588</v>
      </c>
      <c r="K292" s="98">
        <f t="shared" si="81"/>
        <v>5575.7966228720961</v>
      </c>
      <c r="L292" s="99">
        <f t="shared" si="81"/>
        <v>5697.0095929345325</v>
      </c>
    </row>
    <row r="293" spans="1:12" x14ac:dyDescent="0.25">
      <c r="A293" s="136"/>
      <c r="B293" s="299" t="s">
        <v>976</v>
      </c>
      <c r="C293" s="98">
        <f t="shared" ref="C293:L293" si="82">$C$279*$C$4/1000000*$C$221*C184</f>
        <v>0</v>
      </c>
      <c r="D293" s="98">
        <f t="shared" si="82"/>
        <v>346.32277160696225</v>
      </c>
      <c r="E293" s="98">
        <f t="shared" si="82"/>
        <v>692.64554321392484</v>
      </c>
      <c r="F293" s="98">
        <f t="shared" si="82"/>
        <v>1004.3360376601911</v>
      </c>
      <c r="G293" s="98">
        <f t="shared" si="82"/>
        <v>1212.1297006243685</v>
      </c>
      <c r="H293" s="98">
        <f t="shared" si="82"/>
        <v>1385.2910864278497</v>
      </c>
      <c r="I293" s="98">
        <f t="shared" si="82"/>
        <v>1489.1879179099385</v>
      </c>
      <c r="J293" s="98">
        <f t="shared" si="82"/>
        <v>1558.4524722313311</v>
      </c>
      <c r="K293" s="98">
        <f t="shared" si="82"/>
        <v>1593.0847493920273</v>
      </c>
      <c r="L293" s="99">
        <f t="shared" si="82"/>
        <v>1627.7170265527234</v>
      </c>
    </row>
    <row r="294" spans="1:12" x14ac:dyDescent="0.25">
      <c r="A294" s="136"/>
      <c r="B294" s="299" t="s">
        <v>447</v>
      </c>
      <c r="C294" s="98">
        <f t="shared" ref="C294:L294" si="83">$C$280*$C$4/1000000*$C$223/100*C183</f>
        <v>0</v>
      </c>
      <c r="D294" s="98">
        <f t="shared" si="83"/>
        <v>38.152763575004883</v>
      </c>
      <c r="E294" s="98">
        <f t="shared" si="83"/>
        <v>76.908642253835268</v>
      </c>
      <c r="F294" s="98">
        <f t="shared" si="83"/>
        <v>112.49136474752419</v>
      </c>
      <c r="G294" s="98">
        <f t="shared" si="83"/>
        <v>137.18991796886507</v>
      </c>
      <c r="H294" s="98">
        <f t="shared" si="83"/>
        <v>158.42486231493086</v>
      </c>
      <c r="I294" s="98">
        <f t="shared" si="83"/>
        <v>172.23343405555531</v>
      </c>
      <c r="J294" s="98">
        <f t="shared" si="83"/>
        <v>182.33946332625268</v>
      </c>
      <c r="K294" s="98">
        <f t="shared" si="83"/>
        <v>188.65157760840702</v>
      </c>
      <c r="L294" s="99">
        <f t="shared" si="83"/>
        <v>195.04568688004835</v>
      </c>
    </row>
    <row r="295" spans="1:12" x14ac:dyDescent="0.25">
      <c r="A295" s="136"/>
      <c r="B295" s="299" t="s">
        <v>448</v>
      </c>
      <c r="C295" s="98">
        <f t="shared" ref="C295:L295" si="84">$C$281*$C$4/1000000*$C$222*C184</f>
        <v>0</v>
      </c>
      <c r="D295" s="98">
        <f t="shared" si="84"/>
        <v>41.558732592835476</v>
      </c>
      <c r="E295" s="98">
        <f t="shared" si="84"/>
        <v>83.11746518567098</v>
      </c>
      <c r="F295" s="98">
        <f t="shared" si="84"/>
        <v>120.52032451922292</v>
      </c>
      <c r="G295" s="98">
        <f t="shared" si="84"/>
        <v>145.45556407492421</v>
      </c>
      <c r="H295" s="98">
        <f t="shared" si="84"/>
        <v>166.23493037134196</v>
      </c>
      <c r="I295" s="98">
        <f t="shared" si="84"/>
        <v>178.70255014919263</v>
      </c>
      <c r="J295" s="98">
        <f t="shared" si="84"/>
        <v>187.01429666775971</v>
      </c>
      <c r="K295" s="98">
        <f t="shared" si="84"/>
        <v>191.17016992704328</v>
      </c>
      <c r="L295" s="99">
        <f t="shared" si="84"/>
        <v>195.32604318632681</v>
      </c>
    </row>
    <row r="296" spans="1:12" x14ac:dyDescent="0.25">
      <c r="A296" s="136"/>
      <c r="B296" s="299" t="s">
        <v>977</v>
      </c>
      <c r="C296" s="98">
        <f t="shared" ref="C296:L296" si="85">$C$282*$C$4/1000000*$C$224*C184</f>
        <v>0</v>
      </c>
      <c r="D296" s="98">
        <f t="shared" si="85"/>
        <v>692.6455432139245</v>
      </c>
      <c r="E296" s="98">
        <f t="shared" si="85"/>
        <v>1385.2910864278497</v>
      </c>
      <c r="F296" s="98">
        <f t="shared" si="85"/>
        <v>2008.6720753203822</v>
      </c>
      <c r="G296" s="98">
        <f t="shared" si="85"/>
        <v>2424.259401248737</v>
      </c>
      <c r="H296" s="98">
        <f t="shared" si="85"/>
        <v>2770.5821728556994</v>
      </c>
      <c r="I296" s="98">
        <f t="shared" si="85"/>
        <v>2978.375835819877</v>
      </c>
      <c r="J296" s="98">
        <f t="shared" si="85"/>
        <v>3116.9049444626621</v>
      </c>
      <c r="K296" s="98">
        <f t="shared" si="85"/>
        <v>3186.1694987840547</v>
      </c>
      <c r="L296" s="99">
        <f t="shared" si="85"/>
        <v>3255.4340531054468</v>
      </c>
    </row>
    <row r="297" spans="1:12" x14ac:dyDescent="0.25">
      <c r="A297" s="136"/>
      <c r="B297" s="300" t="s">
        <v>978</v>
      </c>
      <c r="C297" s="107">
        <f t="shared" ref="C297:L297" si="86">$C$283*$C$4/1000000*$C$225*C184</f>
        <v>0</v>
      </c>
      <c r="D297" s="107">
        <f t="shared" si="86"/>
        <v>1038.9683148208869</v>
      </c>
      <c r="E297" s="107">
        <f t="shared" si="86"/>
        <v>2077.9366296417747</v>
      </c>
      <c r="F297" s="107">
        <f t="shared" si="86"/>
        <v>3013.0081129805731</v>
      </c>
      <c r="G297" s="107">
        <f t="shared" si="86"/>
        <v>3636.3891018731056</v>
      </c>
      <c r="H297" s="107">
        <f t="shared" si="86"/>
        <v>4155.8732592835495</v>
      </c>
      <c r="I297" s="107">
        <f t="shared" si="86"/>
        <v>4467.5637537298153</v>
      </c>
      <c r="J297" s="107">
        <f t="shared" si="86"/>
        <v>4675.3574166939925</v>
      </c>
      <c r="K297" s="107">
        <f t="shared" si="86"/>
        <v>4779.254248176082</v>
      </c>
      <c r="L297" s="108">
        <f t="shared" si="86"/>
        <v>4883.1510796581706</v>
      </c>
    </row>
    <row r="300" spans="1:12" x14ac:dyDescent="0.25">
      <c r="A300" s="330"/>
      <c r="B300" s="291" t="s">
        <v>29</v>
      </c>
      <c r="C300" s="291"/>
      <c r="D300" s="291"/>
      <c r="E300" s="291"/>
      <c r="F300" s="291"/>
      <c r="G300" s="291"/>
      <c r="H300" s="291"/>
      <c r="I300" s="291"/>
      <c r="J300" s="291"/>
      <c r="K300" s="291"/>
      <c r="L300" s="291"/>
    </row>
    <row r="301" spans="1:12" x14ac:dyDescent="0.25">
      <c r="A301" s="330"/>
      <c r="B301" s="292" t="s">
        <v>171</v>
      </c>
      <c r="C301" s="293"/>
      <c r="D301" s="293"/>
      <c r="E301" s="293"/>
      <c r="F301" s="293"/>
      <c r="G301" s="293"/>
      <c r="H301" s="293"/>
      <c r="I301" s="293"/>
      <c r="J301" s="293"/>
      <c r="K301" s="293"/>
      <c r="L301" s="293"/>
    </row>
    <row r="302" spans="1:12" x14ac:dyDescent="0.25">
      <c r="A302" s="136" t="s">
        <v>884</v>
      </c>
      <c r="B302" s="294" t="s">
        <v>26</v>
      </c>
      <c r="C302" s="337">
        <f>Hypothèses_projet!$C$3</f>
        <v>2021</v>
      </c>
      <c r="D302" s="337">
        <f>C302+1</f>
        <v>2022</v>
      </c>
      <c r="E302" s="337">
        <f t="shared" ref="E302:L302" si="87">D302+1</f>
        <v>2023</v>
      </c>
      <c r="F302" s="337">
        <f t="shared" si="87"/>
        <v>2024</v>
      </c>
      <c r="G302" s="337">
        <f t="shared" si="87"/>
        <v>2025</v>
      </c>
      <c r="H302" s="337">
        <f t="shared" si="87"/>
        <v>2026</v>
      </c>
      <c r="I302" s="337">
        <f t="shared" si="87"/>
        <v>2027</v>
      </c>
      <c r="J302" s="337">
        <f t="shared" si="87"/>
        <v>2028</v>
      </c>
      <c r="K302" s="337">
        <f t="shared" si="87"/>
        <v>2029</v>
      </c>
      <c r="L302" s="338">
        <f t="shared" si="87"/>
        <v>2030</v>
      </c>
    </row>
    <row r="303" spans="1:12" x14ac:dyDescent="0.25">
      <c r="A303" s="136"/>
      <c r="B303" s="299" t="s">
        <v>445</v>
      </c>
      <c r="C303" s="98">
        <f t="shared" ref="C303:L303" si="88">$C$278*$C$4/1000000*$C$220*C196</f>
        <v>0</v>
      </c>
      <c r="D303" s="98">
        <f t="shared" si="88"/>
        <v>10432.3962900404</v>
      </c>
      <c r="E303" s="98">
        <f t="shared" si="88"/>
        <v>21029.706866283082</v>
      </c>
      <c r="F303" s="98">
        <f t="shared" si="88"/>
        <v>30759.357548151143</v>
      </c>
      <c r="G303" s="98">
        <f t="shared" si="88"/>
        <v>37512.868194611547</v>
      </c>
      <c r="H303" s="98">
        <f t="shared" si="88"/>
        <v>43319.298289238912</v>
      </c>
      <c r="I303" s="98">
        <f t="shared" si="88"/>
        <v>47095.079624565908</v>
      </c>
      <c r="J303" s="98">
        <f t="shared" si="88"/>
        <v>49858.447003272224</v>
      </c>
      <c r="K303" s="98">
        <f t="shared" si="88"/>
        <v>51584.415752298803</v>
      </c>
      <c r="L303" s="99">
        <f t="shared" si="88"/>
        <v>53332.805006263225</v>
      </c>
    </row>
    <row r="304" spans="1:12" x14ac:dyDescent="0.25">
      <c r="A304" s="136"/>
      <c r="B304" s="299" t="s">
        <v>976</v>
      </c>
      <c r="C304" s="98">
        <f t="shared" ref="C304:L304" si="89">$C$279*$C$4/1000000*$C$221*C196</f>
        <v>0</v>
      </c>
      <c r="D304" s="98">
        <f t="shared" si="89"/>
        <v>2980.6846542972567</v>
      </c>
      <c r="E304" s="98">
        <f t="shared" si="89"/>
        <v>6008.4876760808802</v>
      </c>
      <c r="F304" s="98">
        <f t="shared" si="89"/>
        <v>8788.3878709003257</v>
      </c>
      <c r="G304" s="98">
        <f t="shared" si="89"/>
        <v>10717.962341317585</v>
      </c>
      <c r="H304" s="98">
        <f t="shared" si="89"/>
        <v>12376.942368353974</v>
      </c>
      <c r="I304" s="98">
        <f t="shared" si="89"/>
        <v>13455.737035590257</v>
      </c>
      <c r="J304" s="98">
        <f t="shared" si="89"/>
        <v>14245.270572363492</v>
      </c>
      <c r="K304" s="98">
        <f t="shared" si="89"/>
        <v>14738.404500656798</v>
      </c>
      <c r="L304" s="99">
        <f t="shared" si="89"/>
        <v>15237.944287503777</v>
      </c>
    </row>
    <row r="305" spans="1:12" x14ac:dyDescent="0.25">
      <c r="A305" s="136"/>
      <c r="B305" s="299" t="s">
        <v>447</v>
      </c>
      <c r="C305" s="98">
        <f t="shared" ref="C305:L305" si="90">$C$280*$C$4/1000000*$C$223/100*C195</f>
        <v>0</v>
      </c>
      <c r="D305" s="98">
        <f t="shared" si="90"/>
        <v>0.39464244093432677</v>
      </c>
      <c r="E305" s="98">
        <f t="shared" si="90"/>
        <v>0.78965339617627095</v>
      </c>
      <c r="F305" s="98">
        <f t="shared" si="90"/>
        <v>1.1455924544393261</v>
      </c>
      <c r="G305" s="98">
        <f t="shared" si="90"/>
        <v>1.3834819647844996</v>
      </c>
      <c r="H305" s="98">
        <f t="shared" si="90"/>
        <v>1.5821221062696773</v>
      </c>
      <c r="I305" s="98">
        <f t="shared" si="90"/>
        <v>1.701958517331849</v>
      </c>
      <c r="J305" s="98">
        <f t="shared" si="90"/>
        <v>1.7823995667581174</v>
      </c>
      <c r="K305" s="98">
        <f t="shared" si="90"/>
        <v>1.8233894242762509</v>
      </c>
      <c r="L305" s="99">
        <f t="shared" si="90"/>
        <v>1.8644293822256073</v>
      </c>
    </row>
    <row r="306" spans="1:12" x14ac:dyDescent="0.25">
      <c r="A306" s="136"/>
      <c r="B306" s="299" t="s">
        <v>448</v>
      </c>
      <c r="C306" s="98">
        <f t="shared" ref="C306:L306" si="91">$C$281*$C$4/1000000*$C$222*C196</f>
        <v>0</v>
      </c>
      <c r="D306" s="98">
        <f t="shared" si="91"/>
        <v>357.68215851567084</v>
      </c>
      <c r="E306" s="98">
        <f t="shared" si="91"/>
        <v>721.01852112970562</v>
      </c>
      <c r="F306" s="98">
        <f t="shared" si="91"/>
        <v>1054.6065445080392</v>
      </c>
      <c r="G306" s="98">
        <f t="shared" si="91"/>
        <v>1286.1554809581103</v>
      </c>
      <c r="H306" s="98">
        <f t="shared" si="91"/>
        <v>1485.2330842024767</v>
      </c>
      <c r="I306" s="98">
        <f t="shared" si="91"/>
        <v>1614.6884442708308</v>
      </c>
      <c r="J306" s="98">
        <f t="shared" si="91"/>
        <v>1709.4324686836192</v>
      </c>
      <c r="K306" s="98">
        <f t="shared" si="91"/>
        <v>1768.6085400788158</v>
      </c>
      <c r="L306" s="99">
        <f t="shared" si="91"/>
        <v>1828.5533145004531</v>
      </c>
    </row>
    <row r="307" spans="1:12" x14ac:dyDescent="0.25">
      <c r="A307" s="136"/>
      <c r="B307" s="299" t="s">
        <v>977</v>
      </c>
      <c r="C307" s="98">
        <f t="shared" ref="C307:L307" si="92">$C$282*$C$4/1000000*$C$224*C196</f>
        <v>0</v>
      </c>
      <c r="D307" s="98">
        <f t="shared" si="92"/>
        <v>5961.3693085945133</v>
      </c>
      <c r="E307" s="98">
        <f t="shared" si="92"/>
        <v>12016.97535216176</v>
      </c>
      <c r="F307" s="98">
        <f t="shared" si="92"/>
        <v>17576.775741800651</v>
      </c>
      <c r="G307" s="98">
        <f t="shared" si="92"/>
        <v>21435.92468263517</v>
      </c>
      <c r="H307" s="98">
        <f t="shared" si="92"/>
        <v>24753.884736707947</v>
      </c>
      <c r="I307" s="98">
        <f t="shared" si="92"/>
        <v>26911.474071180513</v>
      </c>
      <c r="J307" s="98">
        <f t="shared" si="92"/>
        <v>28490.541144726983</v>
      </c>
      <c r="K307" s="98">
        <f t="shared" si="92"/>
        <v>29476.809001313595</v>
      </c>
      <c r="L307" s="99">
        <f t="shared" si="92"/>
        <v>30475.888575007553</v>
      </c>
    </row>
    <row r="308" spans="1:12" x14ac:dyDescent="0.25">
      <c r="A308" s="136"/>
      <c r="B308" s="300" t="s">
        <v>978</v>
      </c>
      <c r="C308" s="107">
        <f t="shared" ref="C308:L308" si="93">$C$283*$C$4/1000000*$C$225*C196</f>
        <v>0</v>
      </c>
      <c r="D308" s="107">
        <f t="shared" si="93"/>
        <v>8942.0539628917704</v>
      </c>
      <c r="E308" s="107">
        <f t="shared" si="93"/>
        <v>18025.463028242641</v>
      </c>
      <c r="F308" s="107">
        <f t="shared" si="93"/>
        <v>26365.163612700981</v>
      </c>
      <c r="G308" s="107">
        <f t="shared" si="93"/>
        <v>32153.887023952753</v>
      </c>
      <c r="H308" s="107">
        <f t="shared" si="93"/>
        <v>37130.827105061915</v>
      </c>
      <c r="I308" s="107">
        <f t="shared" si="93"/>
        <v>40367.211106770774</v>
      </c>
      <c r="J308" s="107">
        <f t="shared" si="93"/>
        <v>42735.811717090473</v>
      </c>
      <c r="K308" s="107">
        <f t="shared" si="93"/>
        <v>44215.213501970393</v>
      </c>
      <c r="L308" s="108">
        <f t="shared" si="93"/>
        <v>45713.832862511328</v>
      </c>
    </row>
    <row r="311" spans="1:12" x14ac:dyDescent="0.25">
      <c r="A311" s="330"/>
      <c r="B311" s="291" t="s">
        <v>29</v>
      </c>
      <c r="C311" s="291"/>
      <c r="D311" s="291"/>
      <c r="E311" s="291"/>
      <c r="F311" s="291"/>
      <c r="G311" s="291"/>
      <c r="H311" s="291"/>
      <c r="I311" s="291"/>
      <c r="J311" s="291"/>
      <c r="K311" s="291"/>
      <c r="L311" s="291"/>
    </row>
    <row r="312" spans="1:12" x14ac:dyDescent="0.25">
      <c r="A312" s="330"/>
      <c r="B312" s="292" t="s">
        <v>171</v>
      </c>
      <c r="C312" s="293"/>
      <c r="D312" s="293"/>
      <c r="E312" s="293"/>
      <c r="F312" s="293"/>
      <c r="G312" s="293"/>
      <c r="H312" s="293"/>
      <c r="I312" s="293"/>
      <c r="J312" s="293"/>
      <c r="K312" s="293"/>
      <c r="L312" s="293"/>
    </row>
    <row r="313" spans="1:12" x14ac:dyDescent="0.25">
      <c r="A313" s="136" t="s">
        <v>904</v>
      </c>
      <c r="B313" s="294" t="s">
        <v>26</v>
      </c>
      <c r="C313" s="337">
        <f>Hypothèses_projet!$C$3</f>
        <v>2021</v>
      </c>
      <c r="D313" s="337">
        <f>C313+1</f>
        <v>2022</v>
      </c>
      <c r="E313" s="337">
        <f t="shared" ref="E313:L313" si="94">D313+1</f>
        <v>2023</v>
      </c>
      <c r="F313" s="337">
        <f t="shared" si="94"/>
        <v>2024</v>
      </c>
      <c r="G313" s="337">
        <f t="shared" si="94"/>
        <v>2025</v>
      </c>
      <c r="H313" s="337">
        <f t="shared" si="94"/>
        <v>2026</v>
      </c>
      <c r="I313" s="337">
        <f t="shared" si="94"/>
        <v>2027</v>
      </c>
      <c r="J313" s="337">
        <f t="shared" si="94"/>
        <v>2028</v>
      </c>
      <c r="K313" s="337">
        <f t="shared" si="94"/>
        <v>2029</v>
      </c>
      <c r="L313" s="338">
        <f t="shared" si="94"/>
        <v>2030</v>
      </c>
    </row>
    <row r="314" spans="1:12" x14ac:dyDescent="0.25">
      <c r="A314" s="136"/>
      <c r="B314" s="299" t="s">
        <v>445</v>
      </c>
      <c r="C314" s="98">
        <f t="shared" ref="C314:L314" si="95">$C$278*$C$4/1000000*$C$220*C210</f>
        <v>0</v>
      </c>
      <c r="D314" s="98">
        <f t="shared" si="95"/>
        <v>36363.891018731039</v>
      </c>
      <c r="E314" s="98">
        <f t="shared" si="95"/>
        <v>72727.782037462122</v>
      </c>
      <c r="F314" s="98">
        <f t="shared" si="95"/>
        <v>105455.28395432007</v>
      </c>
      <c r="G314" s="98">
        <f t="shared" si="95"/>
        <v>127273.6185655587</v>
      </c>
      <c r="H314" s="98">
        <f t="shared" si="95"/>
        <v>145455.56407492424</v>
      </c>
      <c r="I314" s="98">
        <f t="shared" si="95"/>
        <v>156364.73138054356</v>
      </c>
      <c r="J314" s="98">
        <f t="shared" si="95"/>
        <v>163637.50958428977</v>
      </c>
      <c r="K314" s="98">
        <f t="shared" si="95"/>
        <v>167273.89868616287</v>
      </c>
      <c r="L314" s="99">
        <f t="shared" si="95"/>
        <v>170910.28778803599</v>
      </c>
    </row>
    <row r="315" spans="1:12" x14ac:dyDescent="0.25">
      <c r="A315" s="136"/>
      <c r="B315" s="299" t="s">
        <v>976</v>
      </c>
      <c r="C315" s="98">
        <f t="shared" ref="C315:L315" si="96">$C$279*$C$4/1000000*$C$221*C210</f>
        <v>0</v>
      </c>
      <c r="D315" s="98">
        <f t="shared" si="96"/>
        <v>10389.683148208867</v>
      </c>
      <c r="E315" s="98">
        <f t="shared" si="96"/>
        <v>20779.366296417746</v>
      </c>
      <c r="F315" s="98">
        <f t="shared" si="96"/>
        <v>30130.081129805731</v>
      </c>
      <c r="G315" s="98">
        <f t="shared" si="96"/>
        <v>36363.891018731054</v>
      </c>
      <c r="H315" s="98">
        <f t="shared" si="96"/>
        <v>41558.732592835491</v>
      </c>
      <c r="I315" s="98">
        <f t="shared" si="96"/>
        <v>44675.637537298157</v>
      </c>
      <c r="J315" s="98">
        <f t="shared" si="96"/>
        <v>46753.574166939929</v>
      </c>
      <c r="K315" s="98">
        <f t="shared" si="96"/>
        <v>47792.542481760815</v>
      </c>
      <c r="L315" s="99">
        <f t="shared" si="96"/>
        <v>48831.510796581701</v>
      </c>
    </row>
    <row r="316" spans="1:12" x14ac:dyDescent="0.25">
      <c r="A316" s="136"/>
      <c r="B316" s="299" t="s">
        <v>447</v>
      </c>
      <c r="C316" s="98">
        <f t="shared" ref="C316:L316" si="97">$C$280*$C$4/1000000*$C$223/100*C209</f>
        <v>0</v>
      </c>
      <c r="D316" s="98">
        <f t="shared" si="97"/>
        <v>1144.5829072501465</v>
      </c>
      <c r="E316" s="98">
        <f t="shared" si="97"/>
        <v>2307.2592676150575</v>
      </c>
      <c r="F316" s="98">
        <f t="shared" si="97"/>
        <v>3374.7409424257257</v>
      </c>
      <c r="G316" s="98">
        <f t="shared" si="97"/>
        <v>4115.6975390659518</v>
      </c>
      <c r="H316" s="98">
        <f t="shared" si="97"/>
        <v>4752.7458694479255</v>
      </c>
      <c r="I316" s="98">
        <f t="shared" si="97"/>
        <v>5167.0030216666592</v>
      </c>
      <c r="J316" s="98">
        <f t="shared" si="97"/>
        <v>5470.1838997875802</v>
      </c>
      <c r="K316" s="98">
        <f t="shared" si="97"/>
        <v>5659.5473282522107</v>
      </c>
      <c r="L316" s="99">
        <f t="shared" si="97"/>
        <v>5851.3706064014495</v>
      </c>
    </row>
    <row r="317" spans="1:12" x14ac:dyDescent="0.25">
      <c r="A317" s="136"/>
      <c r="B317" s="299" t="s">
        <v>448</v>
      </c>
      <c r="C317" s="98">
        <f t="shared" ref="C317:L317" si="98">$C$281*$C$4/1000000*$C$222*C210</f>
        <v>0</v>
      </c>
      <c r="D317" s="98">
        <f t="shared" si="98"/>
        <v>1246.7619777850641</v>
      </c>
      <c r="E317" s="98">
        <f t="shared" si="98"/>
        <v>2493.5239555701296</v>
      </c>
      <c r="F317" s="98">
        <f t="shared" si="98"/>
        <v>3615.6097355766879</v>
      </c>
      <c r="G317" s="98">
        <f t="shared" si="98"/>
        <v>4363.6669222477267</v>
      </c>
      <c r="H317" s="98">
        <f t="shared" si="98"/>
        <v>4987.0479111402592</v>
      </c>
      <c r="I317" s="98">
        <f t="shared" si="98"/>
        <v>5361.0765044757782</v>
      </c>
      <c r="J317" s="98">
        <f t="shared" si="98"/>
        <v>5610.4289000327917</v>
      </c>
      <c r="K317" s="98">
        <f t="shared" si="98"/>
        <v>5735.105097811298</v>
      </c>
      <c r="L317" s="99">
        <f t="shared" si="98"/>
        <v>5859.7812955898044</v>
      </c>
    </row>
    <row r="318" spans="1:12" x14ac:dyDescent="0.25">
      <c r="A318" s="136"/>
      <c r="B318" s="299" t="s">
        <v>977</v>
      </c>
      <c r="C318" s="98">
        <f t="shared" ref="C318:L318" si="99">$C$282*$C$4/1000000*$C$224*C210</f>
        <v>0</v>
      </c>
      <c r="D318" s="98">
        <f t="shared" si="99"/>
        <v>20779.366296417735</v>
      </c>
      <c r="E318" s="98">
        <f t="shared" si="99"/>
        <v>41558.732592835491</v>
      </c>
      <c r="F318" s="98">
        <f t="shared" si="99"/>
        <v>60260.162259611461</v>
      </c>
      <c r="G318" s="98">
        <f t="shared" si="99"/>
        <v>72727.782037462108</v>
      </c>
      <c r="H318" s="98">
        <f t="shared" si="99"/>
        <v>83117.465185670982</v>
      </c>
      <c r="I318" s="98">
        <f t="shared" si="99"/>
        <v>89351.275074596313</v>
      </c>
      <c r="J318" s="98">
        <f t="shared" si="99"/>
        <v>93507.148333879857</v>
      </c>
      <c r="K318" s="98">
        <f t="shared" si="99"/>
        <v>95585.084963521629</v>
      </c>
      <c r="L318" s="99">
        <f t="shared" si="99"/>
        <v>97663.021593163401</v>
      </c>
    </row>
    <row r="319" spans="1:12" x14ac:dyDescent="0.25">
      <c r="A319" s="136"/>
      <c r="B319" s="300" t="s">
        <v>978</v>
      </c>
      <c r="C319" s="107">
        <f t="shared" ref="C319:L319" si="100">$C$283*$C$4/1000000*$C$225*C210</f>
        <v>0</v>
      </c>
      <c r="D319" s="107">
        <f t="shared" si="100"/>
        <v>31169.049444626602</v>
      </c>
      <c r="E319" s="107">
        <f t="shared" si="100"/>
        <v>62338.09888925324</v>
      </c>
      <c r="F319" s="107">
        <f t="shared" si="100"/>
        <v>90390.243389417199</v>
      </c>
      <c r="G319" s="107">
        <f t="shared" si="100"/>
        <v>109091.67305619316</v>
      </c>
      <c r="H319" s="107">
        <f t="shared" si="100"/>
        <v>124676.19777850648</v>
      </c>
      <c r="I319" s="107">
        <f t="shared" si="100"/>
        <v>134026.91261189446</v>
      </c>
      <c r="J319" s="107">
        <f t="shared" si="100"/>
        <v>140260.7225008198</v>
      </c>
      <c r="K319" s="107">
        <f t="shared" si="100"/>
        <v>143377.62744528244</v>
      </c>
      <c r="L319" s="108">
        <f t="shared" si="100"/>
        <v>146494.53238974512</v>
      </c>
    </row>
    <row r="323" spans="1:14" s="193" customFormat="1" ht="30" x14ac:dyDescent="0.25">
      <c r="A323" s="330"/>
      <c r="B323" s="287" t="s">
        <v>1326</v>
      </c>
      <c r="C323" s="245"/>
      <c r="D323" s="245"/>
      <c r="E323" s="245"/>
      <c r="F323" s="209" t="s">
        <v>201</v>
      </c>
    </row>
    <row r="324" spans="1:14" s="193" customFormat="1" x14ac:dyDescent="0.25">
      <c r="A324" s="330"/>
      <c r="B324" s="309"/>
      <c r="C324" s="266"/>
      <c r="D324" s="266"/>
      <c r="E324" s="266"/>
      <c r="F324" s="266"/>
      <c r="G324" s="266"/>
      <c r="H324" s="266"/>
      <c r="I324" s="266"/>
      <c r="J324" s="266"/>
      <c r="K324" s="266"/>
      <c r="L324" s="266"/>
      <c r="M324" s="266"/>
      <c r="N324" s="266"/>
    </row>
    <row r="325" spans="1:14" s="193" customFormat="1" ht="99" customHeight="1" x14ac:dyDescent="0.25">
      <c r="A325" s="330"/>
      <c r="B325" s="288" t="s">
        <v>554</v>
      </c>
      <c r="C325" s="332" t="s">
        <v>979</v>
      </c>
      <c r="D325" s="332"/>
      <c r="E325" s="332"/>
      <c r="F325" s="266"/>
      <c r="G325" s="266"/>
      <c r="H325" s="266"/>
      <c r="I325" s="266"/>
      <c r="J325" s="266"/>
      <c r="K325" s="266"/>
      <c r="L325" s="266"/>
      <c r="M325" s="266"/>
      <c r="N325" s="266"/>
    </row>
    <row r="326" spans="1:14" s="193" customFormat="1" ht="18.600000000000001" customHeight="1" x14ac:dyDescent="0.25">
      <c r="A326" s="330"/>
      <c r="B326" s="288"/>
      <c r="F326" s="266"/>
      <c r="G326" s="266"/>
      <c r="H326" s="266"/>
      <c r="I326" s="266"/>
      <c r="J326" s="266"/>
      <c r="K326" s="266"/>
      <c r="L326" s="266"/>
      <c r="M326" s="266"/>
      <c r="N326" s="266"/>
    </row>
    <row r="327" spans="1:14" s="193" customFormat="1" ht="51.95" customHeight="1" x14ac:dyDescent="0.25">
      <c r="A327" s="330"/>
      <c r="B327" s="146" t="s">
        <v>547</v>
      </c>
      <c r="C327" s="332" t="s">
        <v>980</v>
      </c>
      <c r="D327" s="332"/>
      <c r="E327" s="332"/>
      <c r="F327" s="266"/>
      <c r="G327" s="266"/>
      <c r="H327" s="266"/>
      <c r="I327" s="266"/>
      <c r="J327" s="266"/>
      <c r="K327" s="266"/>
      <c r="L327" s="266"/>
      <c r="M327" s="266"/>
      <c r="N327" s="266"/>
    </row>
    <row r="328" spans="1:14" s="193" customFormat="1" x14ac:dyDescent="0.25">
      <c r="A328" s="330"/>
      <c r="B328" s="309"/>
      <c r="C328" s="266"/>
      <c r="D328" s="266"/>
      <c r="E328" s="266"/>
      <c r="F328" s="266"/>
      <c r="G328" s="266"/>
      <c r="H328" s="266"/>
      <c r="I328" s="266"/>
      <c r="J328" s="266"/>
      <c r="K328" s="266"/>
      <c r="L328" s="266"/>
      <c r="M328" s="266"/>
      <c r="N328" s="266"/>
    </row>
    <row r="329" spans="1:14" s="193" customFormat="1" x14ac:dyDescent="0.25">
      <c r="A329" s="330"/>
      <c r="B329" s="291" t="s">
        <v>29</v>
      </c>
      <c r="C329" s="291"/>
      <c r="D329" s="291"/>
      <c r="E329" s="291"/>
      <c r="F329" s="291"/>
      <c r="G329" s="291"/>
      <c r="H329" s="291"/>
      <c r="I329" s="291"/>
      <c r="J329" s="291"/>
      <c r="K329" s="291"/>
      <c r="L329" s="291"/>
      <c r="M329" s="266"/>
      <c r="N329" s="266"/>
    </row>
    <row r="330" spans="1:14" s="193" customFormat="1" x14ac:dyDescent="0.25">
      <c r="A330" s="330"/>
      <c r="B330" s="292" t="s">
        <v>171</v>
      </c>
      <c r="C330" s="293"/>
      <c r="D330" s="293"/>
      <c r="E330" s="293"/>
      <c r="F330" s="293"/>
      <c r="G330" s="293"/>
      <c r="H330" s="293"/>
      <c r="I330" s="293"/>
      <c r="J330" s="293"/>
      <c r="K330" s="293"/>
      <c r="L330" s="293"/>
      <c r="M330" s="266"/>
      <c r="N330" s="266"/>
    </row>
    <row r="331" spans="1:14" s="193" customFormat="1" x14ac:dyDescent="0.25">
      <c r="A331" s="330"/>
      <c r="B331" s="307" t="s">
        <v>26</v>
      </c>
      <c r="C331" s="307">
        <f>Hypothèses_projet!$C$3</f>
        <v>2021</v>
      </c>
      <c r="D331" s="307">
        <f>C331+1</f>
        <v>2022</v>
      </c>
      <c r="E331" s="307">
        <f t="shared" ref="E331:L331" si="101">D331+1</f>
        <v>2023</v>
      </c>
      <c r="F331" s="307">
        <f t="shared" si="101"/>
        <v>2024</v>
      </c>
      <c r="G331" s="307">
        <f t="shared" si="101"/>
        <v>2025</v>
      </c>
      <c r="H331" s="307">
        <f t="shared" si="101"/>
        <v>2026</v>
      </c>
      <c r="I331" s="307">
        <f t="shared" si="101"/>
        <v>2027</v>
      </c>
      <c r="J331" s="307">
        <f t="shared" si="101"/>
        <v>2028</v>
      </c>
      <c r="K331" s="307">
        <f t="shared" si="101"/>
        <v>2029</v>
      </c>
      <c r="L331" s="307">
        <f t="shared" si="101"/>
        <v>2030</v>
      </c>
      <c r="M331" s="266"/>
      <c r="N331" s="266"/>
    </row>
    <row r="332" spans="1:14" s="193" customFormat="1" x14ac:dyDescent="0.25">
      <c r="A332" s="330"/>
      <c r="B332" s="286" t="s">
        <v>981</v>
      </c>
      <c r="C332" s="290">
        <f>$C$343*$C$346*10^6*$C$348*$C$4/1000000</f>
        <v>645.17246581944244</v>
      </c>
      <c r="D332" s="290">
        <f>$C$332*(1+$C$349/100)</f>
        <v>709.68971240138671</v>
      </c>
      <c r="E332" s="290">
        <f t="shared" ref="E332:L332" si="102">D332*(1+$C$349/100)</f>
        <v>780.6586836415255</v>
      </c>
      <c r="F332" s="290">
        <f t="shared" si="102"/>
        <v>858.72455200567811</v>
      </c>
      <c r="G332" s="290">
        <f t="shared" si="102"/>
        <v>944.59700720624596</v>
      </c>
      <c r="H332" s="290">
        <f t="shared" si="102"/>
        <v>1039.0567079268706</v>
      </c>
      <c r="I332" s="290">
        <f t="shared" si="102"/>
        <v>1142.9623787195578</v>
      </c>
      <c r="J332" s="290">
        <f t="shared" si="102"/>
        <v>1257.2586165915136</v>
      </c>
      <c r="K332" s="290">
        <f t="shared" si="102"/>
        <v>1382.984478250665</v>
      </c>
      <c r="L332" s="290">
        <f t="shared" si="102"/>
        <v>1521.2829260757317</v>
      </c>
      <c r="M332" s="266"/>
      <c r="N332" s="266"/>
    </row>
    <row r="333" spans="1:14" s="193" customFormat="1" x14ac:dyDescent="0.25">
      <c r="A333" s="330"/>
      <c r="B333" s="286" t="s">
        <v>982</v>
      </c>
      <c r="C333" s="290">
        <f>$C$343*$C$346*10^6*$C$348*$C$4/1000000</f>
        <v>645.17246581944244</v>
      </c>
      <c r="D333" s="290">
        <f t="shared" ref="D333:L333" si="103">C333*(1+$C$350/100)</f>
        <v>774.20695898333088</v>
      </c>
      <c r="E333" s="290">
        <f t="shared" si="103"/>
        <v>929.04835077999701</v>
      </c>
      <c r="F333" s="290">
        <f t="shared" si="103"/>
        <v>1114.8580209359964</v>
      </c>
      <c r="G333" s="290">
        <f t="shared" si="103"/>
        <v>1337.8296251231957</v>
      </c>
      <c r="H333" s="290">
        <f t="shared" si="103"/>
        <v>1605.3955501478347</v>
      </c>
      <c r="I333" s="290">
        <f t="shared" si="103"/>
        <v>1926.4746601774016</v>
      </c>
      <c r="J333" s="290">
        <f t="shared" si="103"/>
        <v>2311.7695922128819</v>
      </c>
      <c r="K333" s="290">
        <f t="shared" si="103"/>
        <v>2774.1235106554582</v>
      </c>
      <c r="L333" s="290">
        <f t="shared" si="103"/>
        <v>3328.9482127865499</v>
      </c>
      <c r="M333" s="266"/>
      <c r="N333" s="266"/>
    </row>
    <row r="334" spans="1:14" s="193" customFormat="1" x14ac:dyDescent="0.25">
      <c r="A334" s="330"/>
      <c r="B334" s="286" t="s">
        <v>891</v>
      </c>
      <c r="C334" s="290">
        <f>$C$343*$C$346*10^6*$C$348*$C$4/1000000</f>
        <v>645.17246581944244</v>
      </c>
      <c r="D334" s="290">
        <f t="shared" ref="D334:L334" si="104">C334*(1+$C$351/100)</f>
        <v>838.72420556527516</v>
      </c>
      <c r="E334" s="290">
        <f t="shared" si="104"/>
        <v>1090.3414672348576</v>
      </c>
      <c r="F334" s="290">
        <f t="shared" si="104"/>
        <v>1417.443907405315</v>
      </c>
      <c r="G334" s="290">
        <f t="shared" si="104"/>
        <v>1842.6770796269095</v>
      </c>
      <c r="H334" s="290">
        <f t="shared" si="104"/>
        <v>2395.4802035149823</v>
      </c>
      <c r="I334" s="290">
        <f t="shared" si="104"/>
        <v>3114.124264569477</v>
      </c>
      <c r="J334" s="290">
        <f t="shared" si="104"/>
        <v>4048.3615439403202</v>
      </c>
      <c r="K334" s="290">
        <f t="shared" si="104"/>
        <v>5262.8700071224166</v>
      </c>
      <c r="L334" s="290">
        <f t="shared" si="104"/>
        <v>6841.7310092591415</v>
      </c>
      <c r="M334" s="266"/>
      <c r="N334" s="266"/>
    </row>
    <row r="335" spans="1:14" s="193" customFormat="1" x14ac:dyDescent="0.25">
      <c r="A335" s="330"/>
      <c r="B335" s="286" t="s">
        <v>892</v>
      </c>
      <c r="C335" s="290">
        <f>IF($F$323="Oui",C333-C332,0)</f>
        <v>0</v>
      </c>
      <c r="D335" s="290">
        <f t="shared" ref="D335:L335" si="105">IF($F$323="Oui",D333-D332,0)</f>
        <v>64.517246581944164</v>
      </c>
      <c r="E335" s="290">
        <f t="shared" si="105"/>
        <v>148.38966713847151</v>
      </c>
      <c r="F335" s="290">
        <f t="shared" si="105"/>
        <v>256.13346893031826</v>
      </c>
      <c r="G335" s="290">
        <f t="shared" si="105"/>
        <v>393.23261791694972</v>
      </c>
      <c r="H335" s="290">
        <f t="shared" si="105"/>
        <v>566.33884222096412</v>
      </c>
      <c r="I335" s="290">
        <f t="shared" si="105"/>
        <v>783.51228145784376</v>
      </c>
      <c r="J335" s="290">
        <f t="shared" si="105"/>
        <v>1054.5109756213683</v>
      </c>
      <c r="K335" s="290">
        <f t="shared" si="105"/>
        <v>1391.1390324047932</v>
      </c>
      <c r="L335" s="290">
        <f t="shared" si="105"/>
        <v>1807.6652867108182</v>
      </c>
      <c r="M335" s="266"/>
      <c r="N335" s="266"/>
    </row>
    <row r="336" spans="1:14" s="193" customFormat="1" x14ac:dyDescent="0.25">
      <c r="A336" s="330"/>
      <c r="B336" s="286" t="s">
        <v>893</v>
      </c>
      <c r="C336" s="290">
        <f>IF($F$323="Oui",C334-C332,0)</f>
        <v>0</v>
      </c>
      <c r="D336" s="290">
        <f t="shared" ref="D336:L336" si="106">IF($F$323="Oui",D334-D332,0)</f>
        <v>129.03449316388844</v>
      </c>
      <c r="E336" s="290">
        <f t="shared" si="106"/>
        <v>309.68278359333215</v>
      </c>
      <c r="F336" s="290">
        <f t="shared" si="106"/>
        <v>558.71935539963692</v>
      </c>
      <c r="G336" s="290">
        <f t="shared" si="106"/>
        <v>898.08007242066356</v>
      </c>
      <c r="H336" s="290">
        <f t="shared" si="106"/>
        <v>1356.4234955881118</v>
      </c>
      <c r="I336" s="290">
        <f t="shared" si="106"/>
        <v>1971.1618858499191</v>
      </c>
      <c r="J336" s="290">
        <f t="shared" si="106"/>
        <v>2791.1029273488066</v>
      </c>
      <c r="K336" s="290">
        <f t="shared" si="106"/>
        <v>3879.8855288717514</v>
      </c>
      <c r="L336" s="290">
        <f t="shared" si="106"/>
        <v>5320.4480831834098</v>
      </c>
      <c r="M336" s="266"/>
      <c r="N336" s="266"/>
    </row>
    <row r="337" spans="1:14" s="193" customFormat="1" x14ac:dyDescent="0.25">
      <c r="A337" s="330"/>
      <c r="B337" s="334"/>
      <c r="C337" s="98"/>
      <c r="D337" s="98"/>
      <c r="E337" s="98"/>
      <c r="F337" s="98"/>
      <c r="G337" s="98"/>
      <c r="H337" s="98"/>
      <c r="I337" s="98"/>
      <c r="J337" s="98"/>
      <c r="K337" s="98"/>
      <c r="L337" s="98"/>
      <c r="M337" s="266"/>
      <c r="N337" s="266"/>
    </row>
    <row r="338" spans="1:14" s="193" customFormat="1" x14ac:dyDescent="0.25">
      <c r="A338" s="330"/>
      <c r="B338" s="266" t="s">
        <v>983</v>
      </c>
      <c r="C338" s="114">
        <v>544</v>
      </c>
      <c r="D338" s="266"/>
      <c r="E338" s="266" t="s">
        <v>984</v>
      </c>
      <c r="F338" s="266"/>
      <c r="G338" s="180" t="s">
        <v>985</v>
      </c>
      <c r="H338" s="266"/>
      <c r="I338" s="266"/>
      <c r="J338" s="266"/>
      <c r="K338" s="266"/>
      <c r="L338" s="266"/>
      <c r="M338" s="266"/>
      <c r="N338" s="266"/>
    </row>
    <row r="339" spans="1:14" s="193" customFormat="1" x14ac:dyDescent="0.25">
      <c r="A339" s="330"/>
      <c r="B339" s="266" t="s">
        <v>986</v>
      </c>
      <c r="C339" s="114">
        <v>5042</v>
      </c>
      <c r="D339" s="266"/>
      <c r="E339" s="266" t="s">
        <v>984</v>
      </c>
      <c r="F339" s="266"/>
      <c r="G339" s="180" t="s">
        <v>985</v>
      </c>
      <c r="H339" s="266"/>
      <c r="I339" s="266"/>
      <c r="J339" s="266"/>
      <c r="K339" s="266"/>
      <c r="L339" s="266"/>
      <c r="M339" s="266"/>
      <c r="N339" s="266"/>
    </row>
    <row r="340" spans="1:14" s="193" customFormat="1" x14ac:dyDescent="0.25">
      <c r="A340" s="330"/>
      <c r="B340" s="266" t="s">
        <v>987</v>
      </c>
      <c r="C340" s="111">
        <f>(1+((C339-C338)/C338))^(1/(2030-2020))-1</f>
        <v>0.24939681404887959</v>
      </c>
      <c r="D340" s="266"/>
      <c r="E340" s="266"/>
      <c r="F340" s="266"/>
      <c r="G340" s="266"/>
      <c r="H340" s="266"/>
      <c r="I340" s="266"/>
      <c r="J340" s="266"/>
      <c r="K340" s="266"/>
      <c r="L340" s="266"/>
      <c r="M340" s="266"/>
      <c r="N340" s="266"/>
    </row>
    <row r="341" spans="1:14" s="193" customFormat="1" x14ac:dyDescent="0.25">
      <c r="A341" s="330"/>
      <c r="B341" s="266" t="s">
        <v>988</v>
      </c>
      <c r="C341" s="114">
        <v>8.5749999999999993</v>
      </c>
      <c r="D341" s="266"/>
      <c r="E341" s="266" t="s">
        <v>989</v>
      </c>
      <c r="F341" s="266"/>
      <c r="G341" s="266"/>
      <c r="H341" s="266"/>
      <c r="I341" s="266"/>
      <c r="J341" s="266"/>
      <c r="K341" s="266"/>
      <c r="L341" s="266"/>
      <c r="M341" s="266"/>
      <c r="N341" s="266"/>
    </row>
    <row r="342" spans="1:14" s="193" customFormat="1" x14ac:dyDescent="0.25">
      <c r="A342" s="330"/>
      <c r="B342" s="266" t="s">
        <v>1204</v>
      </c>
      <c r="C342" s="114">
        <f>Hypothèses_projet!C19</f>
        <v>50.34</v>
      </c>
      <c r="D342" s="266"/>
      <c r="E342" s="266" t="s">
        <v>989</v>
      </c>
      <c r="F342" s="266"/>
      <c r="G342" s="266"/>
      <c r="H342" s="266"/>
      <c r="I342" s="266"/>
      <c r="J342" s="266"/>
      <c r="K342" s="266"/>
      <c r="L342" s="266"/>
      <c r="M342" s="266"/>
      <c r="N342" s="266"/>
    </row>
    <row r="343" spans="1:14" s="193" customFormat="1" ht="37.5" customHeight="1" x14ac:dyDescent="0.25">
      <c r="A343" s="330"/>
      <c r="B343" s="266" t="s">
        <v>1206</v>
      </c>
      <c r="C343" s="349">
        <f>C338*(C342/C341)</f>
        <v>3193.581341107872</v>
      </c>
      <c r="D343" s="266"/>
      <c r="E343" s="266" t="s">
        <v>984</v>
      </c>
      <c r="F343" s="266"/>
      <c r="G343" s="350" t="s">
        <v>1203</v>
      </c>
      <c r="H343" s="350"/>
      <c r="I343" s="350"/>
      <c r="J343" s="350"/>
      <c r="K343" s="350"/>
      <c r="L343" s="266"/>
      <c r="M343" s="266"/>
      <c r="N343" s="266"/>
    </row>
    <row r="344" spans="1:14" s="193" customFormat="1" ht="16.5" customHeight="1" x14ac:dyDescent="0.25">
      <c r="A344" s="330"/>
      <c r="B344" s="266" t="s">
        <v>1205</v>
      </c>
      <c r="C344" s="349">
        <f>C339*(C342/C341)</f>
        <v>29599.332944606416</v>
      </c>
      <c r="D344" s="266"/>
      <c r="E344" s="266" t="s">
        <v>984</v>
      </c>
      <c r="F344" s="266"/>
      <c r="G344" s="350" t="s">
        <v>1203</v>
      </c>
      <c r="H344" s="350"/>
      <c r="I344" s="350"/>
      <c r="J344" s="350"/>
      <c r="K344" s="350"/>
      <c r="L344" s="266"/>
      <c r="M344" s="266"/>
      <c r="N344" s="266"/>
    </row>
    <row r="345" spans="1:14" s="193" customFormat="1" x14ac:dyDescent="0.25">
      <c r="A345" s="330"/>
      <c r="B345" s="266"/>
      <c r="C345" s="351"/>
      <c r="D345" s="266"/>
      <c r="E345" s="266"/>
      <c r="F345" s="266"/>
      <c r="G345" s="350"/>
      <c r="H345" s="350"/>
      <c r="I345" s="350"/>
      <c r="J345" s="350"/>
      <c r="K345" s="350"/>
      <c r="L345" s="266"/>
      <c r="M345" s="266"/>
      <c r="N345" s="266"/>
    </row>
    <row r="346" spans="1:14" s="193" customFormat="1" x14ac:dyDescent="0.25">
      <c r="A346" s="330"/>
      <c r="B346" s="266" t="s">
        <v>990</v>
      </c>
      <c r="C346" s="111">
        <f>1/8</f>
        <v>0.125</v>
      </c>
      <c r="D346" s="266"/>
      <c r="E346" s="266" t="s">
        <v>991</v>
      </c>
      <c r="F346" s="266"/>
      <c r="G346" s="266"/>
      <c r="H346" s="266"/>
      <c r="I346" s="266"/>
      <c r="J346" s="266"/>
      <c r="K346" s="266"/>
      <c r="L346" s="266"/>
      <c r="M346" s="266"/>
      <c r="N346" s="266"/>
    </row>
    <row r="347" spans="1:14" s="193" customFormat="1" x14ac:dyDescent="0.25">
      <c r="A347" s="330"/>
      <c r="B347" s="266"/>
      <c r="C347" s="111"/>
      <c r="D347" s="266"/>
      <c r="E347" s="266"/>
      <c r="F347" s="266"/>
      <c r="G347" s="266"/>
      <c r="H347" s="266"/>
      <c r="I347" s="266"/>
      <c r="J347" s="266"/>
      <c r="K347" s="266"/>
      <c r="L347" s="266"/>
      <c r="M347" s="266"/>
      <c r="N347" s="266"/>
    </row>
    <row r="348" spans="1:14" s="193" customFormat="1" x14ac:dyDescent="0.25">
      <c r="A348" s="330"/>
      <c r="B348" s="252" t="s">
        <v>197</v>
      </c>
      <c r="C348" s="115">
        <v>7.0000000000000001E-3</v>
      </c>
      <c r="E348" s="266" t="s">
        <v>2</v>
      </c>
      <c r="F348" s="266"/>
      <c r="G348" s="343" t="s">
        <v>198</v>
      </c>
      <c r="H348" s="266"/>
      <c r="K348" s="266"/>
      <c r="L348" s="266"/>
      <c r="M348" s="266"/>
      <c r="N348" s="266"/>
    </row>
    <row r="349" spans="1:14" s="193" customFormat="1" x14ac:dyDescent="0.25">
      <c r="A349" s="330"/>
      <c r="B349" s="147" t="s">
        <v>992</v>
      </c>
      <c r="C349" s="352">
        <v>10</v>
      </c>
      <c r="E349" s="343" t="s">
        <v>1</v>
      </c>
      <c r="F349" s="266"/>
      <c r="G349" s="343" t="s">
        <v>993</v>
      </c>
      <c r="H349" s="266"/>
      <c r="K349" s="266"/>
      <c r="L349" s="266"/>
      <c r="M349" s="266"/>
      <c r="N349" s="266"/>
    </row>
    <row r="350" spans="1:14" s="193" customFormat="1" x14ac:dyDescent="0.25">
      <c r="A350" s="330"/>
      <c r="B350" s="147" t="s">
        <v>994</v>
      </c>
      <c r="C350" s="352">
        <v>20</v>
      </c>
      <c r="E350" s="343" t="s">
        <v>1</v>
      </c>
      <c r="F350" s="343"/>
      <c r="G350" s="343" t="s">
        <v>993</v>
      </c>
      <c r="H350" s="266"/>
      <c r="K350" s="266"/>
      <c r="L350" s="266"/>
      <c r="M350" s="266"/>
      <c r="N350" s="266"/>
    </row>
    <row r="351" spans="1:14" x14ac:dyDescent="0.25">
      <c r="B351" s="147" t="s">
        <v>995</v>
      </c>
      <c r="C351" s="352">
        <v>30</v>
      </c>
      <c r="D351" s="193"/>
      <c r="E351" s="343" t="s">
        <v>1</v>
      </c>
      <c r="F351" s="343"/>
      <c r="G351" s="343" t="s">
        <v>993</v>
      </c>
      <c r="H351" s="266"/>
    </row>
    <row r="353" spans="1:12" s="193" customFormat="1" ht="30" x14ac:dyDescent="0.25">
      <c r="A353" s="330"/>
      <c r="B353" s="287" t="s">
        <v>996</v>
      </c>
      <c r="C353" s="245"/>
      <c r="D353" s="245"/>
      <c r="E353" s="245"/>
      <c r="F353" s="209" t="s">
        <v>201</v>
      </c>
    </row>
    <row r="354" spans="1:12" x14ac:dyDescent="0.25">
      <c r="B354" s="309"/>
    </row>
    <row r="355" spans="1:12" ht="66.599999999999994" customHeight="1" x14ac:dyDescent="0.25">
      <c r="B355" s="288" t="s">
        <v>554</v>
      </c>
      <c r="C355" s="332" t="s">
        <v>997</v>
      </c>
      <c r="D355" s="332"/>
      <c r="E355" s="332"/>
    </row>
    <row r="356" spans="1:12" x14ac:dyDescent="0.25">
      <c r="B356" s="309"/>
    </row>
    <row r="357" spans="1:12" x14ac:dyDescent="0.25">
      <c r="B357" s="146" t="s">
        <v>547</v>
      </c>
      <c r="C357" s="304" t="s">
        <v>998</v>
      </c>
      <c r="D357" s="304"/>
      <c r="E357" s="304"/>
    </row>
    <row r="358" spans="1:12" x14ac:dyDescent="0.25">
      <c r="B358" s="309"/>
    </row>
    <row r="359" spans="1:12" x14ac:dyDescent="0.25">
      <c r="B359" s="291" t="s">
        <v>29</v>
      </c>
      <c r="C359" s="291"/>
      <c r="D359" s="291"/>
      <c r="E359" s="291"/>
      <c r="F359" s="291"/>
      <c r="G359" s="291"/>
      <c r="H359" s="291"/>
      <c r="I359" s="291"/>
      <c r="J359" s="291"/>
      <c r="K359" s="291"/>
      <c r="L359" s="291"/>
    </row>
    <row r="360" spans="1:12" x14ac:dyDescent="0.25">
      <c r="B360" s="292" t="s">
        <v>171</v>
      </c>
      <c r="C360" s="293"/>
      <c r="D360" s="293"/>
      <c r="E360" s="293"/>
      <c r="F360" s="293"/>
      <c r="G360" s="293"/>
      <c r="H360" s="293"/>
      <c r="I360" s="293"/>
      <c r="J360" s="293"/>
      <c r="K360" s="293"/>
      <c r="L360" s="293"/>
    </row>
    <row r="361" spans="1:12" x14ac:dyDescent="0.25">
      <c r="B361" s="307" t="s">
        <v>26</v>
      </c>
      <c r="C361" s="307">
        <f>Hypothèses_projet!$C$3</f>
        <v>2021</v>
      </c>
      <c r="D361" s="307">
        <f>C361+1</f>
        <v>2022</v>
      </c>
      <c r="E361" s="307">
        <f t="shared" ref="E361:L361" si="107">D361+1</f>
        <v>2023</v>
      </c>
      <c r="F361" s="307">
        <f t="shared" si="107"/>
        <v>2024</v>
      </c>
      <c r="G361" s="307">
        <f t="shared" si="107"/>
        <v>2025</v>
      </c>
      <c r="H361" s="307">
        <f t="shared" si="107"/>
        <v>2026</v>
      </c>
      <c r="I361" s="307">
        <f t="shared" si="107"/>
        <v>2027</v>
      </c>
      <c r="J361" s="307">
        <f t="shared" si="107"/>
        <v>2028</v>
      </c>
      <c r="K361" s="307">
        <f t="shared" si="107"/>
        <v>2029</v>
      </c>
      <c r="L361" s="307">
        <f t="shared" si="107"/>
        <v>2030</v>
      </c>
    </row>
    <row r="362" spans="1:12" x14ac:dyDescent="0.25">
      <c r="B362" s="286" t="s">
        <v>981</v>
      </c>
      <c r="C362" s="290">
        <f>C343*$C$346*10^6*$C$348*$C$4/1000000*($C$369/$C$368)</f>
        <v>3548.4485620069336</v>
      </c>
      <c r="D362" s="290">
        <f>C362*(1+$C$349/100)</f>
        <v>3903.2934182076274</v>
      </c>
      <c r="E362" s="290">
        <f t="shared" ref="E362:L362" si="108">D362*(1+$C$349/100)</f>
        <v>4293.6227600283901</v>
      </c>
      <c r="F362" s="290">
        <f t="shared" si="108"/>
        <v>4722.9850360312294</v>
      </c>
      <c r="G362" s="290">
        <f t="shared" si="108"/>
        <v>5195.2835396343526</v>
      </c>
      <c r="H362" s="290">
        <f t="shared" si="108"/>
        <v>5714.8118935977882</v>
      </c>
      <c r="I362" s="290">
        <f t="shared" si="108"/>
        <v>6286.2930829575671</v>
      </c>
      <c r="J362" s="290">
        <f t="shared" si="108"/>
        <v>6914.9223912533243</v>
      </c>
      <c r="K362" s="290">
        <f t="shared" si="108"/>
        <v>7606.4146303786574</v>
      </c>
      <c r="L362" s="290">
        <f t="shared" si="108"/>
        <v>8367.0560934165242</v>
      </c>
    </row>
    <row r="363" spans="1:12" x14ac:dyDescent="0.25">
      <c r="B363" s="286" t="s">
        <v>982</v>
      </c>
      <c r="C363" s="290">
        <f>$C$343*$C$346*10^6*$C$348*$C$4/1000000*($C$369/$C$368)</f>
        <v>3548.4485620069336</v>
      </c>
      <c r="D363" s="290">
        <f>C363*(1+$C$350/100)</f>
        <v>4258.1382744083203</v>
      </c>
      <c r="E363" s="290">
        <f t="shared" ref="E363:L363" si="109">D363*(1+$C$350/100)</f>
        <v>5109.7659292899843</v>
      </c>
      <c r="F363" s="290">
        <f t="shared" si="109"/>
        <v>6131.719115147981</v>
      </c>
      <c r="G363" s="290">
        <f t="shared" si="109"/>
        <v>7358.0629381775771</v>
      </c>
      <c r="H363" s="290">
        <f t="shared" si="109"/>
        <v>8829.6755258130925</v>
      </c>
      <c r="I363" s="290">
        <f t="shared" si="109"/>
        <v>10595.610630975711</v>
      </c>
      <c r="J363" s="290">
        <f t="shared" si="109"/>
        <v>12714.732757170852</v>
      </c>
      <c r="K363" s="290">
        <f t="shared" si="109"/>
        <v>15257.679308605022</v>
      </c>
      <c r="L363" s="290">
        <f t="shared" si="109"/>
        <v>18309.215170326024</v>
      </c>
    </row>
    <row r="364" spans="1:12" x14ac:dyDescent="0.25">
      <c r="B364" s="286" t="s">
        <v>891</v>
      </c>
      <c r="C364" s="290">
        <f>$C$343*$C$346*10^6*$C$348*$C$4/1000000*($C$369/$C$368)</f>
        <v>3548.4485620069336</v>
      </c>
      <c r="D364" s="290">
        <f>C364*(1+$C$351/100)</f>
        <v>4612.9831306090136</v>
      </c>
      <c r="E364" s="290">
        <f t="shared" ref="E364:L364" si="110">D364*(1+$C$351/100)</f>
        <v>5996.8780697917182</v>
      </c>
      <c r="F364" s="290">
        <f t="shared" si="110"/>
        <v>7795.9414907292339</v>
      </c>
      <c r="G364" s="290">
        <f t="shared" si="110"/>
        <v>10134.723937948005</v>
      </c>
      <c r="H364" s="290">
        <f t="shared" si="110"/>
        <v>13175.141119332407</v>
      </c>
      <c r="I364" s="290">
        <f t="shared" si="110"/>
        <v>17127.68345513213</v>
      </c>
      <c r="J364" s="290">
        <f t="shared" si="110"/>
        <v>22265.988491671771</v>
      </c>
      <c r="K364" s="290">
        <f t="shared" si="110"/>
        <v>28945.785039173305</v>
      </c>
      <c r="L364" s="290">
        <f t="shared" si="110"/>
        <v>37629.520550925299</v>
      </c>
    </row>
    <row r="365" spans="1:12" x14ac:dyDescent="0.25">
      <c r="B365" s="286" t="s">
        <v>892</v>
      </c>
      <c r="C365" s="290">
        <f>IF($F$353="Oui",C363-C362,0)</f>
        <v>0</v>
      </c>
      <c r="D365" s="290">
        <f t="shared" ref="D365:L365" si="111">IF($F$323="Oui",D363-D362,0)</f>
        <v>354.8448562006929</v>
      </c>
      <c r="E365" s="290">
        <f t="shared" si="111"/>
        <v>816.14316926159427</v>
      </c>
      <c r="F365" s="290">
        <f t="shared" si="111"/>
        <v>1408.7340791167517</v>
      </c>
      <c r="G365" s="290">
        <f t="shared" si="111"/>
        <v>2162.7793985432245</v>
      </c>
      <c r="H365" s="290">
        <f t="shared" si="111"/>
        <v>3114.8636322153043</v>
      </c>
      <c r="I365" s="290">
        <f t="shared" si="111"/>
        <v>4309.3175480181435</v>
      </c>
      <c r="J365" s="290">
        <f t="shared" si="111"/>
        <v>5799.8103659175276</v>
      </c>
      <c r="K365" s="290">
        <f t="shared" si="111"/>
        <v>7651.2646782263646</v>
      </c>
      <c r="L365" s="290">
        <f t="shared" si="111"/>
        <v>9942.1590769095001</v>
      </c>
    </row>
    <row r="366" spans="1:12" x14ac:dyDescent="0.25">
      <c r="B366" s="286" t="s">
        <v>893</v>
      </c>
      <c r="C366" s="290">
        <f>IF($F$353="Oui",C364-C362,0)</f>
        <v>0</v>
      </c>
      <c r="D366" s="290">
        <f t="shared" ref="D366:L366" si="112">IF($F$323="Oui",D364-D362,0)</f>
        <v>709.68971240138626</v>
      </c>
      <c r="E366" s="290">
        <f t="shared" si="112"/>
        <v>1703.2553097633281</v>
      </c>
      <c r="F366" s="290">
        <f t="shared" si="112"/>
        <v>3072.9564546980046</v>
      </c>
      <c r="G366" s="290">
        <f t="shared" si="112"/>
        <v>4939.4403983136526</v>
      </c>
      <c r="H366" s="290">
        <f t="shared" si="112"/>
        <v>7460.3292257346193</v>
      </c>
      <c r="I366" s="290">
        <f t="shared" si="112"/>
        <v>10841.390372174563</v>
      </c>
      <c r="J366" s="290">
        <f t="shared" si="112"/>
        <v>15351.066100418448</v>
      </c>
      <c r="K366" s="290">
        <f t="shared" si="112"/>
        <v>21339.370408794646</v>
      </c>
      <c r="L366" s="290">
        <f t="shared" si="112"/>
        <v>29262.464457508773</v>
      </c>
    </row>
    <row r="367" spans="1:12" x14ac:dyDescent="0.25">
      <c r="B367" s="334"/>
      <c r="C367" s="98"/>
      <c r="D367" s="98"/>
      <c r="E367" s="98"/>
      <c r="F367" s="98"/>
      <c r="G367" s="98"/>
      <c r="H367" s="98"/>
      <c r="I367" s="98"/>
      <c r="J367" s="98"/>
      <c r="K367" s="98"/>
      <c r="L367" s="98"/>
    </row>
    <row r="368" spans="1:12" x14ac:dyDescent="0.25">
      <c r="B368" s="146" t="s">
        <v>999</v>
      </c>
      <c r="C368" s="146">
        <v>14</v>
      </c>
      <c r="E368" s="146" t="s">
        <v>1</v>
      </c>
      <c r="G368" s="180" t="s">
        <v>1000</v>
      </c>
    </row>
    <row r="369" spans="2:7" x14ac:dyDescent="0.25">
      <c r="B369" s="146" t="s">
        <v>1001</v>
      </c>
      <c r="C369" s="146">
        <v>77</v>
      </c>
      <c r="E369" s="146" t="s">
        <v>1</v>
      </c>
      <c r="G369" s="180" t="s">
        <v>1000</v>
      </c>
    </row>
  </sheetData>
  <mergeCells count="26">
    <mergeCell ref="A120:A128"/>
    <mergeCell ref="A132:A140"/>
    <mergeCell ref="A145:A152"/>
    <mergeCell ref="C157:E157"/>
    <mergeCell ref="C357:E357"/>
    <mergeCell ref="A175:A184"/>
    <mergeCell ref="A188:A197"/>
    <mergeCell ref="A201:A210"/>
    <mergeCell ref="C265:E265"/>
    <mergeCell ref="C267:E267"/>
    <mergeCell ref="A291:A297"/>
    <mergeCell ref="A302:A308"/>
    <mergeCell ref="A313:A319"/>
    <mergeCell ref="C325:E325"/>
    <mergeCell ref="C327:E327"/>
    <mergeCell ref="C355:E355"/>
    <mergeCell ref="A39:A44"/>
    <mergeCell ref="A45:A50"/>
    <mergeCell ref="A51:A56"/>
    <mergeCell ref="C61:E61"/>
    <mergeCell ref="C63:E63"/>
    <mergeCell ref="G343:K343"/>
    <mergeCell ref="G344:K345"/>
    <mergeCell ref="C159:E159"/>
    <mergeCell ref="B7:F8"/>
    <mergeCell ref="C33:E33"/>
  </mergeCells>
  <hyperlinks>
    <hyperlink ref="G236" r:id="rId1"/>
    <hyperlink ref="G238" r:id="rId2"/>
    <hyperlink ref="G237" r:id="rId3"/>
    <hyperlink ref="G241" r:id="rId4"/>
    <hyperlink ref="G243" r:id="rId5"/>
    <hyperlink ref="G242" r:id="rId6"/>
    <hyperlink ref="G246" r:id="rId7"/>
    <hyperlink ref="G248" r:id="rId8"/>
    <hyperlink ref="G247" r:id="rId9"/>
    <hyperlink ref="G250" r:id="rId10"/>
    <hyperlink ref="G252" r:id="rId11"/>
    <hyperlink ref="G251" r:id="rId12"/>
    <hyperlink ref="G254" r:id="rId13"/>
    <hyperlink ref="G256" r:id="rId14"/>
    <hyperlink ref="G255" r:id="rId15"/>
    <hyperlink ref="G258" r:id="rId16"/>
    <hyperlink ref="G260" r:id="rId17"/>
    <hyperlink ref="G259" r:id="rId18"/>
    <hyperlink ref="G280" r:id="rId19" display="https://www.bing.com/search?q=consommation+%C3%A9nerg%C3%A9tique+d%27un+smartphone&amp;qs=n&amp;form=QBRE&amp;sp=-1&amp;pq=consommation+%C3%A9nerg%C3%A9tique+d%27un+smartphone&amp;sc=1-40&amp;sk=&amp;cvid=864422214885496C989B48B9C4F3633C"/>
    <hyperlink ref="G279" r:id="rId20" display="https://www.greenit.fr/2015/04/16/combien-consomme-une-tablette/"/>
    <hyperlink ref="G281" r:id="rId21" display="https://www.greenit.fr/2015/04/16/combien-consomme-une-tablette/"/>
    <hyperlink ref="G282" r:id="rId22" display="https://www.agence-france-electricite.fr/tout-savoir-sur-la-consommation-electrique-dun-ecran-geant/"/>
    <hyperlink ref="G283" r:id="rId23" display="http://www.calculconsommationelectrique.com/consommation_box_adsl.php"/>
    <hyperlink ref="G74" r:id="rId24" display="https://www.hautconseilclimat.fr/wp-content/uploads/2020/12/rapport-5g_haut-conseil-pour-le-climat_etude-exterieure.pdf"/>
    <hyperlink ref="G75" r:id="rId25" display="https://www.hautconseilclimat.fr/wp-content/uploads/2020/12/rapport-5g_haut-conseil-pour-le-climat_etude-exterieure.pdf"/>
    <hyperlink ref="G77" r:id="rId26" display="https://www.hautconseilclimat.fr/wp-content/uploads/2020/12/rapport-5g_haut-conseil-pour-le-climat_etude-exterieure.pdf"/>
    <hyperlink ref="G76" r:id="rId27" display="https://www.hautconseilclimat.fr/wp-content/uploads/2020/12/rapport-5g_haut-conseil-pour-le-climat_etude-exterieure.pdf"/>
    <hyperlink ref="G78" r:id="rId28" display="https://www.hautconseilclimat.fr/wp-content/uploads/2020/12/rapport-5g_haut-conseil-pour-le-climat_etude-exterieure.pdf"/>
    <hyperlink ref="G79" r:id="rId29" display="https://www.hautconseilclimat.fr/wp-content/uploads/2020/12/rapport-5g_haut-conseil-pour-le-climat_etude-exterieure.pdf"/>
    <hyperlink ref="G80" r:id="rId30" display="https://www.hautconseilclimat.fr/wp-content/uploads/2020/12/rapport-5g_haut-conseil-pour-le-climat_etude-exterieure.pdf"/>
    <hyperlink ref="G338" r:id="rId31" display="https://www.zora.uzh.ch/id/eprint/191299/1/5G and climate protection_University of Zurich_Empa.pdf"/>
    <hyperlink ref="G339" r:id="rId32" display="https://www.zora.uzh.ch/id/eprint/191299/1/5G and climate protection_University of Zurich_Empa.pdf"/>
    <hyperlink ref="G368" r:id="rId33" display="https://www.cisco.com/c/dam/m/en_us/service-provider/ciscoknowledgenetwork/files/622_11_15-16-Cisco_GCI_CKN_2015-2020_AMER_EMEAR_NOV2016.pdf"/>
    <hyperlink ref="G369" r:id="rId34" display="https://www.cisco.com/c/dam/m/en_us/service-provider/ciscoknowledgenetwork/files/622_11_15-16-Cisco_GCI_CKN_2015-2020_AMER_EMEAR_NOV2016.pdf"/>
    <hyperlink ref="I86" r:id="rId35" display="https://www.hautconseilclimat.fr/wp-content/uploads/2020/12/rapport-5g_haut-conseil-pour-le-climat_etude-exterieure.pdf"/>
    <hyperlink ref="I87" r:id="rId36" display="https://www.hautconseilclimat.fr/wp-content/uploads/2020/12/rapport-5g_haut-conseil-pour-le-climat_etude-exterieure.pdf"/>
    <hyperlink ref="I88" r:id="rId37" display="https://www.hautconseilclimat.fr/wp-content/uploads/2020/12/rapport-5g_haut-conseil-pour-le-climat_etude-exterieure.pdf"/>
    <hyperlink ref="I89" r:id="rId38" display="https://www.hautconseilclimat.fr/wp-content/uploads/2020/12/rapport-5g_haut-conseil-pour-le-climat_etude-exterieure.pdf"/>
    <hyperlink ref="I90" r:id="rId39" display="https://www.hautconseilclimat.fr/wp-content/uploads/2020/12/rapport-5g_haut-conseil-pour-le-climat_etude-exterieure.pdf"/>
    <hyperlink ref="I91" r:id="rId40" display="https://www.hautconseilclimat.fr/wp-content/uploads/2020/12/rapport-5g_haut-conseil-pour-le-climat_etude-exterieure.pdf"/>
    <hyperlink ref="I94" r:id="rId41" display="https://www.hautconseilclimat.fr/wp-content/uploads/2020/12/rapport-5g_haut-conseil-pour-le-climat_etude-exterieure.pdf"/>
    <hyperlink ref="I96" r:id="rId42" display="https://www.hautconseilclimat.fr/wp-content/uploads/2020/12/rapport-5g_haut-conseil-pour-le-climat_etude-exterieure.pdf"/>
    <hyperlink ref="I95" r:id="rId43" display="https://www.hautconseilclimat.fr/wp-content/uploads/2020/12/rapport-5g_haut-conseil-pour-le-climat_etude-exterieure.pdf"/>
    <hyperlink ref="I97" r:id="rId44" display="https://www.hautconseilclimat.fr/wp-content/uploads/2020/12/rapport-5g_haut-conseil-pour-le-climat_etude-exterieure.pdf"/>
    <hyperlink ref="I98" r:id="rId45" display="https://www.hautconseilclimat.fr/wp-content/uploads/2020/12/rapport-5g_haut-conseil-pour-le-climat_etude-exterieure.pdf"/>
    <hyperlink ref="I99" r:id="rId46" display="https://www.hautconseilclimat.fr/wp-content/uploads/2020/12/rapport-5g_haut-conseil-pour-le-climat_etude-exterieure.pdf"/>
    <hyperlink ref="I102" r:id="rId47" display="https://www.hautconseilclimat.fr/wp-content/uploads/2020/12/rapport-5g_haut-conseil-pour-le-climat_etude-exterieure.pdf"/>
    <hyperlink ref="I103" r:id="rId48" display="https://www.hautconseilclimat.fr/wp-content/uploads/2020/12/rapport-5g_haut-conseil-pour-le-climat_etude-exterieure.pdf"/>
  </hyperlinks>
  <pageMargins left="0.7" right="0.7" top="0.75" bottom="0.75" header="0.3" footer="0.3"/>
  <pageSetup orientation="portrait" r:id="rId4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3:AB126"/>
  <sheetViews>
    <sheetView showGridLines="0" zoomScaleNormal="100" workbookViewId="0"/>
  </sheetViews>
  <sheetFormatPr baseColWidth="10" defaultColWidth="11.5703125" defaultRowHeight="15" x14ac:dyDescent="0.25"/>
  <cols>
    <col min="1" max="1" width="17.42578125" style="146" customWidth="1"/>
    <col min="2" max="2" width="71.85546875" style="146" customWidth="1"/>
    <col min="3" max="3" width="20.5703125" style="146" customWidth="1"/>
    <col min="4" max="6" width="15.140625" style="146" customWidth="1"/>
    <col min="7" max="7" width="16.7109375" style="146" customWidth="1"/>
    <col min="8" max="8" width="18.140625" style="146" customWidth="1"/>
    <col min="9" max="9" width="16.7109375" style="146" customWidth="1"/>
    <col min="10" max="10" width="18.42578125" style="146" customWidth="1"/>
    <col min="11" max="11" width="16.7109375" style="146" customWidth="1"/>
    <col min="12" max="12" width="17" style="146" customWidth="1"/>
    <col min="13" max="28" width="13.42578125" style="146" customWidth="1"/>
    <col min="29" max="16384" width="11.5703125" style="146"/>
  </cols>
  <sheetData>
    <row r="3" spans="2:28" ht="30" x14ac:dyDescent="0.25">
      <c r="B3" s="198" t="s">
        <v>1333</v>
      </c>
    </row>
    <row r="4" spans="2:28" x14ac:dyDescent="0.25">
      <c r="B4" s="200" t="s">
        <v>1200</v>
      </c>
      <c r="C4" s="193"/>
    </row>
    <row r="5" spans="2:28" x14ac:dyDescent="0.25">
      <c r="B5" s="201" t="s">
        <v>833</v>
      </c>
      <c r="C5" s="202" t="s">
        <v>643</v>
      </c>
    </row>
    <row r="6" spans="2:28" x14ac:dyDescent="0.25">
      <c r="B6" s="201" t="s">
        <v>882</v>
      </c>
      <c r="C6" s="203">
        <f>INDEX(FE_par_pays!$A$8:$F$242,MATCH(C5,FE_par_pays!$A$8:$A$242,0),5)</f>
        <v>230.88184773797497</v>
      </c>
      <c r="D6" s="199"/>
      <c r="E6" s="199" t="s">
        <v>159</v>
      </c>
      <c r="F6" s="199"/>
      <c r="G6" s="149" t="s">
        <v>834</v>
      </c>
      <c r="H6" s="199"/>
      <c r="I6" s="199"/>
    </row>
    <row r="7" spans="2:28" x14ac:dyDescent="0.25">
      <c r="E7" s="199"/>
      <c r="F7" s="199"/>
      <c r="G7" s="199"/>
      <c r="H7" s="199"/>
      <c r="I7" s="199"/>
    </row>
    <row r="8" spans="2:28" x14ac:dyDescent="0.25">
      <c r="E8" s="199"/>
      <c r="F8" s="199"/>
      <c r="G8" s="199"/>
      <c r="H8" s="199"/>
      <c r="I8" s="199"/>
    </row>
    <row r="9" spans="2:28" ht="18.600000000000001" customHeight="1" x14ac:dyDescent="0.25">
      <c r="B9" s="279" t="s">
        <v>1212</v>
      </c>
      <c r="C9" s="279"/>
      <c r="D9" s="279"/>
      <c r="E9" s="279"/>
      <c r="F9" s="279"/>
      <c r="G9" s="199"/>
      <c r="H9" s="199"/>
      <c r="I9" s="199"/>
    </row>
    <row r="10" spans="2:28" ht="57.6" customHeight="1" x14ac:dyDescent="0.25">
      <c r="B10" s="279"/>
      <c r="C10" s="279"/>
      <c r="D10" s="279"/>
      <c r="E10" s="279"/>
      <c r="F10" s="279"/>
      <c r="G10" s="199"/>
      <c r="H10" s="199"/>
      <c r="I10" s="199"/>
    </row>
    <row r="11" spans="2:28" ht="35.450000000000003" customHeight="1" x14ac:dyDescent="0.25">
      <c r="B11" s="280"/>
      <c r="C11" s="280"/>
      <c r="D11" s="280"/>
      <c r="E11" s="280"/>
      <c r="F11" s="280"/>
      <c r="G11" s="199"/>
      <c r="H11" s="199"/>
      <c r="I11" s="199"/>
    </row>
    <row r="12" spans="2:28" ht="35.450000000000003" customHeight="1" x14ac:dyDescent="0.25">
      <c r="B12" s="146" t="s">
        <v>883</v>
      </c>
      <c r="C12" s="281" t="s">
        <v>884</v>
      </c>
      <c r="D12" s="280"/>
      <c r="E12" s="280"/>
      <c r="F12" s="280"/>
      <c r="G12" s="199"/>
      <c r="H12" s="199"/>
      <c r="I12" s="199"/>
    </row>
    <row r="13" spans="2:28" ht="35.450000000000003" customHeight="1" x14ac:dyDescent="0.25">
      <c r="C13" s="146" t="s">
        <v>8</v>
      </c>
      <c r="D13" s="178">
        <f>Hypothèses_projet!$C$3</f>
        <v>2021</v>
      </c>
      <c r="E13" s="178">
        <f>IF(Hypothèses_projet!$C$6&lt;=D13,"",D13+1)</f>
        <v>2022</v>
      </c>
      <c r="F13" s="178">
        <f>IF(Hypothèses_projet!$C$6&lt;=E13,"",E13+1)</f>
        <v>2023</v>
      </c>
      <c r="G13" s="178">
        <f>IF(Hypothèses_projet!$C$6&lt;=F13,"",F13+1)</f>
        <v>2024</v>
      </c>
      <c r="H13" s="178">
        <f>IF(Hypothèses_projet!$C$6&lt;=G13,"",G13+1)</f>
        <v>2025</v>
      </c>
      <c r="I13" s="178">
        <f>IF(Hypothèses_projet!$C$6&lt;=H13,"",H13+1)</f>
        <v>2026</v>
      </c>
      <c r="J13" s="178">
        <f>IF(Hypothèses_projet!$C$6&lt;=I13,"",I13+1)</f>
        <v>2027</v>
      </c>
      <c r="K13" s="178">
        <f>IF(Hypothèses_projet!$C$6&lt;=J13,"",J13+1)</f>
        <v>2028</v>
      </c>
      <c r="L13" s="178">
        <f>IF(Hypothèses_projet!$C$6&lt;=K13,"",K13+1)</f>
        <v>2029</v>
      </c>
      <c r="M13" s="178">
        <f>IF(Hypothèses_projet!$C$6&lt;=L13,"",L13+1)</f>
        <v>2030</v>
      </c>
      <c r="N13" s="178">
        <f>IF(Hypothèses_projet!$C$6&lt;=M13,"",M13+1)</f>
        <v>2031</v>
      </c>
      <c r="O13" s="178">
        <f>IF(Hypothèses_projet!$C$6&lt;=N13,"",N13+1)</f>
        <v>2032</v>
      </c>
      <c r="P13" s="178">
        <f>IF(Hypothèses_projet!$C$6&lt;=O13,"",O13+1)</f>
        <v>2033</v>
      </c>
      <c r="Q13" s="178">
        <f>IF(Hypothèses_projet!$C$6&lt;=P13,"",P13+1)</f>
        <v>2034</v>
      </c>
      <c r="R13" s="178">
        <f>IF(Hypothèses_projet!$C$6&lt;=Q13,"",Q13+1)</f>
        <v>2035</v>
      </c>
      <c r="S13" s="178">
        <f>IF(Hypothèses_projet!$C$6&lt;=R13,"",R13+1)</f>
        <v>2036</v>
      </c>
      <c r="T13" s="178">
        <f>IF(Hypothèses_projet!$C$6&lt;=S13,"",S13+1)</f>
        <v>2037</v>
      </c>
      <c r="U13" s="178">
        <f>IF(Hypothèses_projet!$C$6&lt;=T13,"",T13+1)</f>
        <v>2038</v>
      </c>
      <c r="V13" s="178">
        <f>IF(Hypothèses_projet!$C$6&lt;=U13,"",U13+1)</f>
        <v>2039</v>
      </c>
      <c r="W13" s="178">
        <f>IF(Hypothèses_projet!$C$6&lt;=V13,"",V13+1)</f>
        <v>2040</v>
      </c>
      <c r="X13" s="178" t="str">
        <f>IF(Hypothèses_projet!$C$6&lt;=W13,"",W13+1)</f>
        <v/>
      </c>
      <c r="Y13" s="178" t="str">
        <f>IF(Hypothèses_projet!$C$6&lt;=X13,"",X13+1)</f>
        <v/>
      </c>
      <c r="Z13" s="178" t="str">
        <f>IF(Hypothèses_projet!$C$6&lt;=Y13,"",Y13+1)</f>
        <v/>
      </c>
      <c r="AA13" s="178" t="str">
        <f>IF(Hypothèses_projet!$C$6&lt;=Z13,"",Z13+1)</f>
        <v/>
      </c>
      <c r="AB13" s="178" t="str">
        <f>IF(Hypothèses_projet!$C$6&lt;=AA13,"",AA13+1)</f>
        <v/>
      </c>
    </row>
    <row r="14" spans="2:28" ht="19.5" customHeight="1" x14ac:dyDescent="0.25">
      <c r="B14" s="282" t="str">
        <f>'Resultats généraux'!A77</f>
        <v>OUI</v>
      </c>
      <c r="C14" s="205" t="s">
        <v>1002</v>
      </c>
      <c r="D14" s="206">
        <f>SUM(D17:D18)</f>
        <v>-175000</v>
      </c>
      <c r="E14" s="206">
        <f t="shared" ref="E14:M14" si="0">SUM(E17:E18)</f>
        <v>-341250</v>
      </c>
      <c r="F14" s="206">
        <f t="shared" si="0"/>
        <v>-499187.5</v>
      </c>
      <c r="G14" s="206">
        <f t="shared" si="0"/>
        <v>-649228.125</v>
      </c>
      <c r="H14" s="206">
        <f t="shared" si="0"/>
        <v>-791766.71875</v>
      </c>
      <c r="I14" s="206">
        <f t="shared" si="0"/>
        <v>-927178.3828125</v>
      </c>
      <c r="J14" s="206">
        <f t="shared" si="0"/>
        <v>-1055819.4636718752</v>
      </c>
      <c r="K14" s="206">
        <f t="shared" si="0"/>
        <v>-1178028.4904882815</v>
      </c>
      <c r="L14" s="206">
        <f t="shared" si="0"/>
        <v>-1294127.0659638676</v>
      </c>
      <c r="M14" s="206">
        <f t="shared" si="0"/>
        <v>-1404420.7126656743</v>
      </c>
      <c r="N14" s="283">
        <f t="shared" ref="N14:AB14" si="1">SUM(N17:N18)</f>
        <v>-1509199.6770323906</v>
      </c>
      <c r="O14" s="283">
        <f t="shared" si="1"/>
        <v>-1608739.6931807713</v>
      </c>
      <c r="P14" s="283">
        <f t="shared" si="1"/>
        <v>-1703302.7085217328</v>
      </c>
      <c r="Q14" s="283">
        <f t="shared" si="1"/>
        <v>-1793137.5730956465</v>
      </c>
      <c r="R14" s="283">
        <f t="shared" si="1"/>
        <v>-1878480.6944408643</v>
      </c>
      <c r="S14" s="283">
        <f t="shared" si="1"/>
        <v>-1959556.6597188213</v>
      </c>
      <c r="T14" s="283">
        <f t="shared" si="1"/>
        <v>-2036578.8267328802</v>
      </c>
      <c r="U14" s="283">
        <f t="shared" si="1"/>
        <v>-2109749.8853962366</v>
      </c>
      <c r="V14" s="283">
        <f t="shared" si="1"/>
        <v>-2179262.3911264245</v>
      </c>
      <c r="W14" s="283">
        <f t="shared" si="1"/>
        <v>-2245299.2715701032</v>
      </c>
      <c r="X14" s="283">
        <f t="shared" si="1"/>
        <v>0</v>
      </c>
      <c r="Y14" s="283">
        <f t="shared" si="1"/>
        <v>0</v>
      </c>
      <c r="Z14" s="283">
        <f t="shared" si="1"/>
        <v>0</v>
      </c>
      <c r="AA14" s="283">
        <f t="shared" si="1"/>
        <v>0</v>
      </c>
      <c r="AB14" s="283">
        <f t="shared" si="1"/>
        <v>0</v>
      </c>
    </row>
    <row r="15" spans="2:28" ht="15" customHeight="1" x14ac:dyDescent="0.25">
      <c r="D15" s="284"/>
      <c r="E15" s="284"/>
      <c r="F15" s="284"/>
      <c r="G15" s="284"/>
      <c r="H15" s="284"/>
      <c r="I15" s="284"/>
      <c r="J15" s="284"/>
      <c r="K15" s="284"/>
      <c r="L15" s="284"/>
      <c r="M15" s="284"/>
    </row>
    <row r="16" spans="2:28" ht="18" customHeight="1" x14ac:dyDescent="0.25">
      <c r="B16" s="207" t="s">
        <v>1310</v>
      </c>
      <c r="D16" s="284"/>
      <c r="E16" s="284"/>
      <c r="F16" s="284"/>
      <c r="G16" s="284"/>
      <c r="H16" s="284"/>
      <c r="I16" s="284"/>
      <c r="J16" s="284"/>
      <c r="K16" s="284"/>
      <c r="L16" s="284"/>
      <c r="M16" s="284"/>
    </row>
    <row r="17" spans="2:28" ht="15.95" customHeight="1" x14ac:dyDescent="0.25">
      <c r="B17" s="285" t="str">
        <f>'Resultats généraux'!A80</f>
        <v>OUI</v>
      </c>
      <c r="C17" s="208" t="str">
        <f>B29</f>
        <v>Evolution des pratiques agricoles grâce à des réseaux sociaux (agroécologie connectée)</v>
      </c>
      <c r="D17" s="206">
        <f>IF($B17="OUI",IF($C$12="Scénario 5G sélective",'Pratiques agricoles'!C40,'Pratiques agricoles'!C41),0)</f>
        <v>0</v>
      </c>
      <c r="E17" s="206">
        <f>IF($B17="OUI",IF($C$12="Scénario 5G sélective",'Pratiques agricoles'!D40,'Pratiques agricoles'!D41),0)</f>
        <v>0</v>
      </c>
      <c r="F17" s="206">
        <f>IF($B17="OUI",IF($C$12="Scénario 5G sélective",'Pratiques agricoles'!E40,'Pratiques agricoles'!E41),0)</f>
        <v>0</v>
      </c>
      <c r="G17" s="206">
        <f>IF($B17="OUI",IF($C$12="Scénario 5G sélective",'Pratiques agricoles'!F40,'Pratiques agricoles'!F41),0)</f>
        <v>0</v>
      </c>
      <c r="H17" s="206">
        <f>IF($B17="OUI",IF($C$12="Scénario 5G sélective",'Pratiques agricoles'!G40,'Pratiques agricoles'!G41),0)</f>
        <v>0</v>
      </c>
      <c r="I17" s="206">
        <f>IF($B17="OUI",IF($C$12="Scénario 5G sélective",'Pratiques agricoles'!H40,'Pratiques agricoles'!H41),0)</f>
        <v>0</v>
      </c>
      <c r="J17" s="206">
        <f>IF($B17="OUI",IF($C$12="Scénario 5G sélective",'Pratiques agricoles'!I40,'Pratiques agricoles'!I41),0)</f>
        <v>0</v>
      </c>
      <c r="K17" s="206">
        <f>IF($B17="OUI",IF($C$12="Scénario 5G sélective",'Pratiques agricoles'!J40,'Pratiques agricoles'!J41),0)</f>
        <v>0</v>
      </c>
      <c r="L17" s="206">
        <f>IF($B17="OUI",IF($C$12="Scénario 5G sélective",'Pratiques agricoles'!K40,'Pratiques agricoles'!K41),0)</f>
        <v>0</v>
      </c>
      <c r="M17" s="206">
        <f>IF($B17="OUI",IF($C$12="Scénario 5G sélective",'Pratiques agricoles'!L40,'Pratiques agricoles'!L41),0)</f>
        <v>0</v>
      </c>
      <c r="N17" s="283">
        <f>IF($B17="OUI",IF($C$12="Scénario 5G sélective",'Pratiques agricoles'!M40,'Pratiques agricoles'!M41),0)</f>
        <v>0</v>
      </c>
      <c r="O17" s="283">
        <f>IF($B17="OUI",IF($C$12="Scénario 5G sélective",'Pratiques agricoles'!N40,'Pratiques agricoles'!N41),0)</f>
        <v>0</v>
      </c>
      <c r="P17" s="283">
        <f>IF($B17="OUI",IF($C$12="Scénario 5G sélective",'Pratiques agricoles'!O40,'Pratiques agricoles'!O41),0)</f>
        <v>0</v>
      </c>
      <c r="Q17" s="283">
        <f>IF($B17="OUI",IF($C$12="Scénario 5G sélective",'Pratiques agricoles'!P40,'Pratiques agricoles'!P41),0)</f>
        <v>0</v>
      </c>
      <c r="R17" s="283">
        <f>IF($B17="OUI",IF($C$12="Scénario 5G sélective",'Pratiques agricoles'!Q40,'Pratiques agricoles'!Q41),0)</f>
        <v>0</v>
      </c>
      <c r="S17" s="283">
        <f>IF($B17="OUI",IF($C$12="Scénario 5G sélective",'Pratiques agricoles'!R40,'Pratiques agricoles'!R41),0)</f>
        <v>0</v>
      </c>
      <c r="T17" s="283">
        <f>IF($B17="OUI",IF($C$12="Scénario 5G sélective",'Pratiques agricoles'!S40,'Pratiques agricoles'!S41),0)</f>
        <v>0</v>
      </c>
      <c r="U17" s="283">
        <f>IF($B17="OUI",IF($C$12="Scénario 5G sélective",'Pratiques agricoles'!T40,'Pratiques agricoles'!T41),0)</f>
        <v>0</v>
      </c>
      <c r="V17" s="283">
        <f>IF($B17="OUI",IF($C$12="Scénario 5G sélective",'Pratiques agricoles'!U40,'Pratiques agricoles'!U41),0)</f>
        <v>0</v>
      </c>
      <c r="W17" s="283">
        <f>IF($B17="OUI",IF($C$12="Scénario 5G sélective",'Pratiques agricoles'!V40,'Pratiques agricoles'!V41),0)</f>
        <v>0</v>
      </c>
      <c r="X17" s="283" t="str">
        <f>IF($B17="OUI",IF($C$12="Scénario 5G sélective",'Pratiques agricoles'!W40,'Pratiques agricoles'!W41),0)</f>
        <v/>
      </c>
      <c r="Y17" s="283" t="str">
        <f>IF($B17="OUI",IF($C$12="Scénario 5G sélective",'Pratiques agricoles'!X40,'Pratiques agricoles'!X41),0)</f>
        <v/>
      </c>
      <c r="Z17" s="283" t="str">
        <f>IF($B17="OUI",IF($C$12="Scénario 5G sélective",'Pratiques agricoles'!Y40,'Pratiques agricoles'!Y41),0)</f>
        <v/>
      </c>
      <c r="AA17" s="283" t="str">
        <f>IF($B17="OUI",IF($C$12="Scénario 5G sélective",'Pratiques agricoles'!Z40,'Pratiques agricoles'!Z41),0)</f>
        <v/>
      </c>
      <c r="AB17" s="283" t="str">
        <f>IF($B17="OUI",IF($C$12="Scénario 5G sélective",'Pratiques agricoles'!AA40,'Pratiques agricoles'!AA41),0)</f>
        <v/>
      </c>
    </row>
    <row r="18" spans="2:28" ht="14.1" customHeight="1" x14ac:dyDescent="0.25">
      <c r="B18" s="285" t="str">
        <f>'Resultats généraux'!A81</f>
        <v>OUI</v>
      </c>
      <c r="C18" s="208" t="str">
        <f>B92</f>
        <v>Evolution des pratiques agricoles grâce à des applications 5G (agriculture de précision)</v>
      </c>
      <c r="D18" s="206">
        <f>IF($B18="OUI",IF($C$12="Scénario 5G sélective",'Pratiques agricoles'!C103,'Pratiques agricoles'!C104),0)</f>
        <v>-175000</v>
      </c>
      <c r="E18" s="206">
        <f>IF($B18="OUI",IF($C$12="Scénario 5G sélective",'Pratiques agricoles'!D103,'Pratiques agricoles'!D104),0)</f>
        <v>-341250</v>
      </c>
      <c r="F18" s="206">
        <f>IF($B18="OUI",IF($C$12="Scénario 5G sélective",'Pratiques agricoles'!E103,'Pratiques agricoles'!E104),0)</f>
        <v>-499187.5</v>
      </c>
      <c r="G18" s="206">
        <f>IF($B18="OUI",IF($C$12="Scénario 5G sélective",'Pratiques agricoles'!F103,'Pratiques agricoles'!F104),0)</f>
        <v>-649228.125</v>
      </c>
      <c r="H18" s="206">
        <f>IF($B18="OUI",IF($C$12="Scénario 5G sélective",'Pratiques agricoles'!G103,'Pratiques agricoles'!G104),0)</f>
        <v>-791766.71875</v>
      </c>
      <c r="I18" s="206">
        <f>IF($B18="OUI",IF($C$12="Scénario 5G sélective",'Pratiques agricoles'!H103,'Pratiques agricoles'!H104),0)</f>
        <v>-927178.3828125</v>
      </c>
      <c r="J18" s="206">
        <f>IF($B18="OUI",IF($C$12="Scénario 5G sélective",'Pratiques agricoles'!I103,'Pratiques agricoles'!I104),0)</f>
        <v>-1055819.4636718752</v>
      </c>
      <c r="K18" s="206">
        <f>IF($B18="OUI",IF($C$12="Scénario 5G sélective",'Pratiques agricoles'!J103,'Pratiques agricoles'!J104),0)</f>
        <v>-1178028.4904882815</v>
      </c>
      <c r="L18" s="206">
        <f>IF($B18="OUI",IF($C$12="Scénario 5G sélective",'Pratiques agricoles'!K103,'Pratiques agricoles'!K104),0)</f>
        <v>-1294127.0659638676</v>
      </c>
      <c r="M18" s="206">
        <f>IF($B18="OUI",IF($C$12="Scénario 5G sélective",'Pratiques agricoles'!L103,'Pratiques agricoles'!L104),0)</f>
        <v>-1404420.7126656743</v>
      </c>
      <c r="N18" s="283">
        <f>IF($B18="OUI",IF($C$12="Scénario 5G sélective",'Pratiques agricoles'!M103,'Pratiques agricoles'!M104),0)</f>
        <v>-1509199.6770323906</v>
      </c>
      <c r="O18" s="283">
        <f>IF($B18="OUI",IF($C$12="Scénario 5G sélective",'Pratiques agricoles'!N103,'Pratiques agricoles'!N104),0)</f>
        <v>-1608739.6931807713</v>
      </c>
      <c r="P18" s="283">
        <f>IF($B18="OUI",IF($C$12="Scénario 5G sélective",'Pratiques agricoles'!O103,'Pratiques agricoles'!O104),0)</f>
        <v>-1703302.7085217328</v>
      </c>
      <c r="Q18" s="283">
        <f>IF($B18="OUI",IF($C$12="Scénario 5G sélective",'Pratiques agricoles'!P103,'Pratiques agricoles'!P104),0)</f>
        <v>-1793137.5730956465</v>
      </c>
      <c r="R18" s="283">
        <f>IF($B18="OUI",IF($C$12="Scénario 5G sélective",'Pratiques agricoles'!Q103,'Pratiques agricoles'!Q104),0)</f>
        <v>-1878480.6944408643</v>
      </c>
      <c r="S18" s="283">
        <f>IF($B18="OUI",IF($C$12="Scénario 5G sélective",'Pratiques agricoles'!R103,'Pratiques agricoles'!R104),0)</f>
        <v>-1959556.6597188213</v>
      </c>
      <c r="T18" s="283">
        <f>IF($B18="OUI",IF($C$12="Scénario 5G sélective",'Pratiques agricoles'!S103,'Pratiques agricoles'!S104),0)</f>
        <v>-2036578.8267328802</v>
      </c>
      <c r="U18" s="283">
        <f>IF($B18="OUI",IF($C$12="Scénario 5G sélective",'Pratiques agricoles'!T103,'Pratiques agricoles'!T104),0)</f>
        <v>-2109749.8853962366</v>
      </c>
      <c r="V18" s="283">
        <f>IF($B18="OUI",IF($C$12="Scénario 5G sélective",'Pratiques agricoles'!U103,'Pratiques agricoles'!U104),0)</f>
        <v>-2179262.3911264245</v>
      </c>
      <c r="W18" s="283">
        <f>IF($B18="OUI",IF($C$12="Scénario 5G sélective",'Pratiques agricoles'!V103,'Pratiques agricoles'!V104),0)</f>
        <v>-2245299.2715701032</v>
      </c>
      <c r="X18" s="283" t="str">
        <f>IF($B18="OUI",IF($C$12="Scénario 5G sélective",'Pratiques agricoles'!W103,'Pratiques agricoles'!W104),0)</f>
        <v/>
      </c>
      <c r="Y18" s="283" t="str">
        <f>IF($B18="OUI",IF($C$12="Scénario 5G sélective",'Pratiques agricoles'!X103,'Pratiques agricoles'!X104),0)</f>
        <v/>
      </c>
      <c r="Z18" s="283" t="str">
        <f>IF($B18="OUI",IF($C$12="Scénario 5G sélective",'Pratiques agricoles'!Y103,'Pratiques agricoles'!Y104),0)</f>
        <v/>
      </c>
      <c r="AA18" s="283" t="str">
        <f>IF($B18="OUI",IF($C$12="Scénario 5G sélective",'Pratiques agricoles'!Z103,'Pratiques agricoles'!Z104),0)</f>
        <v/>
      </c>
      <c r="AB18" s="283" t="str">
        <f>IF($B18="OUI",IF($C$12="Scénario 5G sélective",'Pratiques agricoles'!AA103,'Pratiques agricoles'!AA104),0)</f>
        <v/>
      </c>
    </row>
    <row r="19" spans="2:28" ht="14.45" customHeight="1" x14ac:dyDescent="0.25">
      <c r="B19" s="280"/>
      <c r="C19" s="280"/>
      <c r="D19" s="280"/>
      <c r="E19" s="280"/>
      <c r="F19" s="280"/>
      <c r="G19" s="199"/>
      <c r="H19" s="199"/>
      <c r="I19" s="199"/>
    </row>
    <row r="21" spans="2:28" s="199" customFormat="1" x14ac:dyDescent="0.25">
      <c r="B21" s="213" t="s">
        <v>26</v>
      </c>
      <c r="C21" s="213">
        <f>Hypothèses_projet!$C$3</f>
        <v>2021</v>
      </c>
      <c r="D21" s="213">
        <f>E$13</f>
        <v>2022</v>
      </c>
      <c r="E21" s="213">
        <f t="shared" ref="E21:Z21" si="2">F$13</f>
        <v>2023</v>
      </c>
      <c r="F21" s="213">
        <f t="shared" si="2"/>
        <v>2024</v>
      </c>
      <c r="G21" s="213">
        <f t="shared" si="2"/>
        <v>2025</v>
      </c>
      <c r="H21" s="213">
        <f t="shared" si="2"/>
        <v>2026</v>
      </c>
      <c r="I21" s="213">
        <f t="shared" si="2"/>
        <v>2027</v>
      </c>
      <c r="J21" s="213">
        <f t="shared" si="2"/>
        <v>2028</v>
      </c>
      <c r="K21" s="213">
        <f t="shared" si="2"/>
        <v>2029</v>
      </c>
      <c r="L21" s="213">
        <f t="shared" si="2"/>
        <v>2030</v>
      </c>
      <c r="M21" s="213">
        <f t="shared" si="2"/>
        <v>2031</v>
      </c>
      <c r="N21" s="213">
        <f t="shared" si="2"/>
        <v>2032</v>
      </c>
      <c r="O21" s="213">
        <f t="shared" si="2"/>
        <v>2033</v>
      </c>
      <c r="P21" s="213">
        <f t="shared" si="2"/>
        <v>2034</v>
      </c>
      <c r="Q21" s="213">
        <f t="shared" si="2"/>
        <v>2035</v>
      </c>
      <c r="R21" s="213">
        <f t="shared" si="2"/>
        <v>2036</v>
      </c>
      <c r="S21" s="213">
        <f t="shared" si="2"/>
        <v>2037</v>
      </c>
      <c r="T21" s="213">
        <f t="shared" si="2"/>
        <v>2038</v>
      </c>
      <c r="U21" s="213">
        <f t="shared" si="2"/>
        <v>2039</v>
      </c>
      <c r="V21" s="213">
        <f t="shared" si="2"/>
        <v>2040</v>
      </c>
      <c r="W21" s="213" t="str">
        <f t="shared" si="2"/>
        <v/>
      </c>
      <c r="X21" s="213" t="str">
        <f t="shared" si="2"/>
        <v/>
      </c>
      <c r="Y21" s="213" t="str">
        <f t="shared" si="2"/>
        <v/>
      </c>
      <c r="Z21" s="213" t="str">
        <f t="shared" si="2"/>
        <v/>
      </c>
      <c r="AA21" s="213" t="str">
        <f>AB$13</f>
        <v/>
      </c>
      <c r="AB21" s="213"/>
    </row>
    <row r="22" spans="2:28" s="199" customFormat="1" x14ac:dyDescent="0.25">
      <c r="B22" s="214" t="s">
        <v>157</v>
      </c>
      <c r="C22" s="215">
        <f t="shared" ref="C22:AA22" si="3">IF(C21="","",C37+C100)</f>
        <v>27285650</v>
      </c>
      <c r="D22" s="215">
        <f t="shared" si="3"/>
        <v>27285650</v>
      </c>
      <c r="E22" s="215">
        <f t="shared" si="3"/>
        <v>27285650</v>
      </c>
      <c r="F22" s="215">
        <f t="shared" si="3"/>
        <v>27285650</v>
      </c>
      <c r="G22" s="215">
        <f t="shared" si="3"/>
        <v>27285650</v>
      </c>
      <c r="H22" s="215">
        <f t="shared" si="3"/>
        <v>27285650</v>
      </c>
      <c r="I22" s="215">
        <f t="shared" si="3"/>
        <v>27285650</v>
      </c>
      <c r="J22" s="215">
        <f t="shared" si="3"/>
        <v>27285650</v>
      </c>
      <c r="K22" s="215">
        <f t="shared" si="3"/>
        <v>27285650</v>
      </c>
      <c r="L22" s="215">
        <f t="shared" si="3"/>
        <v>27285650</v>
      </c>
      <c r="M22" s="215">
        <f t="shared" si="3"/>
        <v>27285650</v>
      </c>
      <c r="N22" s="215">
        <f t="shared" si="3"/>
        <v>27285650</v>
      </c>
      <c r="O22" s="215">
        <f t="shared" si="3"/>
        <v>27285650</v>
      </c>
      <c r="P22" s="215">
        <f t="shared" si="3"/>
        <v>27285650</v>
      </c>
      <c r="Q22" s="215">
        <f t="shared" si="3"/>
        <v>27285650</v>
      </c>
      <c r="R22" s="215">
        <f t="shared" si="3"/>
        <v>27285650</v>
      </c>
      <c r="S22" s="215">
        <f t="shared" si="3"/>
        <v>27285650</v>
      </c>
      <c r="T22" s="215">
        <f t="shared" si="3"/>
        <v>27285650</v>
      </c>
      <c r="U22" s="215">
        <f t="shared" si="3"/>
        <v>27285650</v>
      </c>
      <c r="V22" s="215">
        <f t="shared" si="3"/>
        <v>27285650</v>
      </c>
      <c r="W22" s="215" t="str">
        <f t="shared" si="3"/>
        <v/>
      </c>
      <c r="X22" s="215" t="str">
        <f t="shared" si="3"/>
        <v/>
      </c>
      <c r="Y22" s="215" t="str">
        <f t="shared" si="3"/>
        <v/>
      </c>
      <c r="Z22" s="215" t="str">
        <f t="shared" si="3"/>
        <v/>
      </c>
      <c r="AA22" s="215" t="str">
        <f t="shared" si="3"/>
        <v/>
      </c>
      <c r="AB22" s="215"/>
    </row>
    <row r="23" spans="2:28" s="199" customFormat="1" x14ac:dyDescent="0.25">
      <c r="B23" s="286" t="s">
        <v>890</v>
      </c>
      <c r="C23" s="215">
        <f t="shared" ref="C23:AA23" si="4">IF(C21="","",C38+C101)</f>
        <v>26218688.125</v>
      </c>
      <c r="D23" s="215">
        <f t="shared" si="4"/>
        <v>26075331.813124992</v>
      </c>
      <c r="E23" s="215">
        <f t="shared" si="4"/>
        <v>25940310.894938119</v>
      </c>
      <c r="F23" s="215">
        <f t="shared" si="4"/>
        <v>25813209.768333055</v>
      </c>
      <c r="G23" s="215">
        <f t="shared" si="4"/>
        <v>25693633.612476386</v>
      </c>
      <c r="H23" s="215">
        <f t="shared" si="4"/>
        <v>25581207.348745108</v>
      </c>
      <c r="I23" s="215">
        <f t="shared" si="4"/>
        <v>25475574.653617293</v>
      </c>
      <c r="J23" s="215">
        <f t="shared" si="4"/>
        <v>25376397.020918168</v>
      </c>
      <c r="K23" s="215">
        <f t="shared" si="4"/>
        <v>25283352.870953988</v>
      </c>
      <c r="L23" s="215">
        <f t="shared" si="4"/>
        <v>25196136.704189103</v>
      </c>
      <c r="M23" s="215">
        <f t="shared" si="4"/>
        <v>25114458.297239237</v>
      </c>
      <c r="N23" s="215">
        <f t="shared" si="4"/>
        <v>25038041.939065125</v>
      </c>
      <c r="O23" s="215">
        <f t="shared" si="4"/>
        <v>24966625.705356404</v>
      </c>
      <c r="P23" s="215">
        <f t="shared" si="4"/>
        <v>24899960.769196365</v>
      </c>
      <c r="Q23" s="215">
        <f t="shared" si="4"/>
        <v>24837810.746193435</v>
      </c>
      <c r="R23" s="215">
        <f t="shared" si="4"/>
        <v>24779951.072356109</v>
      </c>
      <c r="S23" s="215">
        <f t="shared" si="4"/>
        <v>24726168.413074128</v>
      </c>
      <c r="T23" s="215">
        <f t="shared" si="4"/>
        <v>24676260.101650573</v>
      </c>
      <c r="U23" s="215">
        <f t="shared" si="4"/>
        <v>24630033.605907425</v>
      </c>
      <c r="V23" s="215">
        <f t="shared" si="4"/>
        <v>24587306.021460779</v>
      </c>
      <c r="W23" s="215" t="str">
        <f t="shared" si="4"/>
        <v/>
      </c>
      <c r="X23" s="215" t="str">
        <f t="shared" si="4"/>
        <v/>
      </c>
      <c r="Y23" s="215" t="str">
        <f t="shared" si="4"/>
        <v/>
      </c>
      <c r="Z23" s="215" t="str">
        <f t="shared" si="4"/>
        <v/>
      </c>
      <c r="AA23" s="215" t="str">
        <f t="shared" si="4"/>
        <v/>
      </c>
      <c r="AB23" s="215"/>
    </row>
    <row r="24" spans="2:28" s="199" customFormat="1" x14ac:dyDescent="0.25">
      <c r="B24" s="286" t="s">
        <v>891</v>
      </c>
      <c r="C24" s="215">
        <f t="shared" ref="C24:AA24" si="5">IF(C21="","",C39+C102)</f>
        <v>26043688.125</v>
      </c>
      <c r="D24" s="215">
        <f t="shared" si="5"/>
        <v>26000656.565624997</v>
      </c>
      <c r="E24" s="215">
        <f t="shared" si="5"/>
        <v>25966072.348453119</v>
      </c>
      <c r="F24" s="215">
        <f t="shared" si="5"/>
        <v>25939544.585195385</v>
      </c>
      <c r="G24" s="215">
        <f t="shared" si="5"/>
        <v>25920702.089371357</v>
      </c>
      <c r="H24" s="215">
        <f t="shared" si="5"/>
        <v>25909192.392005712</v>
      </c>
      <c r="I24" s="215">
        <f t="shared" si="5"/>
        <v>25904680.806543864</v>
      </c>
      <c r="J24" s="215">
        <f t="shared" si="5"/>
        <v>25906849.540525801</v>
      </c>
      <c r="K24" s="215">
        <f t="shared" si="5"/>
        <v>25915396.851680186</v>
      </c>
      <c r="L24" s="215">
        <f t="shared" si="5"/>
        <v>25930036.24621775</v>
      </c>
      <c r="M24" s="215">
        <f t="shared" si="5"/>
        <v>25950495.717214052</v>
      </c>
      <c r="N24" s="215">
        <f t="shared" si="5"/>
        <v>25976517.021077074</v>
      </c>
      <c r="O24" s="215">
        <f t="shared" si="5"/>
        <v>26007854.990195554</v>
      </c>
      <c r="P24" s="215">
        <f t="shared" si="5"/>
        <v>26044276.879958976</v>
      </c>
      <c r="Q24" s="215">
        <f t="shared" si="5"/>
        <v>26085561.748430595</v>
      </c>
      <c r="R24" s="215">
        <f t="shared" si="5"/>
        <v>26131499.867040981</v>
      </c>
      <c r="S24" s="215">
        <f t="shared" si="5"/>
        <v>26181892.160751004</v>
      </c>
      <c r="T24" s="215">
        <f t="shared" si="5"/>
        <v>26236549.676210839</v>
      </c>
      <c r="U24" s="215">
        <f t="shared" si="5"/>
        <v>26295293.076515168</v>
      </c>
      <c r="V24" s="215">
        <f t="shared" si="5"/>
        <v>26357952.161224861</v>
      </c>
      <c r="W24" s="215" t="str">
        <f t="shared" si="5"/>
        <v/>
      </c>
      <c r="X24" s="215" t="str">
        <f t="shared" si="5"/>
        <v/>
      </c>
      <c r="Y24" s="215" t="str">
        <f t="shared" si="5"/>
        <v/>
      </c>
      <c r="Z24" s="215" t="str">
        <f t="shared" si="5"/>
        <v/>
      </c>
      <c r="AA24" s="215" t="str">
        <f t="shared" si="5"/>
        <v/>
      </c>
      <c r="AB24" s="215"/>
    </row>
    <row r="25" spans="2:28" x14ac:dyDescent="0.25">
      <c r="B25" s="286" t="s">
        <v>892</v>
      </c>
      <c r="C25" s="215">
        <f t="shared" ref="C25:AA25" si="6">IF(C21="","",C23-C22)</f>
        <v>-1066961.875</v>
      </c>
      <c r="D25" s="215">
        <f t="shared" si="6"/>
        <v>-1210318.186875008</v>
      </c>
      <c r="E25" s="215">
        <f t="shared" si="6"/>
        <v>-1345339.1050618812</v>
      </c>
      <c r="F25" s="215">
        <f t="shared" si="6"/>
        <v>-1472440.2316669449</v>
      </c>
      <c r="G25" s="215">
        <f t="shared" si="6"/>
        <v>-1592016.3875236139</v>
      </c>
      <c r="H25" s="215">
        <f t="shared" si="6"/>
        <v>-1704442.6512548923</v>
      </c>
      <c r="I25" s="215">
        <f t="shared" si="6"/>
        <v>-1810075.3463827074</v>
      </c>
      <c r="J25" s="215">
        <f t="shared" si="6"/>
        <v>-1909252.9790818319</v>
      </c>
      <c r="K25" s="215">
        <f t="shared" si="6"/>
        <v>-2002297.1290460117</v>
      </c>
      <c r="L25" s="215">
        <f t="shared" si="6"/>
        <v>-2089513.2958108969</v>
      </c>
      <c r="M25" s="215">
        <f t="shared" si="6"/>
        <v>-2171191.7027607635</v>
      </c>
      <c r="N25" s="215">
        <f t="shared" si="6"/>
        <v>-2247608.0609348752</v>
      </c>
      <c r="O25" s="215">
        <f t="shared" si="6"/>
        <v>-2319024.2946435958</v>
      </c>
      <c r="P25" s="215">
        <f t="shared" si="6"/>
        <v>-2385689.230803635</v>
      </c>
      <c r="Q25" s="215">
        <f t="shared" si="6"/>
        <v>-2447839.253806565</v>
      </c>
      <c r="R25" s="215">
        <f t="shared" si="6"/>
        <v>-2505698.9276438914</v>
      </c>
      <c r="S25" s="215">
        <f t="shared" si="6"/>
        <v>-2559481.5869258717</v>
      </c>
      <c r="T25" s="215">
        <f t="shared" si="6"/>
        <v>-2609389.8983494267</v>
      </c>
      <c r="U25" s="215">
        <f t="shared" si="6"/>
        <v>-2655616.3940925747</v>
      </c>
      <c r="V25" s="215">
        <f t="shared" si="6"/>
        <v>-2698343.978539221</v>
      </c>
      <c r="W25" s="215" t="str">
        <f t="shared" si="6"/>
        <v/>
      </c>
      <c r="X25" s="215" t="str">
        <f t="shared" si="6"/>
        <v/>
      </c>
      <c r="Y25" s="215" t="str">
        <f t="shared" si="6"/>
        <v/>
      </c>
      <c r="Z25" s="215" t="str">
        <f t="shared" si="6"/>
        <v/>
      </c>
      <c r="AA25" s="215" t="str">
        <f t="shared" si="6"/>
        <v/>
      </c>
      <c r="AB25" s="215"/>
    </row>
    <row r="26" spans="2:28" x14ac:dyDescent="0.25">
      <c r="B26" s="286" t="s">
        <v>893</v>
      </c>
      <c r="C26" s="215">
        <f t="shared" ref="C26:AA26" si="7">IF(C21="","",C24-C22)</f>
        <v>-1241961.875</v>
      </c>
      <c r="D26" s="215">
        <f t="shared" si="7"/>
        <v>-1284993.434375003</v>
      </c>
      <c r="E26" s="215">
        <f t="shared" si="7"/>
        <v>-1319577.6515468806</v>
      </c>
      <c r="F26" s="215">
        <f t="shared" si="7"/>
        <v>-1346105.4148046151</v>
      </c>
      <c r="G26" s="215">
        <f t="shared" si="7"/>
        <v>-1364947.9106286429</v>
      </c>
      <c r="H26" s="215">
        <f t="shared" si="7"/>
        <v>-1376457.6079942882</v>
      </c>
      <c r="I26" s="215">
        <f t="shared" si="7"/>
        <v>-1380969.1934561357</v>
      </c>
      <c r="J26" s="215">
        <f t="shared" si="7"/>
        <v>-1378800.4594741985</v>
      </c>
      <c r="K26" s="215">
        <f t="shared" si="7"/>
        <v>-1370253.1483198144</v>
      </c>
      <c r="L26" s="215">
        <f t="shared" si="7"/>
        <v>-1355613.75378225</v>
      </c>
      <c r="M26" s="215">
        <f t="shared" si="7"/>
        <v>-1335154.2827859484</v>
      </c>
      <c r="N26" s="215">
        <f t="shared" si="7"/>
        <v>-1309132.9789229259</v>
      </c>
      <c r="O26" s="215">
        <f t="shared" si="7"/>
        <v>-1277795.0098044463</v>
      </c>
      <c r="P26" s="215">
        <f t="shared" si="7"/>
        <v>-1241373.1200410239</v>
      </c>
      <c r="Q26" s="215">
        <f t="shared" si="7"/>
        <v>-1200088.2515694052</v>
      </c>
      <c r="R26" s="215">
        <f t="shared" si="7"/>
        <v>-1154150.1329590194</v>
      </c>
      <c r="S26" s="215">
        <f t="shared" si="7"/>
        <v>-1103757.8392489962</v>
      </c>
      <c r="T26" s="215">
        <f t="shared" si="7"/>
        <v>-1049100.3237891607</v>
      </c>
      <c r="U26" s="215">
        <f t="shared" si="7"/>
        <v>-990356.92348483205</v>
      </c>
      <c r="V26" s="215">
        <f t="shared" si="7"/>
        <v>-927697.8387751393</v>
      </c>
      <c r="W26" s="215" t="str">
        <f t="shared" si="7"/>
        <v/>
      </c>
      <c r="X26" s="215" t="str">
        <f t="shared" si="7"/>
        <v/>
      </c>
      <c r="Y26" s="215" t="str">
        <f t="shared" si="7"/>
        <v/>
      </c>
      <c r="Z26" s="215" t="str">
        <f t="shared" si="7"/>
        <v/>
      </c>
      <c r="AA26" s="215" t="str">
        <f t="shared" si="7"/>
        <v/>
      </c>
      <c r="AB26" s="215"/>
    </row>
    <row r="29" spans="2:28" s="193" customFormat="1" ht="30" x14ac:dyDescent="0.25">
      <c r="B29" s="287" t="s">
        <v>1325</v>
      </c>
      <c r="C29" s="245"/>
      <c r="D29" s="245"/>
      <c r="E29" s="245"/>
      <c r="F29" s="245"/>
    </row>
    <row r="30" spans="2:28" ht="15.6" customHeight="1" x14ac:dyDescent="0.25">
      <c r="B30" s="112"/>
      <c r="C30" s="141"/>
      <c r="D30" s="141"/>
      <c r="E30" s="141"/>
    </row>
    <row r="31" spans="2:28" ht="153.94999999999999" customHeight="1" x14ac:dyDescent="0.25">
      <c r="B31" s="288" t="s">
        <v>554</v>
      </c>
      <c r="C31" s="140" t="s">
        <v>1286</v>
      </c>
      <c r="D31" s="140"/>
      <c r="E31" s="140"/>
    </row>
    <row r="32" spans="2:28" ht="135.6" customHeight="1" x14ac:dyDescent="0.25">
      <c r="B32" s="146" t="s">
        <v>547</v>
      </c>
      <c r="C32" s="140" t="s">
        <v>1003</v>
      </c>
      <c r="D32" s="140"/>
      <c r="E32" s="140"/>
    </row>
    <row r="33" spans="1:28" x14ac:dyDescent="0.25">
      <c r="B33" s="112"/>
    </row>
    <row r="34" spans="1:28" ht="15.95" customHeight="1" x14ac:dyDescent="0.25">
      <c r="A34" s="86"/>
      <c r="B34" s="237" t="s">
        <v>29</v>
      </c>
      <c r="C34" s="237"/>
      <c r="D34" s="237"/>
      <c r="E34" s="237"/>
      <c r="F34" s="237"/>
      <c r="G34" s="237"/>
      <c r="H34" s="237"/>
      <c r="I34" s="237"/>
      <c r="J34" s="237"/>
      <c r="K34" s="237"/>
      <c r="L34" s="237"/>
    </row>
    <row r="35" spans="1:28" x14ac:dyDescent="0.25">
      <c r="A35" s="86"/>
      <c r="B35" s="238" t="s">
        <v>907</v>
      </c>
      <c r="C35" s="239"/>
      <c r="D35" s="239"/>
      <c r="E35" s="239"/>
      <c r="F35" s="239"/>
      <c r="G35" s="239"/>
      <c r="H35" s="239"/>
      <c r="I35" s="239"/>
      <c r="J35" s="239"/>
      <c r="K35" s="239"/>
      <c r="L35" s="239"/>
    </row>
    <row r="36" spans="1:28" x14ac:dyDescent="0.25">
      <c r="A36" s="86"/>
      <c r="B36" s="240" t="s">
        <v>26</v>
      </c>
      <c r="C36" s="240">
        <f>C$21</f>
        <v>2021</v>
      </c>
      <c r="D36" s="240">
        <f t="shared" ref="D36:AB36" si="8">D$21</f>
        <v>2022</v>
      </c>
      <c r="E36" s="240">
        <f t="shared" si="8"/>
        <v>2023</v>
      </c>
      <c r="F36" s="240">
        <f t="shared" si="8"/>
        <v>2024</v>
      </c>
      <c r="G36" s="240">
        <f t="shared" si="8"/>
        <v>2025</v>
      </c>
      <c r="H36" s="240">
        <f t="shared" si="8"/>
        <v>2026</v>
      </c>
      <c r="I36" s="240">
        <f t="shared" si="8"/>
        <v>2027</v>
      </c>
      <c r="J36" s="240">
        <f t="shared" si="8"/>
        <v>2028</v>
      </c>
      <c r="K36" s="240">
        <f t="shared" si="8"/>
        <v>2029</v>
      </c>
      <c r="L36" s="240">
        <f t="shared" si="8"/>
        <v>2030</v>
      </c>
      <c r="M36" s="240">
        <f t="shared" si="8"/>
        <v>2031</v>
      </c>
      <c r="N36" s="240">
        <f t="shared" si="8"/>
        <v>2032</v>
      </c>
      <c r="O36" s="240">
        <f t="shared" si="8"/>
        <v>2033</v>
      </c>
      <c r="P36" s="240">
        <f t="shared" si="8"/>
        <v>2034</v>
      </c>
      <c r="Q36" s="240">
        <f t="shared" si="8"/>
        <v>2035</v>
      </c>
      <c r="R36" s="240">
        <f t="shared" si="8"/>
        <v>2036</v>
      </c>
      <c r="S36" s="240">
        <f t="shared" si="8"/>
        <v>2037</v>
      </c>
      <c r="T36" s="240">
        <f t="shared" si="8"/>
        <v>2038</v>
      </c>
      <c r="U36" s="240">
        <f t="shared" si="8"/>
        <v>2039</v>
      </c>
      <c r="V36" s="240">
        <f t="shared" si="8"/>
        <v>2040</v>
      </c>
      <c r="W36" s="240" t="str">
        <f t="shared" si="8"/>
        <v/>
      </c>
      <c r="X36" s="240" t="str">
        <f t="shared" si="8"/>
        <v/>
      </c>
      <c r="Y36" s="240" t="str">
        <f t="shared" si="8"/>
        <v/>
      </c>
      <c r="Z36" s="240" t="str">
        <f t="shared" si="8"/>
        <v/>
      </c>
      <c r="AA36" s="240" t="str">
        <f t="shared" si="8"/>
        <v/>
      </c>
      <c r="AB36" s="240">
        <f t="shared" si="8"/>
        <v>0</v>
      </c>
    </row>
    <row r="37" spans="1:28" x14ac:dyDescent="0.25">
      <c r="A37" s="86"/>
      <c r="B37" s="286" t="s">
        <v>157</v>
      </c>
      <c r="C37" s="289">
        <f t="shared" ref="C37:AB37" si="9">IF(C36="","",C81)</f>
        <v>23785650</v>
      </c>
      <c r="D37" s="289">
        <f t="shared" si="9"/>
        <v>23785650</v>
      </c>
      <c r="E37" s="289">
        <f t="shared" si="9"/>
        <v>23785650</v>
      </c>
      <c r="F37" s="289">
        <f t="shared" si="9"/>
        <v>23785650</v>
      </c>
      <c r="G37" s="289">
        <f t="shared" si="9"/>
        <v>23785650</v>
      </c>
      <c r="H37" s="289">
        <f t="shared" si="9"/>
        <v>23785650</v>
      </c>
      <c r="I37" s="289">
        <f t="shared" si="9"/>
        <v>23785650</v>
      </c>
      <c r="J37" s="289">
        <f t="shared" si="9"/>
        <v>23785650</v>
      </c>
      <c r="K37" s="289">
        <f t="shared" si="9"/>
        <v>23785650</v>
      </c>
      <c r="L37" s="289">
        <f t="shared" si="9"/>
        <v>23785650</v>
      </c>
      <c r="M37" s="289">
        <f t="shared" si="9"/>
        <v>23785650</v>
      </c>
      <c r="N37" s="289">
        <f t="shared" si="9"/>
        <v>23785650</v>
      </c>
      <c r="O37" s="289">
        <f t="shared" si="9"/>
        <v>23785650</v>
      </c>
      <c r="P37" s="289">
        <f t="shared" si="9"/>
        <v>23785650</v>
      </c>
      <c r="Q37" s="289">
        <f t="shared" si="9"/>
        <v>23785650</v>
      </c>
      <c r="R37" s="289">
        <f t="shared" si="9"/>
        <v>23785650</v>
      </c>
      <c r="S37" s="289">
        <f t="shared" si="9"/>
        <v>23785650</v>
      </c>
      <c r="T37" s="289">
        <f t="shared" si="9"/>
        <v>23785650</v>
      </c>
      <c r="U37" s="289">
        <f t="shared" si="9"/>
        <v>23785650</v>
      </c>
      <c r="V37" s="289">
        <f t="shared" si="9"/>
        <v>23785650</v>
      </c>
      <c r="W37" s="289" t="str">
        <f t="shared" si="9"/>
        <v/>
      </c>
      <c r="X37" s="289" t="str">
        <f t="shared" si="9"/>
        <v/>
      </c>
      <c r="Y37" s="289" t="str">
        <f t="shared" si="9"/>
        <v/>
      </c>
      <c r="Z37" s="289" t="str">
        <f t="shared" si="9"/>
        <v/>
      </c>
      <c r="AA37" s="289" t="str">
        <f t="shared" si="9"/>
        <v/>
      </c>
      <c r="AB37" s="289">
        <f t="shared" si="9"/>
        <v>0</v>
      </c>
    </row>
    <row r="38" spans="1:28" x14ac:dyDescent="0.25">
      <c r="A38" s="86"/>
      <c r="B38" s="286" t="s">
        <v>890</v>
      </c>
      <c r="C38" s="290">
        <f t="shared" ref="C38:AB38" si="10">IF(C36="","",C85)</f>
        <v>22893688.125</v>
      </c>
      <c r="D38" s="290">
        <f t="shared" si="10"/>
        <v>22916581.813124992</v>
      </c>
      <c r="E38" s="290">
        <f t="shared" si="10"/>
        <v>22939498.394938119</v>
      </c>
      <c r="F38" s="290">
        <f t="shared" si="10"/>
        <v>22962437.893333055</v>
      </c>
      <c r="G38" s="290">
        <f t="shared" si="10"/>
        <v>22985400.331226386</v>
      </c>
      <c r="H38" s="290">
        <f t="shared" si="10"/>
        <v>23008385.731557608</v>
      </c>
      <c r="I38" s="290">
        <f t="shared" si="10"/>
        <v>23031394.117289167</v>
      </c>
      <c r="J38" s="290">
        <f t="shared" si="10"/>
        <v>23054425.511406451</v>
      </c>
      <c r="K38" s="290">
        <f t="shared" si="10"/>
        <v>23077479.936917856</v>
      </c>
      <c r="L38" s="290">
        <f t="shared" si="10"/>
        <v>23100557.416854776</v>
      </c>
      <c r="M38" s="290">
        <f t="shared" si="10"/>
        <v>23123657.974271625</v>
      </c>
      <c r="N38" s="290">
        <f t="shared" si="10"/>
        <v>23146781.632245895</v>
      </c>
      <c r="O38" s="290">
        <f t="shared" si="10"/>
        <v>23169928.413878135</v>
      </c>
      <c r="P38" s="290">
        <f t="shared" si="10"/>
        <v>23193098.342292011</v>
      </c>
      <c r="Q38" s="290">
        <f t="shared" si="10"/>
        <v>23216291.440634299</v>
      </c>
      <c r="R38" s="290">
        <f t="shared" si="10"/>
        <v>23239507.732074931</v>
      </c>
      <c r="S38" s="290">
        <f t="shared" si="10"/>
        <v>23262747.23980701</v>
      </c>
      <c r="T38" s="290">
        <f t="shared" si="10"/>
        <v>23286009.987046808</v>
      </c>
      <c r="U38" s="290">
        <f t="shared" si="10"/>
        <v>23309295.997033849</v>
      </c>
      <c r="V38" s="290">
        <f t="shared" si="10"/>
        <v>23332605.293030884</v>
      </c>
      <c r="W38" s="290" t="str">
        <f t="shared" si="10"/>
        <v/>
      </c>
      <c r="X38" s="290" t="str">
        <f t="shared" si="10"/>
        <v/>
      </c>
      <c r="Y38" s="290" t="str">
        <f t="shared" si="10"/>
        <v/>
      </c>
      <c r="Z38" s="290" t="str">
        <f t="shared" si="10"/>
        <v/>
      </c>
      <c r="AA38" s="290" t="str">
        <f t="shared" si="10"/>
        <v/>
      </c>
      <c r="AB38" s="290">
        <f t="shared" si="10"/>
        <v>0</v>
      </c>
    </row>
    <row r="39" spans="1:28" x14ac:dyDescent="0.25">
      <c r="A39" s="86"/>
      <c r="B39" s="286" t="s">
        <v>891</v>
      </c>
      <c r="C39" s="290">
        <f t="shared" ref="C39:AB39" si="11">IF(C36="","",C89)</f>
        <v>22893688.125</v>
      </c>
      <c r="D39" s="290">
        <f t="shared" si="11"/>
        <v>23008156.565624997</v>
      </c>
      <c r="E39" s="290">
        <f t="shared" si="11"/>
        <v>23123197.348453119</v>
      </c>
      <c r="F39" s="290">
        <f t="shared" si="11"/>
        <v>23238813.335195385</v>
      </c>
      <c r="G39" s="290">
        <f t="shared" si="11"/>
        <v>23355007.401871357</v>
      </c>
      <c r="H39" s="290">
        <f t="shared" si="11"/>
        <v>23471782.438880712</v>
      </c>
      <c r="I39" s="290">
        <f t="shared" si="11"/>
        <v>23589141.351075113</v>
      </c>
      <c r="J39" s="290">
        <f t="shared" si="11"/>
        <v>23707087.05783049</v>
      </c>
      <c r="K39" s="290">
        <f t="shared" si="11"/>
        <v>23825622.493119638</v>
      </c>
      <c r="L39" s="290">
        <f t="shared" si="11"/>
        <v>23944750.605585232</v>
      </c>
      <c r="M39" s="290">
        <f t="shared" si="11"/>
        <v>24064474.35861316</v>
      </c>
      <c r="N39" s="290">
        <f t="shared" si="11"/>
        <v>24184796.730406225</v>
      </c>
      <c r="O39" s="290">
        <f t="shared" si="11"/>
        <v>24305720.714058246</v>
      </c>
      <c r="P39" s="290">
        <f t="shared" si="11"/>
        <v>24427249.317628536</v>
      </c>
      <c r="Q39" s="290">
        <f t="shared" si="11"/>
        <v>24549385.564216677</v>
      </c>
      <c r="R39" s="290">
        <f t="shared" si="11"/>
        <v>24672132.492037758</v>
      </c>
      <c r="S39" s="290">
        <f t="shared" si="11"/>
        <v>24795493.154497944</v>
      </c>
      <c r="T39" s="290">
        <f t="shared" si="11"/>
        <v>24919470.620270431</v>
      </c>
      <c r="U39" s="290">
        <f t="shared" si="11"/>
        <v>25044067.973371781</v>
      </c>
      <c r="V39" s="290">
        <f t="shared" si="11"/>
        <v>25169288.313238643</v>
      </c>
      <c r="W39" s="290" t="str">
        <f t="shared" si="11"/>
        <v/>
      </c>
      <c r="X39" s="290" t="str">
        <f t="shared" si="11"/>
        <v/>
      </c>
      <c r="Y39" s="290" t="str">
        <f t="shared" si="11"/>
        <v/>
      </c>
      <c r="Z39" s="290" t="str">
        <f t="shared" si="11"/>
        <v/>
      </c>
      <c r="AA39" s="290" t="str">
        <f t="shared" si="11"/>
        <v/>
      </c>
      <c r="AB39" s="290">
        <f t="shared" si="11"/>
        <v>0</v>
      </c>
    </row>
    <row r="40" spans="1:28" x14ac:dyDescent="0.25">
      <c r="A40" s="86"/>
      <c r="B40" s="286" t="s">
        <v>892</v>
      </c>
      <c r="C40" s="93">
        <f t="shared" ref="C40:AB40" si="12">IF(C36="","",IF($F$92="Oui",C38-C37,0))</f>
        <v>0</v>
      </c>
      <c r="D40" s="93">
        <f t="shared" si="12"/>
        <v>0</v>
      </c>
      <c r="E40" s="93">
        <f t="shared" si="12"/>
        <v>0</v>
      </c>
      <c r="F40" s="93">
        <f t="shared" si="12"/>
        <v>0</v>
      </c>
      <c r="G40" s="93">
        <f t="shared" si="12"/>
        <v>0</v>
      </c>
      <c r="H40" s="93">
        <f t="shared" si="12"/>
        <v>0</v>
      </c>
      <c r="I40" s="93">
        <f t="shared" si="12"/>
        <v>0</v>
      </c>
      <c r="J40" s="93">
        <f t="shared" si="12"/>
        <v>0</v>
      </c>
      <c r="K40" s="93">
        <f t="shared" si="12"/>
        <v>0</v>
      </c>
      <c r="L40" s="93">
        <f t="shared" si="12"/>
        <v>0</v>
      </c>
      <c r="M40" s="93">
        <f t="shared" si="12"/>
        <v>0</v>
      </c>
      <c r="N40" s="93">
        <f t="shared" si="12"/>
        <v>0</v>
      </c>
      <c r="O40" s="93">
        <f t="shared" si="12"/>
        <v>0</v>
      </c>
      <c r="P40" s="93">
        <f t="shared" si="12"/>
        <v>0</v>
      </c>
      <c r="Q40" s="93">
        <f t="shared" si="12"/>
        <v>0</v>
      </c>
      <c r="R40" s="93">
        <f t="shared" si="12"/>
        <v>0</v>
      </c>
      <c r="S40" s="93">
        <f t="shared" si="12"/>
        <v>0</v>
      </c>
      <c r="T40" s="93">
        <f t="shared" si="12"/>
        <v>0</v>
      </c>
      <c r="U40" s="93">
        <f t="shared" si="12"/>
        <v>0</v>
      </c>
      <c r="V40" s="93">
        <f t="shared" si="12"/>
        <v>0</v>
      </c>
      <c r="W40" s="93" t="str">
        <f t="shared" si="12"/>
        <v/>
      </c>
      <c r="X40" s="93" t="str">
        <f t="shared" si="12"/>
        <v/>
      </c>
      <c r="Y40" s="93" t="str">
        <f t="shared" si="12"/>
        <v/>
      </c>
      <c r="Z40" s="93" t="str">
        <f t="shared" si="12"/>
        <v/>
      </c>
      <c r="AA40" s="93" t="str">
        <f t="shared" si="12"/>
        <v/>
      </c>
      <c r="AB40" s="93">
        <f t="shared" si="12"/>
        <v>0</v>
      </c>
    </row>
    <row r="41" spans="1:28" x14ac:dyDescent="0.25">
      <c r="A41" s="86"/>
      <c r="B41" s="286" t="s">
        <v>893</v>
      </c>
      <c r="C41" s="93">
        <f t="shared" ref="C41:AB41" si="13">IF(C36="","",IF($F$92="Oui",C39-C37,0))</f>
        <v>0</v>
      </c>
      <c r="D41" s="93">
        <f t="shared" si="13"/>
        <v>0</v>
      </c>
      <c r="E41" s="93">
        <f t="shared" si="13"/>
        <v>0</v>
      </c>
      <c r="F41" s="93">
        <f t="shared" si="13"/>
        <v>0</v>
      </c>
      <c r="G41" s="93">
        <f t="shared" si="13"/>
        <v>0</v>
      </c>
      <c r="H41" s="93">
        <f t="shared" si="13"/>
        <v>0</v>
      </c>
      <c r="I41" s="93">
        <f t="shared" si="13"/>
        <v>0</v>
      </c>
      <c r="J41" s="93">
        <f t="shared" si="13"/>
        <v>0</v>
      </c>
      <c r="K41" s="93">
        <f t="shared" si="13"/>
        <v>0</v>
      </c>
      <c r="L41" s="93">
        <f t="shared" si="13"/>
        <v>0</v>
      </c>
      <c r="M41" s="93">
        <f t="shared" si="13"/>
        <v>0</v>
      </c>
      <c r="N41" s="93">
        <f t="shared" si="13"/>
        <v>0</v>
      </c>
      <c r="O41" s="93">
        <f t="shared" si="13"/>
        <v>0</v>
      </c>
      <c r="P41" s="93">
        <f t="shared" si="13"/>
        <v>0</v>
      </c>
      <c r="Q41" s="93">
        <f t="shared" si="13"/>
        <v>0</v>
      </c>
      <c r="R41" s="93">
        <f t="shared" si="13"/>
        <v>0</v>
      </c>
      <c r="S41" s="93">
        <f t="shared" si="13"/>
        <v>0</v>
      </c>
      <c r="T41" s="93">
        <f t="shared" si="13"/>
        <v>0</v>
      </c>
      <c r="U41" s="93">
        <f t="shared" si="13"/>
        <v>0</v>
      </c>
      <c r="V41" s="93">
        <f t="shared" si="13"/>
        <v>0</v>
      </c>
      <c r="W41" s="93" t="str">
        <f t="shared" si="13"/>
        <v/>
      </c>
      <c r="X41" s="93" t="str">
        <f t="shared" si="13"/>
        <v/>
      </c>
      <c r="Y41" s="93" t="str">
        <f t="shared" si="13"/>
        <v/>
      </c>
      <c r="Z41" s="93" t="str">
        <f t="shared" si="13"/>
        <v/>
      </c>
      <c r="AA41" s="93" t="str">
        <f t="shared" si="13"/>
        <v/>
      </c>
      <c r="AB41" s="93">
        <f t="shared" si="13"/>
        <v>0</v>
      </c>
    </row>
    <row r="42" spans="1:28" x14ac:dyDescent="0.25">
      <c r="B42" s="112"/>
    </row>
    <row r="43" spans="1:28" ht="19.350000000000001" customHeight="1" x14ac:dyDescent="0.25">
      <c r="B43" s="146" t="s">
        <v>1004</v>
      </c>
      <c r="C43" s="116">
        <v>31.5</v>
      </c>
      <c r="E43" s="146" t="s">
        <v>1</v>
      </c>
      <c r="G43" s="180" t="s">
        <v>1005</v>
      </c>
    </row>
    <row r="44" spans="1:28" ht="19.350000000000001" customHeight="1" x14ac:dyDescent="0.25">
      <c r="B44" s="146" t="s">
        <v>1207</v>
      </c>
      <c r="C44" s="114">
        <f>Hypothèses_projet!C19*10^6</f>
        <v>50340000</v>
      </c>
      <c r="E44" s="146" t="s">
        <v>1006</v>
      </c>
      <c r="G44" s="180"/>
    </row>
    <row r="45" spans="1:28" ht="19.350000000000001" customHeight="1" x14ac:dyDescent="0.25">
      <c r="B45" s="146" t="s">
        <v>1209</v>
      </c>
      <c r="C45" s="116">
        <v>19</v>
      </c>
      <c r="E45" s="146" t="s">
        <v>1</v>
      </c>
      <c r="G45" s="180" t="s">
        <v>1007</v>
      </c>
    </row>
    <row r="46" spans="1:28" ht="19.350000000000001" customHeight="1" x14ac:dyDescent="0.25">
      <c r="B46" s="146" t="s">
        <v>1208</v>
      </c>
      <c r="C46" s="114">
        <f>C44*C45/100</f>
        <v>9564600</v>
      </c>
      <c r="E46" s="146" t="s">
        <v>1006</v>
      </c>
      <c r="G46" s="180"/>
    </row>
    <row r="47" spans="1:28" ht="19.350000000000001" customHeight="1" x14ac:dyDescent="0.25">
      <c r="B47" s="146" t="s">
        <v>1211</v>
      </c>
      <c r="C47" s="116">
        <v>5</v>
      </c>
      <c r="E47" s="146" t="s">
        <v>1</v>
      </c>
      <c r="G47" s="146" t="s">
        <v>1008</v>
      </c>
    </row>
    <row r="48" spans="1:28" ht="19.350000000000001" customHeight="1" x14ac:dyDescent="0.25">
      <c r="B48" s="146" t="s">
        <v>1009</v>
      </c>
      <c r="C48" s="114">
        <f>C44*C47/100</f>
        <v>2517000</v>
      </c>
    </row>
    <row r="49" spans="2:7" ht="19.350000000000001" customHeight="1" x14ac:dyDescent="0.25"/>
    <row r="50" spans="2:7" ht="19.350000000000001" customHeight="1" x14ac:dyDescent="0.25">
      <c r="B50" s="146" t="s">
        <v>1010</v>
      </c>
      <c r="C50" s="117">
        <v>25</v>
      </c>
      <c r="E50" s="146" t="s">
        <v>1</v>
      </c>
      <c r="G50" s="146" t="s">
        <v>1008</v>
      </c>
    </row>
    <row r="51" spans="2:7" ht="19.350000000000001" customHeight="1" x14ac:dyDescent="0.25">
      <c r="B51" s="146" t="s">
        <v>1011</v>
      </c>
      <c r="C51" s="117">
        <v>10</v>
      </c>
      <c r="E51" s="146" t="s">
        <v>1</v>
      </c>
      <c r="G51" s="146" t="s">
        <v>1008</v>
      </c>
    </row>
    <row r="52" spans="2:7" ht="19.350000000000001" customHeight="1" x14ac:dyDescent="0.25">
      <c r="B52" s="146" t="s">
        <v>1012</v>
      </c>
      <c r="C52" s="117">
        <v>25</v>
      </c>
      <c r="E52" s="146" t="s">
        <v>1</v>
      </c>
      <c r="G52" s="146" t="s">
        <v>1008</v>
      </c>
    </row>
    <row r="53" spans="2:7" ht="19.350000000000001" customHeight="1" x14ac:dyDescent="0.25"/>
    <row r="54" spans="2:7" ht="19.350000000000001" customHeight="1" x14ac:dyDescent="0.25">
      <c r="B54" s="146" t="s">
        <v>1013</v>
      </c>
      <c r="C54" s="114">
        <f>$C$48*C50/100</f>
        <v>629250</v>
      </c>
      <c r="E54" s="146" t="s">
        <v>1006</v>
      </c>
    </row>
    <row r="55" spans="2:7" ht="19.350000000000001" customHeight="1" x14ac:dyDescent="0.25">
      <c r="B55" s="146" t="s">
        <v>1014</v>
      </c>
      <c r="C55" s="114">
        <f>$C$48*C51/100</f>
        <v>251700</v>
      </c>
      <c r="E55" s="146" t="s">
        <v>1006</v>
      </c>
    </row>
    <row r="56" spans="2:7" ht="19.350000000000001" customHeight="1" x14ac:dyDescent="0.25">
      <c r="B56" s="146" t="s">
        <v>1015</v>
      </c>
      <c r="C56" s="114">
        <f>$C$48*C52/100</f>
        <v>629250</v>
      </c>
      <c r="E56" s="146" t="s">
        <v>1006</v>
      </c>
    </row>
    <row r="57" spans="2:7" ht="19.350000000000001" customHeight="1" x14ac:dyDescent="0.25"/>
    <row r="58" spans="2:7" ht="19.350000000000001" customHeight="1" x14ac:dyDescent="0.25">
      <c r="B58" s="146" t="s">
        <v>1016</v>
      </c>
      <c r="C58" s="114">
        <f>C54*$C$43/100</f>
        <v>198213.75</v>
      </c>
      <c r="E58" s="146" t="s">
        <v>1006</v>
      </c>
    </row>
    <row r="59" spans="2:7" ht="19.350000000000001" customHeight="1" x14ac:dyDescent="0.25">
      <c r="B59" s="146" t="s">
        <v>1017</v>
      </c>
      <c r="C59" s="114">
        <f>C55*$C$43/100</f>
        <v>79285.5</v>
      </c>
      <c r="E59" s="146" t="s">
        <v>1006</v>
      </c>
    </row>
    <row r="60" spans="2:7" ht="19.350000000000001" customHeight="1" x14ac:dyDescent="0.25">
      <c r="B60" s="146" t="s">
        <v>1018</v>
      </c>
      <c r="C60" s="114">
        <f>C56*$C$43/100</f>
        <v>198213.75</v>
      </c>
      <c r="E60" s="146" t="s">
        <v>1006</v>
      </c>
    </row>
    <row r="61" spans="2:7" ht="19.350000000000001" customHeight="1" x14ac:dyDescent="0.25"/>
    <row r="62" spans="2:7" ht="19.350000000000001" customHeight="1" x14ac:dyDescent="0.25">
      <c r="B62" s="146" t="s">
        <v>1019</v>
      </c>
      <c r="C62" s="118">
        <v>50</v>
      </c>
      <c r="E62" s="146" t="s">
        <v>1020</v>
      </c>
      <c r="G62" s="146" t="s">
        <v>1008</v>
      </c>
    </row>
    <row r="63" spans="2:7" ht="19.350000000000001" customHeight="1" x14ac:dyDescent="0.25">
      <c r="B63" s="146" t="s">
        <v>1021</v>
      </c>
      <c r="C63" s="118">
        <v>50</v>
      </c>
      <c r="E63" s="146" t="s">
        <v>1020</v>
      </c>
      <c r="G63" s="146" t="s">
        <v>1008</v>
      </c>
    </row>
    <row r="64" spans="2:7" ht="19.350000000000001" customHeight="1" x14ac:dyDescent="0.25">
      <c r="B64" s="146" t="s">
        <v>1022</v>
      </c>
      <c r="C64" s="118">
        <v>50</v>
      </c>
      <c r="E64" s="146" t="s">
        <v>1020</v>
      </c>
      <c r="G64" s="146" t="s">
        <v>1008</v>
      </c>
    </row>
    <row r="66" spans="1:28" ht="65.45" customHeight="1" x14ac:dyDescent="0.25">
      <c r="B66" s="149" t="s">
        <v>1023</v>
      </c>
      <c r="C66" s="149">
        <v>2</v>
      </c>
      <c r="D66" s="149"/>
      <c r="E66" s="149" t="s">
        <v>1</v>
      </c>
      <c r="F66" s="149"/>
      <c r="G66" s="142" t="s">
        <v>1287</v>
      </c>
      <c r="H66" s="142"/>
      <c r="I66" s="142"/>
      <c r="J66" s="142"/>
      <c r="K66" s="142"/>
      <c r="L66" s="142"/>
      <c r="M66" s="142"/>
      <c r="N66" s="142"/>
    </row>
    <row r="67" spans="1:28" ht="27.95" customHeight="1" x14ac:dyDescent="0.25">
      <c r="G67" s="194" t="s">
        <v>1024</v>
      </c>
    </row>
    <row r="68" spans="1:28" x14ac:dyDescent="0.25">
      <c r="B68" s="146" t="s">
        <v>1025</v>
      </c>
      <c r="C68" s="146">
        <v>5</v>
      </c>
      <c r="E68" s="146" t="s">
        <v>1</v>
      </c>
      <c r="G68" s="180" t="s">
        <v>1024</v>
      </c>
    </row>
    <row r="69" spans="1:28" x14ac:dyDescent="0.25">
      <c r="B69" s="146" t="s">
        <v>1026</v>
      </c>
      <c r="C69" s="146">
        <v>5</v>
      </c>
      <c r="E69" s="146" t="s">
        <v>1</v>
      </c>
      <c r="G69" s="180" t="s">
        <v>1024</v>
      </c>
    </row>
    <row r="71" spans="1:28" x14ac:dyDescent="0.25">
      <c r="B71" s="146" t="s">
        <v>1027</v>
      </c>
      <c r="C71" s="117">
        <v>0</v>
      </c>
      <c r="E71" s="146" t="s">
        <v>1</v>
      </c>
      <c r="G71" s="146" t="s">
        <v>1008</v>
      </c>
    </row>
    <row r="72" spans="1:28" x14ac:dyDescent="0.25">
      <c r="B72" s="146" t="s">
        <v>1028</v>
      </c>
      <c r="C72" s="117">
        <v>0.1</v>
      </c>
      <c r="E72" s="146" t="s">
        <v>1</v>
      </c>
      <c r="G72" s="146" t="s">
        <v>1008</v>
      </c>
    </row>
    <row r="73" spans="1:28" x14ac:dyDescent="0.25">
      <c r="B73" s="146" t="s">
        <v>1029</v>
      </c>
      <c r="C73" s="117">
        <v>0.5</v>
      </c>
      <c r="E73" s="146" t="s">
        <v>1</v>
      </c>
      <c r="G73" s="146" t="s">
        <v>1008</v>
      </c>
    </row>
    <row r="74" spans="1:28" x14ac:dyDescent="0.25">
      <c r="C74" s="94"/>
      <c r="G74" s="180"/>
    </row>
    <row r="75" spans="1:28" x14ac:dyDescent="0.25">
      <c r="B75" s="291" t="s">
        <v>29</v>
      </c>
      <c r="C75" s="291"/>
      <c r="D75" s="291"/>
      <c r="E75" s="291"/>
      <c r="F75" s="291"/>
      <c r="G75" s="291"/>
      <c r="H75" s="291"/>
      <c r="I75" s="291"/>
      <c r="J75" s="291"/>
      <c r="K75" s="291"/>
      <c r="L75" s="291"/>
    </row>
    <row r="76" spans="1:28" x14ac:dyDescent="0.25">
      <c r="B76" s="292" t="s">
        <v>171</v>
      </c>
      <c r="C76" s="293"/>
      <c r="D76" s="293"/>
      <c r="E76" s="293"/>
      <c r="F76" s="293"/>
      <c r="G76" s="293"/>
      <c r="H76" s="293"/>
      <c r="I76" s="293"/>
      <c r="J76" s="293"/>
      <c r="K76" s="293"/>
      <c r="L76" s="293"/>
    </row>
    <row r="77" spans="1:28" x14ac:dyDescent="0.25">
      <c r="B77" s="294" t="s">
        <v>26</v>
      </c>
      <c r="C77" s="240">
        <f>C$21</f>
        <v>2021</v>
      </c>
      <c r="D77" s="240">
        <f t="shared" ref="D77:AA77" si="14">D$21</f>
        <v>2022</v>
      </c>
      <c r="E77" s="240">
        <f t="shared" si="14"/>
        <v>2023</v>
      </c>
      <c r="F77" s="240">
        <f t="shared" si="14"/>
        <v>2024</v>
      </c>
      <c r="G77" s="240">
        <f t="shared" si="14"/>
        <v>2025</v>
      </c>
      <c r="H77" s="240">
        <f t="shared" si="14"/>
        <v>2026</v>
      </c>
      <c r="I77" s="240">
        <f t="shared" si="14"/>
        <v>2027</v>
      </c>
      <c r="J77" s="240">
        <f t="shared" si="14"/>
        <v>2028</v>
      </c>
      <c r="K77" s="240">
        <f t="shared" si="14"/>
        <v>2029</v>
      </c>
      <c r="L77" s="240">
        <f t="shared" si="14"/>
        <v>2030</v>
      </c>
      <c r="M77" s="240">
        <f t="shared" si="14"/>
        <v>2031</v>
      </c>
      <c r="N77" s="240">
        <f t="shared" si="14"/>
        <v>2032</v>
      </c>
      <c r="O77" s="240">
        <f t="shared" si="14"/>
        <v>2033</v>
      </c>
      <c r="P77" s="240">
        <f t="shared" si="14"/>
        <v>2034</v>
      </c>
      <c r="Q77" s="240">
        <f t="shared" si="14"/>
        <v>2035</v>
      </c>
      <c r="R77" s="240">
        <f t="shared" si="14"/>
        <v>2036</v>
      </c>
      <c r="S77" s="240">
        <f t="shared" si="14"/>
        <v>2037</v>
      </c>
      <c r="T77" s="240">
        <f t="shared" si="14"/>
        <v>2038</v>
      </c>
      <c r="U77" s="240">
        <f t="shared" si="14"/>
        <v>2039</v>
      </c>
      <c r="V77" s="240">
        <f t="shared" si="14"/>
        <v>2040</v>
      </c>
      <c r="W77" s="240" t="str">
        <f t="shared" si="14"/>
        <v/>
      </c>
      <c r="X77" s="240" t="str">
        <f t="shared" si="14"/>
        <v/>
      </c>
      <c r="Y77" s="240" t="str">
        <f t="shared" si="14"/>
        <v/>
      </c>
      <c r="Z77" s="240" t="str">
        <f t="shared" si="14"/>
        <v/>
      </c>
      <c r="AA77" s="240" t="str">
        <f t="shared" si="14"/>
        <v/>
      </c>
      <c r="AB77" s="240"/>
    </row>
    <row r="78" spans="1:28" x14ac:dyDescent="0.25">
      <c r="A78" s="274" t="s">
        <v>897</v>
      </c>
      <c r="B78" s="275" t="s">
        <v>1016</v>
      </c>
      <c r="C78" s="295">
        <f>IF(C77="","",C58)</f>
        <v>198213.75</v>
      </c>
      <c r="D78" s="295">
        <f t="shared" ref="D78:AA78" si="15">IF(D77="","",C78*(1+$C$71/100))</f>
        <v>198213.75</v>
      </c>
      <c r="E78" s="295">
        <f t="shared" si="15"/>
        <v>198213.75</v>
      </c>
      <c r="F78" s="295">
        <f t="shared" si="15"/>
        <v>198213.75</v>
      </c>
      <c r="G78" s="295">
        <f t="shared" si="15"/>
        <v>198213.75</v>
      </c>
      <c r="H78" s="295">
        <f t="shared" si="15"/>
        <v>198213.75</v>
      </c>
      <c r="I78" s="295">
        <f t="shared" si="15"/>
        <v>198213.75</v>
      </c>
      <c r="J78" s="295">
        <f t="shared" si="15"/>
        <v>198213.75</v>
      </c>
      <c r="K78" s="295">
        <f t="shared" si="15"/>
        <v>198213.75</v>
      </c>
      <c r="L78" s="295">
        <f t="shared" si="15"/>
        <v>198213.75</v>
      </c>
      <c r="M78" s="295">
        <f t="shared" si="15"/>
        <v>198213.75</v>
      </c>
      <c r="N78" s="295">
        <f t="shared" si="15"/>
        <v>198213.75</v>
      </c>
      <c r="O78" s="295">
        <f t="shared" si="15"/>
        <v>198213.75</v>
      </c>
      <c r="P78" s="295">
        <f t="shared" si="15"/>
        <v>198213.75</v>
      </c>
      <c r="Q78" s="295">
        <f t="shared" si="15"/>
        <v>198213.75</v>
      </c>
      <c r="R78" s="295">
        <f t="shared" si="15"/>
        <v>198213.75</v>
      </c>
      <c r="S78" s="295">
        <f t="shared" si="15"/>
        <v>198213.75</v>
      </c>
      <c r="T78" s="295">
        <f t="shared" si="15"/>
        <v>198213.75</v>
      </c>
      <c r="U78" s="295">
        <f t="shared" si="15"/>
        <v>198213.75</v>
      </c>
      <c r="V78" s="295">
        <f t="shared" si="15"/>
        <v>198213.75</v>
      </c>
      <c r="W78" s="295" t="str">
        <f t="shared" si="15"/>
        <v/>
      </c>
      <c r="X78" s="290" t="str">
        <f t="shared" si="15"/>
        <v/>
      </c>
      <c r="Y78" s="290" t="str">
        <f t="shared" si="15"/>
        <v/>
      </c>
      <c r="Z78" s="290" t="str">
        <f t="shared" si="15"/>
        <v/>
      </c>
      <c r="AA78" s="290" t="str">
        <f t="shared" si="15"/>
        <v/>
      </c>
      <c r="AB78" s="290"/>
    </row>
    <row r="79" spans="1:28" ht="16.5" customHeight="1" x14ac:dyDescent="0.25">
      <c r="A79" s="274"/>
      <c r="B79" s="276" t="s">
        <v>1017</v>
      </c>
      <c r="C79" s="98">
        <f>IF(C77="","",C59)</f>
        <v>79285.5</v>
      </c>
      <c r="D79" s="98">
        <f t="shared" ref="D79:AA79" si="16">IF(D77="","",C79*(1+$C$71/100))</f>
        <v>79285.5</v>
      </c>
      <c r="E79" s="98">
        <f t="shared" si="16"/>
        <v>79285.5</v>
      </c>
      <c r="F79" s="98">
        <f t="shared" si="16"/>
        <v>79285.5</v>
      </c>
      <c r="G79" s="98">
        <f t="shared" si="16"/>
        <v>79285.5</v>
      </c>
      <c r="H79" s="98">
        <f t="shared" si="16"/>
        <v>79285.5</v>
      </c>
      <c r="I79" s="98">
        <f t="shared" si="16"/>
        <v>79285.5</v>
      </c>
      <c r="J79" s="98">
        <f t="shared" si="16"/>
        <v>79285.5</v>
      </c>
      <c r="K79" s="98">
        <f t="shared" si="16"/>
        <v>79285.5</v>
      </c>
      <c r="L79" s="296">
        <f t="shared" si="16"/>
        <v>79285.5</v>
      </c>
      <c r="M79" s="296">
        <f t="shared" si="16"/>
        <v>79285.5</v>
      </c>
      <c r="N79" s="296">
        <f t="shared" si="16"/>
        <v>79285.5</v>
      </c>
      <c r="O79" s="296">
        <f t="shared" si="16"/>
        <v>79285.5</v>
      </c>
      <c r="P79" s="296">
        <f t="shared" si="16"/>
        <v>79285.5</v>
      </c>
      <c r="Q79" s="296">
        <f t="shared" si="16"/>
        <v>79285.5</v>
      </c>
      <c r="R79" s="296">
        <f t="shared" si="16"/>
        <v>79285.5</v>
      </c>
      <c r="S79" s="296">
        <f t="shared" si="16"/>
        <v>79285.5</v>
      </c>
      <c r="T79" s="296">
        <f t="shared" si="16"/>
        <v>79285.5</v>
      </c>
      <c r="U79" s="296">
        <f t="shared" si="16"/>
        <v>79285.5</v>
      </c>
      <c r="V79" s="296">
        <f t="shared" si="16"/>
        <v>79285.5</v>
      </c>
      <c r="W79" s="296" t="str">
        <f t="shared" si="16"/>
        <v/>
      </c>
      <c r="X79" s="290" t="str">
        <f t="shared" si="16"/>
        <v/>
      </c>
      <c r="Y79" s="290" t="str">
        <f t="shared" si="16"/>
        <v/>
      </c>
      <c r="Z79" s="290" t="str">
        <f t="shared" si="16"/>
        <v/>
      </c>
      <c r="AA79" s="290" t="str">
        <f t="shared" si="16"/>
        <v/>
      </c>
      <c r="AB79" s="290"/>
    </row>
    <row r="80" spans="1:28" x14ac:dyDescent="0.25">
      <c r="A80" s="274"/>
      <c r="B80" s="276" t="s">
        <v>1018</v>
      </c>
      <c r="C80" s="98">
        <f>IF(C77="","",C60)</f>
        <v>198213.75</v>
      </c>
      <c r="D80" s="98">
        <f t="shared" ref="D80:AA80" si="17">IF(D77="","",C80*(1+$C$71/100))</f>
        <v>198213.75</v>
      </c>
      <c r="E80" s="98">
        <f t="shared" si="17"/>
        <v>198213.75</v>
      </c>
      <c r="F80" s="98">
        <f t="shared" si="17"/>
        <v>198213.75</v>
      </c>
      <c r="G80" s="98">
        <f t="shared" si="17"/>
        <v>198213.75</v>
      </c>
      <c r="H80" s="98">
        <f t="shared" si="17"/>
        <v>198213.75</v>
      </c>
      <c r="I80" s="98">
        <f t="shared" si="17"/>
        <v>198213.75</v>
      </c>
      <c r="J80" s="98">
        <f t="shared" si="17"/>
        <v>198213.75</v>
      </c>
      <c r="K80" s="98">
        <f t="shared" si="17"/>
        <v>198213.75</v>
      </c>
      <c r="L80" s="296">
        <f t="shared" si="17"/>
        <v>198213.75</v>
      </c>
      <c r="M80" s="296">
        <f t="shared" si="17"/>
        <v>198213.75</v>
      </c>
      <c r="N80" s="296">
        <f t="shared" si="17"/>
        <v>198213.75</v>
      </c>
      <c r="O80" s="296">
        <f t="shared" si="17"/>
        <v>198213.75</v>
      </c>
      <c r="P80" s="296">
        <f t="shared" si="17"/>
        <v>198213.75</v>
      </c>
      <c r="Q80" s="296">
        <f t="shared" si="17"/>
        <v>198213.75</v>
      </c>
      <c r="R80" s="296">
        <f t="shared" si="17"/>
        <v>198213.75</v>
      </c>
      <c r="S80" s="296">
        <f t="shared" si="17"/>
        <v>198213.75</v>
      </c>
      <c r="T80" s="296">
        <f t="shared" si="17"/>
        <v>198213.75</v>
      </c>
      <c r="U80" s="296">
        <f t="shared" si="17"/>
        <v>198213.75</v>
      </c>
      <c r="V80" s="296">
        <f t="shared" si="17"/>
        <v>198213.75</v>
      </c>
      <c r="W80" s="296" t="str">
        <f t="shared" si="17"/>
        <v/>
      </c>
      <c r="X80" s="290" t="str">
        <f t="shared" si="17"/>
        <v/>
      </c>
      <c r="Y80" s="290" t="str">
        <f t="shared" si="17"/>
        <v/>
      </c>
      <c r="Z80" s="290" t="str">
        <f t="shared" si="17"/>
        <v/>
      </c>
      <c r="AA80" s="290" t="str">
        <f t="shared" si="17"/>
        <v/>
      </c>
      <c r="AB80" s="290"/>
    </row>
    <row r="81" spans="1:28" x14ac:dyDescent="0.25">
      <c r="A81" s="274"/>
      <c r="B81" s="276" t="s">
        <v>1030</v>
      </c>
      <c r="C81" s="98">
        <f t="shared" ref="C81:AA81" si="18">IF(C77="","",C78*$C$62+C79*$C$63+C80*$C$64)</f>
        <v>23785650</v>
      </c>
      <c r="D81" s="98">
        <f t="shared" si="18"/>
        <v>23785650</v>
      </c>
      <c r="E81" s="98">
        <f t="shared" si="18"/>
        <v>23785650</v>
      </c>
      <c r="F81" s="98">
        <f t="shared" si="18"/>
        <v>23785650</v>
      </c>
      <c r="G81" s="98">
        <f t="shared" si="18"/>
        <v>23785650</v>
      </c>
      <c r="H81" s="98">
        <f t="shared" si="18"/>
        <v>23785650</v>
      </c>
      <c r="I81" s="98">
        <f t="shared" si="18"/>
        <v>23785650</v>
      </c>
      <c r="J81" s="98">
        <f t="shared" si="18"/>
        <v>23785650</v>
      </c>
      <c r="K81" s="98">
        <f t="shared" si="18"/>
        <v>23785650</v>
      </c>
      <c r="L81" s="296">
        <f t="shared" si="18"/>
        <v>23785650</v>
      </c>
      <c r="M81" s="296">
        <f t="shared" si="18"/>
        <v>23785650</v>
      </c>
      <c r="N81" s="296">
        <f t="shared" si="18"/>
        <v>23785650</v>
      </c>
      <c r="O81" s="296">
        <f t="shared" si="18"/>
        <v>23785650</v>
      </c>
      <c r="P81" s="296">
        <f t="shared" si="18"/>
        <v>23785650</v>
      </c>
      <c r="Q81" s="296">
        <f t="shared" si="18"/>
        <v>23785650</v>
      </c>
      <c r="R81" s="296">
        <f t="shared" si="18"/>
        <v>23785650</v>
      </c>
      <c r="S81" s="296">
        <f t="shared" si="18"/>
        <v>23785650</v>
      </c>
      <c r="T81" s="296">
        <f t="shared" si="18"/>
        <v>23785650</v>
      </c>
      <c r="U81" s="296">
        <f t="shared" si="18"/>
        <v>23785650</v>
      </c>
      <c r="V81" s="296">
        <f t="shared" si="18"/>
        <v>23785650</v>
      </c>
      <c r="W81" s="296" t="str">
        <f t="shared" si="18"/>
        <v/>
      </c>
      <c r="X81" s="290" t="str">
        <f t="shared" si="18"/>
        <v/>
      </c>
      <c r="Y81" s="290" t="str">
        <f t="shared" si="18"/>
        <v/>
      </c>
      <c r="Z81" s="290" t="str">
        <f t="shared" si="18"/>
        <v/>
      </c>
      <c r="AA81" s="290" t="str">
        <f t="shared" si="18"/>
        <v/>
      </c>
      <c r="AB81" s="290"/>
    </row>
    <row r="82" spans="1:28" x14ac:dyDescent="0.25">
      <c r="A82" s="274" t="s">
        <v>884</v>
      </c>
      <c r="B82" s="276" t="s">
        <v>1016</v>
      </c>
      <c r="C82" s="98">
        <f>IF(C77="","",C58)</f>
        <v>198213.75</v>
      </c>
      <c r="D82" s="98">
        <f t="shared" ref="D82:AA82" si="19">IF(D77="","",C82*(1+$C$72/100))</f>
        <v>198411.96374999997</v>
      </c>
      <c r="E82" s="98">
        <f t="shared" si="19"/>
        <v>198610.37571374993</v>
      </c>
      <c r="F82" s="98">
        <f t="shared" si="19"/>
        <v>198808.98608946367</v>
      </c>
      <c r="G82" s="98">
        <f t="shared" si="19"/>
        <v>199007.79507555312</v>
      </c>
      <c r="H82" s="98">
        <f t="shared" si="19"/>
        <v>199206.80287062866</v>
      </c>
      <c r="I82" s="98">
        <f t="shared" si="19"/>
        <v>199406.00967349927</v>
      </c>
      <c r="J82" s="98">
        <f t="shared" si="19"/>
        <v>199605.41568317276</v>
      </c>
      <c r="K82" s="98">
        <f t="shared" si="19"/>
        <v>199805.02109885591</v>
      </c>
      <c r="L82" s="296">
        <f t="shared" si="19"/>
        <v>200004.82611995476</v>
      </c>
      <c r="M82" s="296">
        <f t="shared" si="19"/>
        <v>200204.83094607468</v>
      </c>
      <c r="N82" s="296">
        <f t="shared" si="19"/>
        <v>200405.03577702073</v>
      </c>
      <c r="O82" s="296">
        <f t="shared" si="19"/>
        <v>200605.44081279772</v>
      </c>
      <c r="P82" s="296">
        <f t="shared" si="19"/>
        <v>200806.04625361049</v>
      </c>
      <c r="Q82" s="296">
        <f t="shared" si="19"/>
        <v>201006.85229986408</v>
      </c>
      <c r="R82" s="296">
        <f t="shared" si="19"/>
        <v>201207.85915216393</v>
      </c>
      <c r="S82" s="296">
        <f t="shared" si="19"/>
        <v>201409.06701131607</v>
      </c>
      <c r="T82" s="296">
        <f t="shared" si="19"/>
        <v>201610.47607832737</v>
      </c>
      <c r="U82" s="296">
        <f t="shared" si="19"/>
        <v>201812.08655440566</v>
      </c>
      <c r="V82" s="296">
        <f t="shared" si="19"/>
        <v>202013.89864096005</v>
      </c>
      <c r="W82" s="296" t="str">
        <f t="shared" si="19"/>
        <v/>
      </c>
      <c r="X82" s="290" t="str">
        <f t="shared" si="19"/>
        <v/>
      </c>
      <c r="Y82" s="290" t="str">
        <f t="shared" si="19"/>
        <v/>
      </c>
      <c r="Z82" s="290" t="str">
        <f t="shared" si="19"/>
        <v/>
      </c>
      <c r="AA82" s="290" t="str">
        <f t="shared" si="19"/>
        <v/>
      </c>
      <c r="AB82" s="290"/>
    </row>
    <row r="83" spans="1:28" x14ac:dyDescent="0.25">
      <c r="A83" s="274"/>
      <c r="B83" s="276" t="s">
        <v>1017</v>
      </c>
      <c r="C83" s="98">
        <f>IF(C77="","",C59)</f>
        <v>79285.5</v>
      </c>
      <c r="D83" s="98">
        <f t="shared" ref="D83:AA83" si="20">IF(D77="","",C83*(1+$C$72/100))</f>
        <v>79364.785499999998</v>
      </c>
      <c r="E83" s="98">
        <f t="shared" si="20"/>
        <v>79444.150285499985</v>
      </c>
      <c r="F83" s="98">
        <f t="shared" si="20"/>
        <v>79523.594435785475</v>
      </c>
      <c r="G83" s="98">
        <f t="shared" si="20"/>
        <v>79603.118030221245</v>
      </c>
      <c r="H83" s="98">
        <f t="shared" si="20"/>
        <v>79682.721148251454</v>
      </c>
      <c r="I83" s="98">
        <f t="shared" si="20"/>
        <v>79762.403869399699</v>
      </c>
      <c r="J83" s="98">
        <f t="shared" si="20"/>
        <v>79842.166273269089</v>
      </c>
      <c r="K83" s="98">
        <f t="shared" si="20"/>
        <v>79922.008439542347</v>
      </c>
      <c r="L83" s="296">
        <f t="shared" si="20"/>
        <v>80001.930447981882</v>
      </c>
      <c r="M83" s="296">
        <f t="shared" si="20"/>
        <v>80081.932378429861</v>
      </c>
      <c r="N83" s="296">
        <f t="shared" si="20"/>
        <v>80162.014310808285</v>
      </c>
      <c r="O83" s="296">
        <f t="shared" si="20"/>
        <v>80242.176325119086</v>
      </c>
      <c r="P83" s="296">
        <f t="shared" si="20"/>
        <v>80322.41850144419</v>
      </c>
      <c r="Q83" s="296">
        <f t="shared" si="20"/>
        <v>80402.740919945631</v>
      </c>
      <c r="R83" s="296">
        <f t="shared" si="20"/>
        <v>80483.143660865564</v>
      </c>
      <c r="S83" s="296">
        <f t="shared" si="20"/>
        <v>80563.626804526415</v>
      </c>
      <c r="T83" s="296">
        <f t="shared" si="20"/>
        <v>80644.190431330935</v>
      </c>
      <c r="U83" s="296">
        <f t="shared" si="20"/>
        <v>80724.83462176226</v>
      </c>
      <c r="V83" s="296">
        <f t="shared" si="20"/>
        <v>80805.559456384013</v>
      </c>
      <c r="W83" s="296" t="str">
        <f t="shared" si="20"/>
        <v/>
      </c>
      <c r="X83" s="290" t="str">
        <f t="shared" si="20"/>
        <v/>
      </c>
      <c r="Y83" s="290" t="str">
        <f t="shared" si="20"/>
        <v/>
      </c>
      <c r="Z83" s="290" t="str">
        <f t="shared" si="20"/>
        <v/>
      </c>
      <c r="AA83" s="290" t="str">
        <f t="shared" si="20"/>
        <v/>
      </c>
      <c r="AB83" s="290"/>
    </row>
    <row r="84" spans="1:28" x14ac:dyDescent="0.25">
      <c r="A84" s="274"/>
      <c r="B84" s="276" t="s">
        <v>1018</v>
      </c>
      <c r="C84" s="98">
        <f>IF(C77="","",C60)</f>
        <v>198213.75</v>
      </c>
      <c r="D84" s="98">
        <f t="shared" ref="D84:AA84" si="21">IF(D77="","",C84*(1+$C$72/100))</f>
        <v>198411.96374999997</v>
      </c>
      <c r="E84" s="98">
        <f t="shared" si="21"/>
        <v>198610.37571374993</v>
      </c>
      <c r="F84" s="98">
        <f t="shared" si="21"/>
        <v>198808.98608946367</v>
      </c>
      <c r="G84" s="98">
        <f t="shared" si="21"/>
        <v>199007.79507555312</v>
      </c>
      <c r="H84" s="98">
        <f t="shared" si="21"/>
        <v>199206.80287062866</v>
      </c>
      <c r="I84" s="98">
        <f t="shared" si="21"/>
        <v>199406.00967349927</v>
      </c>
      <c r="J84" s="98">
        <f t="shared" si="21"/>
        <v>199605.41568317276</v>
      </c>
      <c r="K84" s="98">
        <f t="shared" si="21"/>
        <v>199805.02109885591</v>
      </c>
      <c r="L84" s="296">
        <f t="shared" si="21"/>
        <v>200004.82611995476</v>
      </c>
      <c r="M84" s="296">
        <f t="shared" si="21"/>
        <v>200204.83094607468</v>
      </c>
      <c r="N84" s="296">
        <f t="shared" si="21"/>
        <v>200405.03577702073</v>
      </c>
      <c r="O84" s="296">
        <f t="shared" si="21"/>
        <v>200605.44081279772</v>
      </c>
      <c r="P84" s="296">
        <f t="shared" si="21"/>
        <v>200806.04625361049</v>
      </c>
      <c r="Q84" s="296">
        <f t="shared" si="21"/>
        <v>201006.85229986408</v>
      </c>
      <c r="R84" s="296">
        <f t="shared" si="21"/>
        <v>201207.85915216393</v>
      </c>
      <c r="S84" s="296">
        <f t="shared" si="21"/>
        <v>201409.06701131607</v>
      </c>
      <c r="T84" s="296">
        <f t="shared" si="21"/>
        <v>201610.47607832737</v>
      </c>
      <c r="U84" s="296">
        <f t="shared" si="21"/>
        <v>201812.08655440566</v>
      </c>
      <c r="V84" s="296">
        <f t="shared" si="21"/>
        <v>202013.89864096005</v>
      </c>
      <c r="W84" s="296" t="str">
        <f t="shared" si="21"/>
        <v/>
      </c>
      <c r="X84" s="290" t="str">
        <f t="shared" si="21"/>
        <v/>
      </c>
      <c r="Y84" s="290" t="str">
        <f t="shared" si="21"/>
        <v/>
      </c>
      <c r="Z84" s="290" t="str">
        <f t="shared" si="21"/>
        <v/>
      </c>
      <c r="AA84" s="290" t="str">
        <f t="shared" si="21"/>
        <v/>
      </c>
      <c r="AB84" s="290"/>
    </row>
    <row r="85" spans="1:28" x14ac:dyDescent="0.25">
      <c r="A85" s="274"/>
      <c r="B85" s="276" t="s">
        <v>1030</v>
      </c>
      <c r="C85" s="98">
        <f t="shared" ref="C85:AA85" si="22">IF(C77="","",C82*$C$62*(1-$C$66/100)+C83*$C$63*(1-$C$68/100)+C84*$C$64*(1-$C$69/100))</f>
        <v>22893688.125</v>
      </c>
      <c r="D85" s="98">
        <f t="shared" si="22"/>
        <v>22916581.813124992</v>
      </c>
      <c r="E85" s="98">
        <f t="shared" si="22"/>
        <v>22939498.394938119</v>
      </c>
      <c r="F85" s="98">
        <f t="shared" si="22"/>
        <v>22962437.893333055</v>
      </c>
      <c r="G85" s="98">
        <f t="shared" si="22"/>
        <v>22985400.331226386</v>
      </c>
      <c r="H85" s="98">
        <f t="shared" si="22"/>
        <v>23008385.731557608</v>
      </c>
      <c r="I85" s="98">
        <f t="shared" si="22"/>
        <v>23031394.117289167</v>
      </c>
      <c r="J85" s="98">
        <f t="shared" si="22"/>
        <v>23054425.511406451</v>
      </c>
      <c r="K85" s="98">
        <f t="shared" si="22"/>
        <v>23077479.936917856</v>
      </c>
      <c r="L85" s="296">
        <f t="shared" si="22"/>
        <v>23100557.416854776</v>
      </c>
      <c r="M85" s="296">
        <f t="shared" si="22"/>
        <v>23123657.974271625</v>
      </c>
      <c r="N85" s="296">
        <f t="shared" si="22"/>
        <v>23146781.632245895</v>
      </c>
      <c r="O85" s="296">
        <f t="shared" si="22"/>
        <v>23169928.413878135</v>
      </c>
      <c r="P85" s="296">
        <f t="shared" si="22"/>
        <v>23193098.342292011</v>
      </c>
      <c r="Q85" s="296">
        <f t="shared" si="22"/>
        <v>23216291.440634299</v>
      </c>
      <c r="R85" s="296">
        <f t="shared" si="22"/>
        <v>23239507.732074931</v>
      </c>
      <c r="S85" s="296">
        <f t="shared" si="22"/>
        <v>23262747.23980701</v>
      </c>
      <c r="T85" s="296">
        <f t="shared" si="22"/>
        <v>23286009.987046808</v>
      </c>
      <c r="U85" s="296">
        <f t="shared" si="22"/>
        <v>23309295.997033849</v>
      </c>
      <c r="V85" s="296">
        <f t="shared" si="22"/>
        <v>23332605.293030884</v>
      </c>
      <c r="W85" s="296" t="str">
        <f t="shared" si="22"/>
        <v/>
      </c>
      <c r="X85" s="290" t="str">
        <f t="shared" si="22"/>
        <v/>
      </c>
      <c r="Y85" s="290" t="str">
        <f t="shared" si="22"/>
        <v/>
      </c>
      <c r="Z85" s="290" t="str">
        <f t="shared" si="22"/>
        <v/>
      </c>
      <c r="AA85" s="290" t="str">
        <f t="shared" si="22"/>
        <v/>
      </c>
      <c r="AB85" s="290"/>
    </row>
    <row r="86" spans="1:28" ht="16.5" customHeight="1" x14ac:dyDescent="0.25">
      <c r="A86" s="274" t="s">
        <v>904</v>
      </c>
      <c r="B86" s="276" t="s">
        <v>1016</v>
      </c>
      <c r="C86" s="98">
        <f>IF(C77="","",C58)</f>
        <v>198213.75</v>
      </c>
      <c r="D86" s="98">
        <f t="shared" ref="D86:AA86" si="23">IF(D77="","",C86*(1+$C$73/100))</f>
        <v>199204.81874999998</v>
      </c>
      <c r="E86" s="98">
        <f t="shared" si="23"/>
        <v>200200.84284374997</v>
      </c>
      <c r="F86" s="98">
        <f t="shared" si="23"/>
        <v>201201.8470579687</v>
      </c>
      <c r="G86" s="98">
        <f t="shared" si="23"/>
        <v>202207.85629325852</v>
      </c>
      <c r="H86" s="98">
        <f t="shared" si="23"/>
        <v>203218.8955747248</v>
      </c>
      <c r="I86" s="98">
        <f t="shared" si="23"/>
        <v>204234.99005259841</v>
      </c>
      <c r="J86" s="98">
        <f t="shared" si="23"/>
        <v>205256.16500286138</v>
      </c>
      <c r="K86" s="98">
        <f t="shared" si="23"/>
        <v>206282.44582787566</v>
      </c>
      <c r="L86" s="296">
        <f t="shared" si="23"/>
        <v>207313.85805701502</v>
      </c>
      <c r="M86" s="296">
        <f t="shared" si="23"/>
        <v>208350.42734730008</v>
      </c>
      <c r="N86" s="296">
        <f t="shared" si="23"/>
        <v>209392.17948403655</v>
      </c>
      <c r="O86" s="296">
        <f t="shared" si="23"/>
        <v>210439.1403814567</v>
      </c>
      <c r="P86" s="296">
        <f t="shared" si="23"/>
        <v>211491.33608336397</v>
      </c>
      <c r="Q86" s="296">
        <f t="shared" si="23"/>
        <v>212548.79276378077</v>
      </c>
      <c r="R86" s="296">
        <f t="shared" si="23"/>
        <v>213611.53672759965</v>
      </c>
      <c r="S86" s="296">
        <f t="shared" si="23"/>
        <v>214679.59441123763</v>
      </c>
      <c r="T86" s="296">
        <f t="shared" si="23"/>
        <v>215752.99238329381</v>
      </c>
      <c r="U86" s="296">
        <f t="shared" si="23"/>
        <v>216831.75734521027</v>
      </c>
      <c r="V86" s="296">
        <f t="shared" si="23"/>
        <v>217915.9161319363</v>
      </c>
      <c r="W86" s="296" t="str">
        <f t="shared" si="23"/>
        <v/>
      </c>
      <c r="X86" s="290" t="str">
        <f t="shared" si="23"/>
        <v/>
      </c>
      <c r="Y86" s="290" t="str">
        <f t="shared" si="23"/>
        <v/>
      </c>
      <c r="Z86" s="290" t="str">
        <f t="shared" si="23"/>
        <v/>
      </c>
      <c r="AA86" s="290" t="str">
        <f t="shared" si="23"/>
        <v/>
      </c>
      <c r="AB86" s="290"/>
    </row>
    <row r="87" spans="1:28" ht="17.100000000000001" customHeight="1" x14ac:dyDescent="0.25">
      <c r="A87" s="274"/>
      <c r="B87" s="276" t="s">
        <v>1017</v>
      </c>
      <c r="C87" s="98">
        <f>IF(C77="","",C59)</f>
        <v>79285.5</v>
      </c>
      <c r="D87" s="98">
        <f t="shared" ref="D87:AA87" si="24">IF(D77="","",C87*(1+$C$73/100))</f>
        <v>79681.927499999991</v>
      </c>
      <c r="E87" s="98">
        <f t="shared" si="24"/>
        <v>80080.337137499984</v>
      </c>
      <c r="F87" s="98">
        <f t="shared" si="24"/>
        <v>80480.738823187479</v>
      </c>
      <c r="G87" s="98">
        <f t="shared" si="24"/>
        <v>80883.142517303408</v>
      </c>
      <c r="H87" s="98">
        <f t="shared" si="24"/>
        <v>81287.55822988991</v>
      </c>
      <c r="I87" s="98">
        <f t="shared" si="24"/>
        <v>81693.996021039347</v>
      </c>
      <c r="J87" s="98">
        <f t="shared" si="24"/>
        <v>82102.466001144538</v>
      </c>
      <c r="K87" s="98">
        <f t="shared" si="24"/>
        <v>82512.978331150254</v>
      </c>
      <c r="L87" s="296">
        <f t="shared" si="24"/>
        <v>82925.543222805994</v>
      </c>
      <c r="M87" s="296">
        <f t="shared" si="24"/>
        <v>83340.170938920011</v>
      </c>
      <c r="N87" s="296">
        <f t="shared" si="24"/>
        <v>83756.871793614599</v>
      </c>
      <c r="O87" s="296">
        <f t="shared" si="24"/>
        <v>84175.656152582669</v>
      </c>
      <c r="P87" s="296">
        <f t="shared" si="24"/>
        <v>84596.534433345572</v>
      </c>
      <c r="Q87" s="296">
        <f t="shared" si="24"/>
        <v>85019.517105512292</v>
      </c>
      <c r="R87" s="296">
        <f t="shared" si="24"/>
        <v>85444.614691039838</v>
      </c>
      <c r="S87" s="296">
        <f t="shared" si="24"/>
        <v>85871.837764495023</v>
      </c>
      <c r="T87" s="296">
        <f t="shared" si="24"/>
        <v>86301.196953317485</v>
      </c>
      <c r="U87" s="296">
        <f t="shared" si="24"/>
        <v>86732.702938084069</v>
      </c>
      <c r="V87" s="296">
        <f t="shared" si="24"/>
        <v>87166.366452774484</v>
      </c>
      <c r="W87" s="296" t="str">
        <f t="shared" si="24"/>
        <v/>
      </c>
      <c r="X87" s="290" t="str">
        <f t="shared" si="24"/>
        <v/>
      </c>
      <c r="Y87" s="290" t="str">
        <f t="shared" si="24"/>
        <v/>
      </c>
      <c r="Z87" s="290" t="str">
        <f t="shared" si="24"/>
        <v/>
      </c>
      <c r="AA87" s="290" t="str">
        <f t="shared" si="24"/>
        <v/>
      </c>
      <c r="AB87" s="290"/>
    </row>
    <row r="88" spans="1:28" x14ac:dyDescent="0.25">
      <c r="A88" s="274"/>
      <c r="B88" s="276" t="s">
        <v>1018</v>
      </c>
      <c r="C88" s="98">
        <f>IF(C77="","",C60)</f>
        <v>198213.75</v>
      </c>
      <c r="D88" s="98">
        <f t="shared" ref="D88:AA88" si="25">IF(D77="","",C88*(1+$C$73/100))</f>
        <v>199204.81874999998</v>
      </c>
      <c r="E88" s="98">
        <f t="shared" si="25"/>
        <v>200200.84284374997</v>
      </c>
      <c r="F88" s="98">
        <f t="shared" si="25"/>
        <v>201201.8470579687</v>
      </c>
      <c r="G88" s="98">
        <f t="shared" si="25"/>
        <v>202207.85629325852</v>
      </c>
      <c r="H88" s="98">
        <f t="shared" si="25"/>
        <v>203218.8955747248</v>
      </c>
      <c r="I88" s="98">
        <f t="shared" si="25"/>
        <v>204234.99005259841</v>
      </c>
      <c r="J88" s="98">
        <f t="shared" si="25"/>
        <v>205256.16500286138</v>
      </c>
      <c r="K88" s="98">
        <f t="shared" si="25"/>
        <v>206282.44582787566</v>
      </c>
      <c r="L88" s="296">
        <f t="shared" si="25"/>
        <v>207313.85805701502</v>
      </c>
      <c r="M88" s="296">
        <f t="shared" si="25"/>
        <v>208350.42734730008</v>
      </c>
      <c r="N88" s="296">
        <f t="shared" si="25"/>
        <v>209392.17948403655</v>
      </c>
      <c r="O88" s="296">
        <f t="shared" si="25"/>
        <v>210439.1403814567</v>
      </c>
      <c r="P88" s="296">
        <f t="shared" si="25"/>
        <v>211491.33608336397</v>
      </c>
      <c r="Q88" s="296">
        <f t="shared" si="25"/>
        <v>212548.79276378077</v>
      </c>
      <c r="R88" s="296">
        <f t="shared" si="25"/>
        <v>213611.53672759965</v>
      </c>
      <c r="S88" s="296">
        <f t="shared" si="25"/>
        <v>214679.59441123763</v>
      </c>
      <c r="T88" s="296">
        <f t="shared" si="25"/>
        <v>215752.99238329381</v>
      </c>
      <c r="U88" s="296">
        <f t="shared" si="25"/>
        <v>216831.75734521027</v>
      </c>
      <c r="V88" s="296">
        <f t="shared" si="25"/>
        <v>217915.9161319363</v>
      </c>
      <c r="W88" s="296" t="str">
        <f t="shared" si="25"/>
        <v/>
      </c>
      <c r="X88" s="290" t="str">
        <f t="shared" si="25"/>
        <v/>
      </c>
      <c r="Y88" s="290" t="str">
        <f t="shared" si="25"/>
        <v/>
      </c>
      <c r="Z88" s="290" t="str">
        <f t="shared" si="25"/>
        <v/>
      </c>
      <c r="AA88" s="290" t="str">
        <f t="shared" si="25"/>
        <v/>
      </c>
      <c r="AB88" s="290"/>
    </row>
    <row r="89" spans="1:28" x14ac:dyDescent="0.25">
      <c r="A89" s="274"/>
      <c r="B89" s="277" t="s">
        <v>1030</v>
      </c>
      <c r="C89" s="107">
        <f t="shared" ref="C89:AA89" si="26">IF(C77="","",C86*$C$62*(1-$C$66/100)+C87*$C$63*(1-$C$68/100)+C88*$C$64*(1-$C$69/100))</f>
        <v>22893688.125</v>
      </c>
      <c r="D89" s="107">
        <f t="shared" si="26"/>
        <v>23008156.565624997</v>
      </c>
      <c r="E89" s="107">
        <f t="shared" si="26"/>
        <v>23123197.348453119</v>
      </c>
      <c r="F89" s="107">
        <f t="shared" si="26"/>
        <v>23238813.335195385</v>
      </c>
      <c r="G89" s="107">
        <f t="shared" si="26"/>
        <v>23355007.401871357</v>
      </c>
      <c r="H89" s="107">
        <f t="shared" si="26"/>
        <v>23471782.438880712</v>
      </c>
      <c r="I89" s="107">
        <f t="shared" si="26"/>
        <v>23589141.351075113</v>
      </c>
      <c r="J89" s="107">
        <f t="shared" si="26"/>
        <v>23707087.05783049</v>
      </c>
      <c r="K89" s="107">
        <f t="shared" si="26"/>
        <v>23825622.493119638</v>
      </c>
      <c r="L89" s="107">
        <f t="shared" si="26"/>
        <v>23944750.605585232</v>
      </c>
      <c r="M89" s="107">
        <f t="shared" si="26"/>
        <v>24064474.35861316</v>
      </c>
      <c r="N89" s="107">
        <f t="shared" si="26"/>
        <v>24184796.730406225</v>
      </c>
      <c r="O89" s="107">
        <f t="shared" si="26"/>
        <v>24305720.714058246</v>
      </c>
      <c r="P89" s="107">
        <f t="shared" si="26"/>
        <v>24427249.317628536</v>
      </c>
      <c r="Q89" s="107">
        <f t="shared" si="26"/>
        <v>24549385.564216677</v>
      </c>
      <c r="R89" s="107">
        <f t="shared" si="26"/>
        <v>24672132.492037758</v>
      </c>
      <c r="S89" s="107">
        <f t="shared" si="26"/>
        <v>24795493.154497944</v>
      </c>
      <c r="T89" s="107">
        <f t="shared" si="26"/>
        <v>24919470.620270431</v>
      </c>
      <c r="U89" s="107">
        <f t="shared" si="26"/>
        <v>25044067.973371781</v>
      </c>
      <c r="V89" s="107">
        <f t="shared" si="26"/>
        <v>25169288.313238643</v>
      </c>
      <c r="W89" s="107" t="str">
        <f t="shared" si="26"/>
        <v/>
      </c>
      <c r="X89" s="290" t="str">
        <f t="shared" si="26"/>
        <v/>
      </c>
      <c r="Y89" s="290" t="str">
        <f t="shared" si="26"/>
        <v/>
      </c>
      <c r="Z89" s="290" t="str">
        <f t="shared" si="26"/>
        <v/>
      </c>
      <c r="AA89" s="290" t="str">
        <f t="shared" si="26"/>
        <v/>
      </c>
      <c r="AB89" s="290"/>
    </row>
    <row r="92" spans="1:28" s="193" customFormat="1" ht="30" x14ac:dyDescent="0.25">
      <c r="B92" s="287" t="s">
        <v>1324</v>
      </c>
      <c r="C92" s="245"/>
      <c r="D92" s="245"/>
      <c r="E92" s="245"/>
      <c r="F92" s="245"/>
    </row>
    <row r="93" spans="1:28" x14ac:dyDescent="0.25">
      <c r="B93" s="112"/>
    </row>
    <row r="94" spans="1:28" ht="80.45" customHeight="1" x14ac:dyDescent="0.25">
      <c r="B94" s="288" t="s">
        <v>554</v>
      </c>
      <c r="C94" s="140" t="s">
        <v>1031</v>
      </c>
      <c r="D94" s="140"/>
      <c r="E94" s="140"/>
    </row>
    <row r="95" spans="1:28" x14ac:dyDescent="0.25">
      <c r="B95" s="112"/>
    </row>
    <row r="96" spans="1:28" x14ac:dyDescent="0.25">
      <c r="B96" s="112"/>
    </row>
    <row r="97" spans="1:28" ht="15.95" customHeight="1" x14ac:dyDescent="0.25">
      <c r="A97" s="86"/>
      <c r="B97" s="237" t="s">
        <v>29</v>
      </c>
      <c r="C97" s="237"/>
      <c r="D97" s="237"/>
      <c r="E97" s="237"/>
      <c r="F97" s="237"/>
      <c r="G97" s="237"/>
      <c r="H97" s="237"/>
      <c r="I97" s="237"/>
      <c r="J97" s="237"/>
      <c r="K97" s="237"/>
      <c r="L97" s="237"/>
    </row>
    <row r="98" spans="1:28" x14ac:dyDescent="0.25">
      <c r="A98" s="86"/>
      <c r="B98" s="238" t="s">
        <v>907</v>
      </c>
      <c r="C98" s="239"/>
      <c r="D98" s="239"/>
      <c r="E98" s="239"/>
      <c r="F98" s="239"/>
      <c r="G98" s="239"/>
      <c r="H98" s="239"/>
      <c r="I98" s="239"/>
      <c r="J98" s="239"/>
      <c r="K98" s="239"/>
      <c r="L98" s="239"/>
    </row>
    <row r="99" spans="1:28" x14ac:dyDescent="0.25">
      <c r="A99" s="86"/>
      <c r="B99" s="240" t="s">
        <v>26</v>
      </c>
      <c r="C99" s="240">
        <f>C$21</f>
        <v>2021</v>
      </c>
      <c r="D99" s="240">
        <f t="shared" ref="D99:AA99" si="27">D$21</f>
        <v>2022</v>
      </c>
      <c r="E99" s="240">
        <f t="shared" si="27"/>
        <v>2023</v>
      </c>
      <c r="F99" s="240">
        <f t="shared" si="27"/>
        <v>2024</v>
      </c>
      <c r="G99" s="240">
        <f t="shared" si="27"/>
        <v>2025</v>
      </c>
      <c r="H99" s="240">
        <f t="shared" si="27"/>
        <v>2026</v>
      </c>
      <c r="I99" s="240">
        <f t="shared" si="27"/>
        <v>2027</v>
      </c>
      <c r="J99" s="240">
        <f t="shared" si="27"/>
        <v>2028</v>
      </c>
      <c r="K99" s="240">
        <f t="shared" si="27"/>
        <v>2029</v>
      </c>
      <c r="L99" s="240">
        <f t="shared" si="27"/>
        <v>2030</v>
      </c>
      <c r="M99" s="240">
        <f t="shared" si="27"/>
        <v>2031</v>
      </c>
      <c r="N99" s="240">
        <f t="shared" si="27"/>
        <v>2032</v>
      </c>
      <c r="O99" s="240">
        <f t="shared" si="27"/>
        <v>2033</v>
      </c>
      <c r="P99" s="240">
        <f t="shared" si="27"/>
        <v>2034</v>
      </c>
      <c r="Q99" s="240">
        <f t="shared" si="27"/>
        <v>2035</v>
      </c>
      <c r="R99" s="240">
        <f t="shared" si="27"/>
        <v>2036</v>
      </c>
      <c r="S99" s="240">
        <f t="shared" si="27"/>
        <v>2037</v>
      </c>
      <c r="T99" s="240">
        <f t="shared" si="27"/>
        <v>2038</v>
      </c>
      <c r="U99" s="240">
        <f t="shared" si="27"/>
        <v>2039</v>
      </c>
      <c r="V99" s="240">
        <f t="shared" si="27"/>
        <v>2040</v>
      </c>
      <c r="W99" s="240" t="str">
        <f t="shared" si="27"/>
        <v/>
      </c>
      <c r="X99" s="240" t="str">
        <f t="shared" si="27"/>
        <v/>
      </c>
      <c r="Y99" s="240" t="str">
        <f t="shared" si="27"/>
        <v/>
      </c>
      <c r="Z99" s="240" t="str">
        <f t="shared" si="27"/>
        <v/>
      </c>
      <c r="AA99" s="240" t="str">
        <f t="shared" si="27"/>
        <v/>
      </c>
      <c r="AB99" s="240"/>
    </row>
    <row r="100" spans="1:28" x14ac:dyDescent="0.25">
      <c r="A100" s="86"/>
      <c r="B100" s="286" t="s">
        <v>157</v>
      </c>
      <c r="C100" s="290">
        <f t="shared" ref="C100:AA100" si="28">IF(C99="","",(C121+C122))</f>
        <v>3500000</v>
      </c>
      <c r="D100" s="290">
        <f t="shared" si="28"/>
        <v>3500000</v>
      </c>
      <c r="E100" s="290">
        <f t="shared" si="28"/>
        <v>3500000</v>
      </c>
      <c r="F100" s="290">
        <f t="shared" si="28"/>
        <v>3500000</v>
      </c>
      <c r="G100" s="290">
        <f t="shared" si="28"/>
        <v>3500000</v>
      </c>
      <c r="H100" s="290">
        <f t="shared" si="28"/>
        <v>3500000</v>
      </c>
      <c r="I100" s="290">
        <f t="shared" si="28"/>
        <v>3500000</v>
      </c>
      <c r="J100" s="290">
        <f t="shared" si="28"/>
        <v>3500000</v>
      </c>
      <c r="K100" s="290">
        <f t="shared" si="28"/>
        <v>3500000</v>
      </c>
      <c r="L100" s="290">
        <f t="shared" si="28"/>
        <v>3500000</v>
      </c>
      <c r="M100" s="290">
        <f t="shared" si="28"/>
        <v>3500000</v>
      </c>
      <c r="N100" s="290">
        <f t="shared" si="28"/>
        <v>3500000</v>
      </c>
      <c r="O100" s="290">
        <f t="shared" si="28"/>
        <v>3500000</v>
      </c>
      <c r="P100" s="290">
        <f t="shared" si="28"/>
        <v>3500000</v>
      </c>
      <c r="Q100" s="290">
        <f t="shared" si="28"/>
        <v>3500000</v>
      </c>
      <c r="R100" s="290">
        <f t="shared" si="28"/>
        <v>3500000</v>
      </c>
      <c r="S100" s="290">
        <f t="shared" si="28"/>
        <v>3500000</v>
      </c>
      <c r="T100" s="290">
        <f t="shared" si="28"/>
        <v>3500000</v>
      </c>
      <c r="U100" s="290">
        <f t="shared" si="28"/>
        <v>3500000</v>
      </c>
      <c r="V100" s="290">
        <f t="shared" si="28"/>
        <v>3500000</v>
      </c>
      <c r="W100" s="290" t="str">
        <f t="shared" si="28"/>
        <v/>
      </c>
      <c r="X100" s="290" t="str">
        <f t="shared" si="28"/>
        <v/>
      </c>
      <c r="Y100" s="290" t="str">
        <f t="shared" si="28"/>
        <v/>
      </c>
      <c r="Z100" s="290" t="str">
        <f t="shared" si="28"/>
        <v/>
      </c>
      <c r="AA100" s="290" t="str">
        <f t="shared" si="28"/>
        <v/>
      </c>
      <c r="AB100" s="290"/>
    </row>
    <row r="101" spans="1:28" x14ac:dyDescent="0.25">
      <c r="A101" s="86"/>
      <c r="B101" s="286" t="s">
        <v>890</v>
      </c>
      <c r="C101" s="290">
        <f t="shared" ref="C101:AA101" si="29">IF(C77="","",(C123+C124))</f>
        <v>3325000</v>
      </c>
      <c r="D101" s="290">
        <f t="shared" si="29"/>
        <v>3158750</v>
      </c>
      <c r="E101" s="290">
        <f t="shared" si="29"/>
        <v>3000812.5</v>
      </c>
      <c r="F101" s="290">
        <f t="shared" si="29"/>
        <v>2850771.875</v>
      </c>
      <c r="G101" s="290">
        <f t="shared" si="29"/>
        <v>2708233.28125</v>
      </c>
      <c r="H101" s="290">
        <f t="shared" si="29"/>
        <v>2572821.6171875</v>
      </c>
      <c r="I101" s="290">
        <f t="shared" si="29"/>
        <v>2444180.5363281248</v>
      </c>
      <c r="J101" s="290">
        <f t="shared" si="29"/>
        <v>2321971.5095117185</v>
      </c>
      <c r="K101" s="290">
        <f t="shared" si="29"/>
        <v>2205872.9340361324</v>
      </c>
      <c r="L101" s="290">
        <f t="shared" si="29"/>
        <v>2095579.2873343257</v>
      </c>
      <c r="M101" s="290">
        <f t="shared" si="29"/>
        <v>1990800.3229676094</v>
      </c>
      <c r="N101" s="290">
        <f t="shared" si="29"/>
        <v>1891260.3068192287</v>
      </c>
      <c r="O101" s="290">
        <f t="shared" si="29"/>
        <v>1796697.2914782672</v>
      </c>
      <c r="P101" s="290">
        <f t="shared" si="29"/>
        <v>1706862.4269043535</v>
      </c>
      <c r="Q101" s="290">
        <f t="shared" si="29"/>
        <v>1621519.3055591357</v>
      </c>
      <c r="R101" s="290">
        <f t="shared" si="29"/>
        <v>1540443.3402811787</v>
      </c>
      <c r="S101" s="290">
        <f t="shared" si="29"/>
        <v>1463421.1732671198</v>
      </c>
      <c r="T101" s="290">
        <f t="shared" si="29"/>
        <v>1390250.1146037637</v>
      </c>
      <c r="U101" s="290">
        <f t="shared" si="29"/>
        <v>1320737.6088735755</v>
      </c>
      <c r="V101" s="290">
        <f t="shared" si="29"/>
        <v>1254700.7284298968</v>
      </c>
      <c r="W101" s="290" t="str">
        <f t="shared" si="29"/>
        <v/>
      </c>
      <c r="X101" s="290" t="str">
        <f t="shared" si="29"/>
        <v/>
      </c>
      <c r="Y101" s="290" t="str">
        <f t="shared" si="29"/>
        <v/>
      </c>
      <c r="Z101" s="290" t="str">
        <f t="shared" si="29"/>
        <v/>
      </c>
      <c r="AA101" s="290" t="str">
        <f t="shared" si="29"/>
        <v/>
      </c>
      <c r="AB101" s="290"/>
    </row>
    <row r="102" spans="1:28" x14ac:dyDescent="0.25">
      <c r="A102" s="86"/>
      <c r="B102" s="286" t="s">
        <v>891</v>
      </c>
      <c r="C102" s="290">
        <f t="shared" ref="C102:AA102" si="30">IF(C77="","",(C125+C126))</f>
        <v>3150000</v>
      </c>
      <c r="D102" s="290">
        <f t="shared" si="30"/>
        <v>2992500</v>
      </c>
      <c r="E102" s="290">
        <f t="shared" si="30"/>
        <v>2842875</v>
      </c>
      <c r="F102" s="290">
        <f t="shared" si="30"/>
        <v>2700731.25</v>
      </c>
      <c r="G102" s="290">
        <f t="shared" si="30"/>
        <v>2565694.6875</v>
      </c>
      <c r="H102" s="290">
        <f t="shared" si="30"/>
        <v>2437409.953125</v>
      </c>
      <c r="I102" s="290">
        <f t="shared" si="30"/>
        <v>2315539.4554687501</v>
      </c>
      <c r="J102" s="290">
        <f t="shared" si="30"/>
        <v>2199762.4826953122</v>
      </c>
      <c r="K102" s="290">
        <f t="shared" si="30"/>
        <v>2089774.3585605468</v>
      </c>
      <c r="L102" s="290">
        <f t="shared" si="30"/>
        <v>1985285.6406325195</v>
      </c>
      <c r="M102" s="290">
        <f t="shared" si="30"/>
        <v>1886021.3586008931</v>
      </c>
      <c r="N102" s="290">
        <f t="shared" si="30"/>
        <v>1791720.2906708485</v>
      </c>
      <c r="O102" s="290">
        <f t="shared" si="30"/>
        <v>1702134.2761373059</v>
      </c>
      <c r="P102" s="290">
        <f t="shared" si="30"/>
        <v>1617027.5623304406</v>
      </c>
      <c r="Q102" s="290">
        <f t="shared" si="30"/>
        <v>1536176.1842139182</v>
      </c>
      <c r="R102" s="290">
        <f t="shared" si="30"/>
        <v>1459367.3750032224</v>
      </c>
      <c r="S102" s="290">
        <f t="shared" si="30"/>
        <v>1386399.0062530609</v>
      </c>
      <c r="T102" s="290">
        <f t="shared" si="30"/>
        <v>1317079.0559404078</v>
      </c>
      <c r="U102" s="290">
        <f t="shared" si="30"/>
        <v>1251225.1031433875</v>
      </c>
      <c r="V102" s="290">
        <f t="shared" si="30"/>
        <v>1188663.8479862178</v>
      </c>
      <c r="W102" s="290" t="str">
        <f t="shared" si="30"/>
        <v/>
      </c>
      <c r="X102" s="290" t="str">
        <f t="shared" si="30"/>
        <v/>
      </c>
      <c r="Y102" s="290" t="str">
        <f t="shared" si="30"/>
        <v/>
      </c>
      <c r="Z102" s="290" t="str">
        <f t="shared" si="30"/>
        <v/>
      </c>
      <c r="AA102" s="290" t="str">
        <f t="shared" si="30"/>
        <v/>
      </c>
      <c r="AB102" s="290"/>
    </row>
    <row r="103" spans="1:28" x14ac:dyDescent="0.25">
      <c r="A103" s="86"/>
      <c r="B103" s="286" t="s">
        <v>892</v>
      </c>
      <c r="C103" s="93">
        <f>IF(C77="","",C101-C100)</f>
        <v>-175000</v>
      </c>
      <c r="D103" s="93">
        <f t="shared" ref="D103:AA103" si="31">IF(D77="","",D101-D100)</f>
        <v>-341250</v>
      </c>
      <c r="E103" s="93">
        <f t="shared" si="31"/>
        <v>-499187.5</v>
      </c>
      <c r="F103" s="93">
        <f t="shared" si="31"/>
        <v>-649228.125</v>
      </c>
      <c r="G103" s="93">
        <f t="shared" si="31"/>
        <v>-791766.71875</v>
      </c>
      <c r="H103" s="93">
        <f t="shared" si="31"/>
        <v>-927178.3828125</v>
      </c>
      <c r="I103" s="93">
        <f t="shared" si="31"/>
        <v>-1055819.4636718752</v>
      </c>
      <c r="J103" s="93">
        <f t="shared" si="31"/>
        <v>-1178028.4904882815</v>
      </c>
      <c r="K103" s="93">
        <f t="shared" si="31"/>
        <v>-1294127.0659638676</v>
      </c>
      <c r="L103" s="93">
        <f t="shared" si="31"/>
        <v>-1404420.7126656743</v>
      </c>
      <c r="M103" s="93">
        <f t="shared" si="31"/>
        <v>-1509199.6770323906</v>
      </c>
      <c r="N103" s="93">
        <f t="shared" si="31"/>
        <v>-1608739.6931807713</v>
      </c>
      <c r="O103" s="93">
        <f t="shared" si="31"/>
        <v>-1703302.7085217328</v>
      </c>
      <c r="P103" s="93">
        <f t="shared" si="31"/>
        <v>-1793137.5730956465</v>
      </c>
      <c r="Q103" s="93">
        <f t="shared" si="31"/>
        <v>-1878480.6944408643</v>
      </c>
      <c r="R103" s="93">
        <f t="shared" si="31"/>
        <v>-1959556.6597188213</v>
      </c>
      <c r="S103" s="93">
        <f t="shared" si="31"/>
        <v>-2036578.8267328802</v>
      </c>
      <c r="T103" s="93">
        <f t="shared" si="31"/>
        <v>-2109749.8853962366</v>
      </c>
      <c r="U103" s="93">
        <f t="shared" si="31"/>
        <v>-2179262.3911264245</v>
      </c>
      <c r="V103" s="93">
        <f t="shared" si="31"/>
        <v>-2245299.2715701032</v>
      </c>
      <c r="W103" s="93" t="str">
        <f t="shared" si="31"/>
        <v/>
      </c>
      <c r="X103" s="93" t="str">
        <f t="shared" si="31"/>
        <v/>
      </c>
      <c r="Y103" s="93" t="str">
        <f t="shared" si="31"/>
        <v/>
      </c>
      <c r="Z103" s="93" t="str">
        <f t="shared" si="31"/>
        <v/>
      </c>
      <c r="AA103" s="93" t="str">
        <f t="shared" si="31"/>
        <v/>
      </c>
      <c r="AB103" s="93"/>
    </row>
    <row r="104" spans="1:28" x14ac:dyDescent="0.25">
      <c r="A104" s="86"/>
      <c r="B104" s="286" t="s">
        <v>893</v>
      </c>
      <c r="C104" s="93">
        <f>IF(C77="","",C102-C100)</f>
        <v>-350000</v>
      </c>
      <c r="D104" s="93">
        <f t="shared" ref="D104:AA104" si="32">IF(D77="","",D102-D100)</f>
        <v>-507500</v>
      </c>
      <c r="E104" s="93">
        <f t="shared" si="32"/>
        <v>-657125</v>
      </c>
      <c r="F104" s="93">
        <f t="shared" si="32"/>
        <v>-799268.75</v>
      </c>
      <c r="G104" s="93">
        <f t="shared" si="32"/>
        <v>-934305.3125</v>
      </c>
      <c r="H104" s="93">
        <f t="shared" si="32"/>
        <v>-1062590.046875</v>
      </c>
      <c r="I104" s="93">
        <f t="shared" si="32"/>
        <v>-1184460.5445312499</v>
      </c>
      <c r="J104" s="93">
        <f t="shared" si="32"/>
        <v>-1300237.5173046878</v>
      </c>
      <c r="K104" s="93">
        <f t="shared" si="32"/>
        <v>-1410225.6414394532</v>
      </c>
      <c r="L104" s="93">
        <f t="shared" si="32"/>
        <v>-1514714.3593674805</v>
      </c>
      <c r="M104" s="93">
        <f t="shared" si="32"/>
        <v>-1613978.6413991069</v>
      </c>
      <c r="N104" s="93">
        <f t="shared" si="32"/>
        <v>-1708279.7093291515</v>
      </c>
      <c r="O104" s="93">
        <f t="shared" si="32"/>
        <v>-1797865.7238626941</v>
      </c>
      <c r="P104" s="93">
        <f t="shared" si="32"/>
        <v>-1882972.4376695594</v>
      </c>
      <c r="Q104" s="93">
        <f t="shared" si="32"/>
        <v>-1963823.8157860818</v>
      </c>
      <c r="R104" s="93">
        <f t="shared" si="32"/>
        <v>-2040632.6249967776</v>
      </c>
      <c r="S104" s="93">
        <f t="shared" si="32"/>
        <v>-2113600.9937469391</v>
      </c>
      <c r="T104" s="93">
        <f t="shared" si="32"/>
        <v>-2182920.9440595922</v>
      </c>
      <c r="U104" s="93">
        <f t="shared" si="32"/>
        <v>-2248774.8968566125</v>
      </c>
      <c r="V104" s="93">
        <f t="shared" si="32"/>
        <v>-2311336.1520137824</v>
      </c>
      <c r="W104" s="93" t="str">
        <f t="shared" si="32"/>
        <v/>
      </c>
      <c r="X104" s="93" t="str">
        <f t="shared" si="32"/>
        <v/>
      </c>
      <c r="Y104" s="93" t="str">
        <f t="shared" si="32"/>
        <v/>
      </c>
      <c r="Z104" s="93" t="str">
        <f t="shared" si="32"/>
        <v/>
      </c>
      <c r="AA104" s="93" t="str">
        <f t="shared" si="32"/>
        <v/>
      </c>
      <c r="AB104" s="93"/>
    </row>
    <row r="106" spans="1:28" ht="30" x14ac:dyDescent="0.25">
      <c r="B106" s="261" t="s">
        <v>1032</v>
      </c>
      <c r="C106" s="119">
        <v>500000</v>
      </c>
      <c r="E106" s="146" t="s">
        <v>1033</v>
      </c>
      <c r="G106" s="261" t="s">
        <v>1034</v>
      </c>
      <c r="H106" s="180" t="s">
        <v>985</v>
      </c>
    </row>
    <row r="107" spans="1:28" ht="30" x14ac:dyDescent="0.25">
      <c r="B107" s="261" t="s">
        <v>1035</v>
      </c>
      <c r="C107" s="119">
        <v>5</v>
      </c>
      <c r="E107" s="146" t="s">
        <v>1</v>
      </c>
      <c r="G107" s="146" t="s">
        <v>1036</v>
      </c>
      <c r="H107" s="180" t="s">
        <v>985</v>
      </c>
    </row>
    <row r="108" spans="1:28" ht="30" x14ac:dyDescent="0.25">
      <c r="B108" s="261" t="s">
        <v>1037</v>
      </c>
      <c r="C108" s="119">
        <v>10</v>
      </c>
      <c r="E108" s="146" t="s">
        <v>1</v>
      </c>
      <c r="G108" s="146" t="s">
        <v>1036</v>
      </c>
      <c r="H108" s="180" t="s">
        <v>985</v>
      </c>
    </row>
    <row r="109" spans="1:28" x14ac:dyDescent="0.25">
      <c r="C109" s="113"/>
    </row>
    <row r="110" spans="1:28" x14ac:dyDescent="0.25">
      <c r="C110" s="113"/>
    </row>
    <row r="111" spans="1:28" ht="30" x14ac:dyDescent="0.25">
      <c r="B111" s="261" t="s">
        <v>1038</v>
      </c>
      <c r="C111" s="119">
        <v>3000000</v>
      </c>
      <c r="E111" s="146" t="s">
        <v>1033</v>
      </c>
      <c r="G111" s="261" t="s">
        <v>1034</v>
      </c>
      <c r="H111" s="180" t="s">
        <v>985</v>
      </c>
    </row>
    <row r="112" spans="1:28" ht="45" x14ac:dyDescent="0.25">
      <c r="B112" s="261" t="s">
        <v>1039</v>
      </c>
      <c r="C112" s="119">
        <v>5</v>
      </c>
      <c r="G112" s="146" t="s">
        <v>1036</v>
      </c>
      <c r="H112" s="180" t="s">
        <v>985</v>
      </c>
    </row>
    <row r="113" spans="1:28" ht="45" x14ac:dyDescent="0.25">
      <c r="B113" s="261" t="s">
        <v>1040</v>
      </c>
      <c r="C113" s="119">
        <v>10</v>
      </c>
      <c r="G113" s="146" t="s">
        <v>1036</v>
      </c>
      <c r="H113" s="180" t="s">
        <v>985</v>
      </c>
    </row>
    <row r="114" spans="1:28" x14ac:dyDescent="0.25">
      <c r="C114" s="113"/>
    </row>
    <row r="115" spans="1:28" x14ac:dyDescent="0.25">
      <c r="B115" s="261" t="s">
        <v>1041</v>
      </c>
      <c r="C115" s="119">
        <v>0</v>
      </c>
      <c r="E115" s="146" t="s">
        <v>1</v>
      </c>
      <c r="G115" s="146" t="s">
        <v>1042</v>
      </c>
    </row>
    <row r="116" spans="1:28" x14ac:dyDescent="0.25">
      <c r="B116" s="261" t="s">
        <v>1043</v>
      </c>
      <c r="C116" s="119">
        <v>0</v>
      </c>
      <c r="E116" s="146" t="s">
        <v>1</v>
      </c>
      <c r="G116" s="146" t="s">
        <v>1042</v>
      </c>
    </row>
    <row r="118" spans="1:28" x14ac:dyDescent="0.25">
      <c r="B118" s="291" t="s">
        <v>29</v>
      </c>
      <c r="C118" s="291"/>
      <c r="D118" s="291"/>
      <c r="E118" s="291"/>
      <c r="F118" s="291"/>
      <c r="G118" s="291"/>
      <c r="H118" s="291"/>
      <c r="I118" s="291"/>
      <c r="J118" s="291"/>
      <c r="K118" s="291"/>
      <c r="L118" s="291"/>
    </row>
    <row r="119" spans="1:28" x14ac:dyDescent="0.25">
      <c r="B119" s="292" t="s">
        <v>1044</v>
      </c>
      <c r="C119" s="293"/>
      <c r="D119" s="293"/>
      <c r="E119" s="293"/>
      <c r="F119" s="293"/>
      <c r="G119" s="293"/>
      <c r="H119" s="293"/>
      <c r="I119" s="293"/>
      <c r="J119" s="293"/>
      <c r="K119" s="293"/>
      <c r="L119" s="293"/>
    </row>
    <row r="120" spans="1:28" x14ac:dyDescent="0.25">
      <c r="B120" s="297" t="s">
        <v>26</v>
      </c>
      <c r="C120" s="240">
        <f>C$21</f>
        <v>2021</v>
      </c>
      <c r="D120" s="240">
        <f t="shared" ref="D120:AA120" si="33">D$21</f>
        <v>2022</v>
      </c>
      <c r="E120" s="240">
        <f t="shared" si="33"/>
        <v>2023</v>
      </c>
      <c r="F120" s="240">
        <f t="shared" si="33"/>
        <v>2024</v>
      </c>
      <c r="G120" s="240">
        <f t="shared" si="33"/>
        <v>2025</v>
      </c>
      <c r="H120" s="240">
        <f t="shared" si="33"/>
        <v>2026</v>
      </c>
      <c r="I120" s="240">
        <f t="shared" si="33"/>
        <v>2027</v>
      </c>
      <c r="J120" s="240">
        <f t="shared" si="33"/>
        <v>2028</v>
      </c>
      <c r="K120" s="240">
        <f t="shared" si="33"/>
        <v>2029</v>
      </c>
      <c r="L120" s="240">
        <f t="shared" si="33"/>
        <v>2030</v>
      </c>
      <c r="M120" s="240">
        <f t="shared" si="33"/>
        <v>2031</v>
      </c>
      <c r="N120" s="240">
        <f t="shared" si="33"/>
        <v>2032</v>
      </c>
      <c r="O120" s="240">
        <f t="shared" si="33"/>
        <v>2033</v>
      </c>
      <c r="P120" s="240">
        <f t="shared" si="33"/>
        <v>2034</v>
      </c>
      <c r="Q120" s="240">
        <f t="shared" si="33"/>
        <v>2035</v>
      </c>
      <c r="R120" s="240">
        <f t="shared" si="33"/>
        <v>2036</v>
      </c>
      <c r="S120" s="240">
        <f t="shared" si="33"/>
        <v>2037</v>
      </c>
      <c r="T120" s="240">
        <f t="shared" si="33"/>
        <v>2038</v>
      </c>
      <c r="U120" s="240">
        <f t="shared" si="33"/>
        <v>2039</v>
      </c>
      <c r="V120" s="240">
        <f t="shared" si="33"/>
        <v>2040</v>
      </c>
      <c r="W120" s="240" t="str">
        <f t="shared" si="33"/>
        <v/>
      </c>
      <c r="X120" s="240" t="str">
        <f t="shared" si="33"/>
        <v/>
      </c>
      <c r="Y120" s="240" t="str">
        <f t="shared" si="33"/>
        <v/>
      </c>
      <c r="Z120" s="240" t="str">
        <f t="shared" si="33"/>
        <v/>
      </c>
      <c r="AA120" s="240" t="str">
        <f t="shared" si="33"/>
        <v/>
      </c>
      <c r="AB120" s="240"/>
    </row>
    <row r="121" spans="1:28" ht="29.45" customHeight="1" x14ac:dyDescent="0.25">
      <c r="A121" s="278" t="s">
        <v>897</v>
      </c>
      <c r="B121" s="298" t="s">
        <v>1045</v>
      </c>
      <c r="C121" s="295">
        <f>IF(C120="","",$C$106)</f>
        <v>500000</v>
      </c>
      <c r="D121" s="295">
        <f t="shared" ref="D121:AA121" si="34">IF(D120="","",C121*(1+$C$115/100))</f>
        <v>500000</v>
      </c>
      <c r="E121" s="295">
        <f t="shared" si="34"/>
        <v>500000</v>
      </c>
      <c r="F121" s="295">
        <f t="shared" si="34"/>
        <v>500000</v>
      </c>
      <c r="G121" s="295">
        <f t="shared" si="34"/>
        <v>500000</v>
      </c>
      <c r="H121" s="295">
        <f t="shared" si="34"/>
        <v>500000</v>
      </c>
      <c r="I121" s="295">
        <f t="shared" si="34"/>
        <v>500000</v>
      </c>
      <c r="J121" s="295">
        <f t="shared" si="34"/>
        <v>500000</v>
      </c>
      <c r="K121" s="295">
        <f t="shared" si="34"/>
        <v>500000</v>
      </c>
      <c r="L121" s="295">
        <f t="shared" si="34"/>
        <v>500000</v>
      </c>
      <c r="M121" s="295">
        <f t="shared" si="34"/>
        <v>500000</v>
      </c>
      <c r="N121" s="295">
        <f t="shared" si="34"/>
        <v>500000</v>
      </c>
      <c r="O121" s="295">
        <f t="shared" si="34"/>
        <v>500000</v>
      </c>
      <c r="P121" s="295">
        <f t="shared" si="34"/>
        <v>500000</v>
      </c>
      <c r="Q121" s="295">
        <f t="shared" si="34"/>
        <v>500000</v>
      </c>
      <c r="R121" s="295">
        <f t="shared" si="34"/>
        <v>500000</v>
      </c>
      <c r="S121" s="295">
        <f t="shared" si="34"/>
        <v>500000</v>
      </c>
      <c r="T121" s="295">
        <f t="shared" si="34"/>
        <v>500000</v>
      </c>
      <c r="U121" s="295">
        <f t="shared" si="34"/>
        <v>500000</v>
      </c>
      <c r="V121" s="295">
        <f t="shared" si="34"/>
        <v>500000</v>
      </c>
      <c r="W121" s="295" t="str">
        <f t="shared" si="34"/>
        <v/>
      </c>
      <c r="X121" s="295" t="str">
        <f t="shared" si="34"/>
        <v/>
      </c>
      <c r="Y121" s="295" t="str">
        <f t="shared" si="34"/>
        <v/>
      </c>
      <c r="Z121" s="295" t="str">
        <f t="shared" si="34"/>
        <v/>
      </c>
      <c r="AA121" s="295" t="str">
        <f t="shared" si="34"/>
        <v/>
      </c>
      <c r="AB121" s="295"/>
    </row>
    <row r="122" spans="1:28" ht="29.45" customHeight="1" x14ac:dyDescent="0.25">
      <c r="A122" s="278"/>
      <c r="B122" s="299" t="s">
        <v>1046</v>
      </c>
      <c r="C122" s="98">
        <f>IF(C120="","",$C$111)</f>
        <v>3000000</v>
      </c>
      <c r="D122" s="98">
        <f t="shared" ref="D122:AA122" si="35">IF(D120="","",C122*(1+$C$116/100))</f>
        <v>3000000</v>
      </c>
      <c r="E122" s="98">
        <f t="shared" si="35"/>
        <v>3000000</v>
      </c>
      <c r="F122" s="98">
        <f t="shared" si="35"/>
        <v>3000000</v>
      </c>
      <c r="G122" s="98">
        <f t="shared" si="35"/>
        <v>3000000</v>
      </c>
      <c r="H122" s="98">
        <f t="shared" si="35"/>
        <v>3000000</v>
      </c>
      <c r="I122" s="98">
        <f t="shared" si="35"/>
        <v>3000000</v>
      </c>
      <c r="J122" s="98">
        <f t="shared" si="35"/>
        <v>3000000</v>
      </c>
      <c r="K122" s="98">
        <f t="shared" si="35"/>
        <v>3000000</v>
      </c>
      <c r="L122" s="296">
        <f t="shared" si="35"/>
        <v>3000000</v>
      </c>
      <c r="M122" s="296">
        <f t="shared" si="35"/>
        <v>3000000</v>
      </c>
      <c r="N122" s="296">
        <f t="shared" si="35"/>
        <v>3000000</v>
      </c>
      <c r="O122" s="296">
        <f t="shared" si="35"/>
        <v>3000000</v>
      </c>
      <c r="P122" s="296">
        <f t="shared" si="35"/>
        <v>3000000</v>
      </c>
      <c r="Q122" s="296">
        <f t="shared" si="35"/>
        <v>3000000</v>
      </c>
      <c r="R122" s="296">
        <f t="shared" si="35"/>
        <v>3000000</v>
      </c>
      <c r="S122" s="296">
        <f t="shared" si="35"/>
        <v>3000000</v>
      </c>
      <c r="T122" s="296">
        <f t="shared" si="35"/>
        <v>3000000</v>
      </c>
      <c r="U122" s="296">
        <f t="shared" si="35"/>
        <v>3000000</v>
      </c>
      <c r="V122" s="296">
        <f t="shared" si="35"/>
        <v>3000000</v>
      </c>
      <c r="W122" s="296" t="str">
        <f t="shared" si="35"/>
        <v/>
      </c>
      <c r="X122" s="296" t="str">
        <f t="shared" si="35"/>
        <v/>
      </c>
      <c r="Y122" s="296" t="str">
        <f t="shared" si="35"/>
        <v/>
      </c>
      <c r="Z122" s="296" t="str">
        <f t="shared" si="35"/>
        <v/>
      </c>
      <c r="AA122" s="296" t="str">
        <f t="shared" si="35"/>
        <v/>
      </c>
      <c r="AB122" s="296"/>
    </row>
    <row r="123" spans="1:28" ht="29.45" customHeight="1" x14ac:dyDescent="0.25">
      <c r="A123" s="278" t="s">
        <v>884</v>
      </c>
      <c r="B123" s="299" t="s">
        <v>1045</v>
      </c>
      <c r="C123" s="98">
        <f>IF(C120="","",C106*(1-$C$107/100)*(1+$C$115/100))</f>
        <v>475000</v>
      </c>
      <c r="D123" s="98">
        <f t="shared" ref="D123:AA123" si="36">IF(D120="","",C123*(1-$C$107/100)*(1+$C$115/100))</f>
        <v>451250</v>
      </c>
      <c r="E123" s="98">
        <f t="shared" si="36"/>
        <v>428687.5</v>
      </c>
      <c r="F123" s="98">
        <f t="shared" si="36"/>
        <v>407253.125</v>
      </c>
      <c r="G123" s="98">
        <f t="shared" si="36"/>
        <v>386890.46875</v>
      </c>
      <c r="H123" s="98">
        <f t="shared" si="36"/>
        <v>367545.9453125</v>
      </c>
      <c r="I123" s="98">
        <f t="shared" si="36"/>
        <v>349168.64804687497</v>
      </c>
      <c r="J123" s="98">
        <f t="shared" si="36"/>
        <v>331710.21564453118</v>
      </c>
      <c r="K123" s="98">
        <f t="shared" si="36"/>
        <v>315124.70486230461</v>
      </c>
      <c r="L123" s="296">
        <f t="shared" si="36"/>
        <v>299368.46961918939</v>
      </c>
      <c r="M123" s="296">
        <f t="shared" si="36"/>
        <v>284400.0461382299</v>
      </c>
      <c r="N123" s="296">
        <f t="shared" si="36"/>
        <v>270180.04383131838</v>
      </c>
      <c r="O123" s="296">
        <f t="shared" si="36"/>
        <v>256671.04163975245</v>
      </c>
      <c r="P123" s="296">
        <f t="shared" si="36"/>
        <v>243837.48955776481</v>
      </c>
      <c r="Q123" s="296">
        <f t="shared" si="36"/>
        <v>231645.61507987656</v>
      </c>
      <c r="R123" s="296">
        <f t="shared" si="36"/>
        <v>220063.33432588272</v>
      </c>
      <c r="S123" s="296">
        <f t="shared" si="36"/>
        <v>209060.16760958856</v>
      </c>
      <c r="T123" s="296">
        <f t="shared" si="36"/>
        <v>198607.15922910912</v>
      </c>
      <c r="U123" s="296">
        <f t="shared" si="36"/>
        <v>188676.80126765365</v>
      </c>
      <c r="V123" s="296">
        <f t="shared" si="36"/>
        <v>179242.96120427095</v>
      </c>
      <c r="W123" s="296" t="str">
        <f t="shared" si="36"/>
        <v/>
      </c>
      <c r="X123" s="296" t="str">
        <f t="shared" si="36"/>
        <v/>
      </c>
      <c r="Y123" s="296" t="str">
        <f t="shared" si="36"/>
        <v/>
      </c>
      <c r="Z123" s="296" t="str">
        <f t="shared" si="36"/>
        <v/>
      </c>
      <c r="AA123" s="296" t="str">
        <f t="shared" si="36"/>
        <v/>
      </c>
      <c r="AB123" s="296"/>
    </row>
    <row r="124" spans="1:28" ht="29.45" customHeight="1" x14ac:dyDescent="0.25">
      <c r="A124" s="278"/>
      <c r="B124" s="299" t="s">
        <v>1046</v>
      </c>
      <c r="C124" s="98">
        <f>IF(C120="","",C111*(1-$C$112/100)*(1+$C$116/100))</f>
        <v>2850000</v>
      </c>
      <c r="D124" s="98">
        <f t="shared" ref="D124:AA124" si="37">IF(D120="","",C124*(1-$C$112/100)*(1+$C$116/100))</f>
        <v>2707500</v>
      </c>
      <c r="E124" s="98">
        <f t="shared" si="37"/>
        <v>2572125</v>
      </c>
      <c r="F124" s="98">
        <f t="shared" si="37"/>
        <v>2443518.75</v>
      </c>
      <c r="G124" s="98">
        <f t="shared" si="37"/>
        <v>2321342.8125</v>
      </c>
      <c r="H124" s="98">
        <f t="shared" si="37"/>
        <v>2205275.671875</v>
      </c>
      <c r="I124" s="98">
        <f t="shared" si="37"/>
        <v>2095011.8882812499</v>
      </c>
      <c r="J124" s="98">
        <f t="shared" si="37"/>
        <v>1990261.2938671873</v>
      </c>
      <c r="K124" s="98">
        <f t="shared" si="37"/>
        <v>1890748.2291738279</v>
      </c>
      <c r="L124" s="296">
        <f t="shared" si="37"/>
        <v>1796210.8177151363</v>
      </c>
      <c r="M124" s="296">
        <f t="shared" si="37"/>
        <v>1706400.2768293794</v>
      </c>
      <c r="N124" s="296">
        <f t="shared" si="37"/>
        <v>1621080.2629879103</v>
      </c>
      <c r="O124" s="296">
        <f t="shared" si="37"/>
        <v>1540026.2498385147</v>
      </c>
      <c r="P124" s="296">
        <f t="shared" si="37"/>
        <v>1463024.9373465888</v>
      </c>
      <c r="Q124" s="296">
        <f t="shared" si="37"/>
        <v>1389873.6904792592</v>
      </c>
      <c r="R124" s="296">
        <f t="shared" si="37"/>
        <v>1320380.0059552961</v>
      </c>
      <c r="S124" s="296">
        <f t="shared" si="37"/>
        <v>1254361.0056575313</v>
      </c>
      <c r="T124" s="296">
        <f t="shared" si="37"/>
        <v>1191642.9553746546</v>
      </c>
      <c r="U124" s="296">
        <f t="shared" si="37"/>
        <v>1132060.8076059218</v>
      </c>
      <c r="V124" s="296">
        <f t="shared" si="37"/>
        <v>1075457.7672256257</v>
      </c>
      <c r="W124" s="296" t="str">
        <f t="shared" si="37"/>
        <v/>
      </c>
      <c r="X124" s="296" t="str">
        <f t="shared" si="37"/>
        <v/>
      </c>
      <c r="Y124" s="296" t="str">
        <f t="shared" si="37"/>
        <v/>
      </c>
      <c r="Z124" s="296" t="str">
        <f t="shared" si="37"/>
        <v/>
      </c>
      <c r="AA124" s="296" t="str">
        <f t="shared" si="37"/>
        <v/>
      </c>
      <c r="AB124" s="296"/>
    </row>
    <row r="125" spans="1:28" ht="29.45" customHeight="1" x14ac:dyDescent="0.25">
      <c r="A125" s="278" t="s">
        <v>904</v>
      </c>
      <c r="B125" s="299" t="s">
        <v>1045</v>
      </c>
      <c r="C125" s="98">
        <f>IF(C120="","",C106*(1-$C$108/100)*(1+$C$115/100))</f>
        <v>450000</v>
      </c>
      <c r="D125" s="98">
        <f t="shared" ref="D125:AA125" si="38">IF(D120="","",C123*(1-$C$108/100)*(1+$C$115/100))</f>
        <v>427500</v>
      </c>
      <c r="E125" s="98">
        <f t="shared" si="38"/>
        <v>406125</v>
      </c>
      <c r="F125" s="98">
        <f t="shared" si="38"/>
        <v>385818.75</v>
      </c>
      <c r="G125" s="98">
        <f t="shared" si="38"/>
        <v>366527.8125</v>
      </c>
      <c r="H125" s="98">
        <f t="shared" si="38"/>
        <v>348201.421875</v>
      </c>
      <c r="I125" s="98">
        <f t="shared" si="38"/>
        <v>330791.35078124999</v>
      </c>
      <c r="J125" s="98">
        <f t="shared" si="38"/>
        <v>314251.78324218746</v>
      </c>
      <c r="K125" s="98">
        <f t="shared" si="38"/>
        <v>298539.1940800781</v>
      </c>
      <c r="L125" s="296">
        <f t="shared" si="38"/>
        <v>283612.23437607416</v>
      </c>
      <c r="M125" s="296">
        <f t="shared" si="38"/>
        <v>269431.62265727046</v>
      </c>
      <c r="N125" s="296">
        <f t="shared" si="38"/>
        <v>255960.0415244069</v>
      </c>
      <c r="O125" s="296">
        <f t="shared" si="38"/>
        <v>243162.03944818655</v>
      </c>
      <c r="P125" s="296">
        <f t="shared" si="38"/>
        <v>231003.9374757772</v>
      </c>
      <c r="Q125" s="296">
        <f t="shared" si="38"/>
        <v>219453.74060198833</v>
      </c>
      <c r="R125" s="296">
        <f t="shared" si="38"/>
        <v>208481.05357188892</v>
      </c>
      <c r="S125" s="296">
        <f t="shared" si="38"/>
        <v>198057.00089329446</v>
      </c>
      <c r="T125" s="296">
        <f t="shared" si="38"/>
        <v>188154.15084862971</v>
      </c>
      <c r="U125" s="296">
        <f t="shared" si="38"/>
        <v>178746.44330619823</v>
      </c>
      <c r="V125" s="296">
        <f t="shared" si="38"/>
        <v>169809.12114088828</v>
      </c>
      <c r="W125" s="296" t="str">
        <f t="shared" si="38"/>
        <v/>
      </c>
      <c r="X125" s="296" t="str">
        <f t="shared" si="38"/>
        <v/>
      </c>
      <c r="Y125" s="296" t="str">
        <f t="shared" si="38"/>
        <v/>
      </c>
      <c r="Z125" s="296" t="str">
        <f t="shared" si="38"/>
        <v/>
      </c>
      <c r="AA125" s="296" t="str">
        <f t="shared" si="38"/>
        <v/>
      </c>
      <c r="AB125" s="296"/>
    </row>
    <row r="126" spans="1:28" ht="29.45" customHeight="1" x14ac:dyDescent="0.25">
      <c r="A126" s="278"/>
      <c r="B126" s="300" t="s">
        <v>1046</v>
      </c>
      <c r="C126" s="107">
        <f>IF(C120="","",C111*(1-$C$113/100)*(1+$C$116/100))</f>
        <v>2700000</v>
      </c>
      <c r="D126" s="107">
        <f t="shared" ref="D126:AA126" si="39">IF(D120="","",C124*(1-$C$113/100)*(1+$C$116/100))</f>
        <v>2565000</v>
      </c>
      <c r="E126" s="107">
        <f t="shared" si="39"/>
        <v>2436750</v>
      </c>
      <c r="F126" s="107">
        <f t="shared" si="39"/>
        <v>2314912.5</v>
      </c>
      <c r="G126" s="107">
        <f t="shared" si="39"/>
        <v>2199166.875</v>
      </c>
      <c r="H126" s="107">
        <f t="shared" si="39"/>
        <v>2089208.53125</v>
      </c>
      <c r="I126" s="107">
        <f t="shared" si="39"/>
        <v>1984748.1046875</v>
      </c>
      <c r="J126" s="107">
        <f t="shared" si="39"/>
        <v>1885510.699453125</v>
      </c>
      <c r="K126" s="107">
        <f t="shared" si="39"/>
        <v>1791235.1644804687</v>
      </c>
      <c r="L126" s="107">
        <f t="shared" si="39"/>
        <v>1701673.4062564452</v>
      </c>
      <c r="M126" s="107">
        <f t="shared" si="39"/>
        <v>1616589.7359436227</v>
      </c>
      <c r="N126" s="107">
        <f t="shared" si="39"/>
        <v>1535760.2491464415</v>
      </c>
      <c r="O126" s="107">
        <f t="shared" si="39"/>
        <v>1458972.2366891194</v>
      </c>
      <c r="P126" s="107">
        <f t="shared" si="39"/>
        <v>1386023.6248546634</v>
      </c>
      <c r="Q126" s="107">
        <f t="shared" si="39"/>
        <v>1316722.4436119299</v>
      </c>
      <c r="R126" s="107">
        <f t="shared" si="39"/>
        <v>1250886.3214313334</v>
      </c>
      <c r="S126" s="107">
        <f t="shared" si="39"/>
        <v>1188342.0053597665</v>
      </c>
      <c r="T126" s="107">
        <f t="shared" si="39"/>
        <v>1128924.9050917781</v>
      </c>
      <c r="U126" s="107">
        <f t="shared" si="39"/>
        <v>1072478.6598371891</v>
      </c>
      <c r="V126" s="107">
        <f t="shared" si="39"/>
        <v>1018854.7268453296</v>
      </c>
      <c r="W126" s="107" t="str">
        <f t="shared" si="39"/>
        <v/>
      </c>
      <c r="X126" s="107" t="str">
        <f t="shared" si="39"/>
        <v/>
      </c>
      <c r="Y126" s="107" t="str">
        <f t="shared" si="39"/>
        <v/>
      </c>
      <c r="Z126" s="107" t="str">
        <f t="shared" si="39"/>
        <v/>
      </c>
      <c r="AA126" s="107" t="str">
        <f t="shared" si="39"/>
        <v/>
      </c>
      <c r="AB126" s="107"/>
    </row>
  </sheetData>
  <mergeCells count="12">
    <mergeCell ref="G66:N66"/>
    <mergeCell ref="A86:A89"/>
    <mergeCell ref="C94:E94"/>
    <mergeCell ref="A121:A122"/>
    <mergeCell ref="A123:A124"/>
    <mergeCell ref="A125:A126"/>
    <mergeCell ref="A82:A85"/>
    <mergeCell ref="B9:F10"/>
    <mergeCell ref="C30:E30"/>
    <mergeCell ref="C31:E31"/>
    <mergeCell ref="C32:E32"/>
    <mergeCell ref="A78:A81"/>
  </mergeCells>
  <hyperlinks>
    <hyperlink ref="H106" r:id="rId1" display="https://www.zora.uzh.ch/id/eprint/191299/1/5G and climate protection_University of Zurich_Empa.pdf"/>
    <hyperlink ref="H107" r:id="rId2" display="https://www.zora.uzh.ch/id/eprint/191299/1/5G and climate protection_University of Zurich_Empa.pdf"/>
    <hyperlink ref="H108" r:id="rId3" display="https://www.zora.uzh.ch/id/eprint/191299/1/5G and climate protection_University of Zurich_Empa.pdf"/>
    <hyperlink ref="H111" r:id="rId4" display="https://www.zora.uzh.ch/id/eprint/191299/1/5G and climate protection_University of Zurich_Empa.pdf"/>
    <hyperlink ref="H112" r:id="rId5" display="https://www.zora.uzh.ch/id/eprint/191299/1/5G and climate protection_University of Zurich_Empa.pdf"/>
    <hyperlink ref="H113" r:id="rId6" display="https://www.zora.uzh.ch/id/eprint/191299/1/5G and climate protection_University of Zurich_Empa.pdf"/>
    <hyperlink ref="G43" r:id="rId7" display="https://fliphtml5.com/uuvsa/zwbe/basic"/>
    <hyperlink ref="G45" r:id="rId8" display="https://donnees.banquemondiale.org/indicator/SP.RUR.TOTL.ZS?locations=CO"/>
  </hyperlinks>
  <pageMargins left="0.7" right="0.7" top="0.75" bottom="0.75" header="0.3" footer="0.3"/>
  <pageSetup orientation="portrait"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B2:XFD150"/>
  <sheetViews>
    <sheetView showGridLines="0" zoomScaleNormal="100" workbookViewId="0"/>
  </sheetViews>
  <sheetFormatPr baseColWidth="10" defaultColWidth="8.7109375" defaultRowHeight="15" x14ac:dyDescent="0.25"/>
  <cols>
    <col min="1" max="1" width="8.7109375" style="146"/>
    <col min="2" max="2" width="69" style="146" customWidth="1"/>
    <col min="3" max="3" width="44.5703125" style="146" customWidth="1"/>
    <col min="4" max="4" width="10.7109375" style="146" bestFit="1" customWidth="1"/>
    <col min="5" max="5" width="17.28515625" style="146" customWidth="1"/>
    <col min="6" max="6" width="16.7109375" style="146" bestFit="1" customWidth="1"/>
    <col min="7" max="7" width="52.85546875" style="146" customWidth="1"/>
    <col min="8" max="8" width="9.85546875" style="146" bestFit="1" customWidth="1"/>
    <col min="9" max="9" width="26.5703125" style="146" customWidth="1"/>
    <col min="10" max="10" width="14.5703125" style="146" customWidth="1"/>
    <col min="11" max="22" width="9.85546875" style="146" bestFit="1" customWidth="1"/>
    <col min="23" max="28" width="8.85546875" style="146" bestFit="1" customWidth="1"/>
    <col min="29" max="35" width="8.7109375" style="146"/>
    <col min="36" max="36" width="8.85546875" style="146" bestFit="1" customWidth="1"/>
    <col min="37" max="43" width="8.7109375" style="146"/>
    <col min="44" max="44" width="8.85546875" style="146" bestFit="1" customWidth="1"/>
    <col min="45" max="51" width="8.7109375" style="146"/>
    <col min="52" max="52" width="8.85546875" style="146" bestFit="1" customWidth="1"/>
    <col min="53" max="59" width="8.7109375" style="146"/>
    <col min="60" max="60" width="8.85546875" style="146" bestFit="1" customWidth="1"/>
    <col min="61" max="67" width="8.7109375" style="146"/>
    <col min="68" max="68" width="8.85546875" style="146" bestFit="1" customWidth="1"/>
    <col min="69" max="75" width="8.7109375" style="146"/>
    <col min="76" max="76" width="8.85546875" style="146" bestFit="1" customWidth="1"/>
    <col min="77" max="83" width="8.7109375" style="146"/>
    <col min="84" max="84" width="8.85546875" style="146" bestFit="1" customWidth="1"/>
    <col min="85" max="91" width="8.7109375" style="146"/>
    <col min="92" max="92" width="8.85546875" style="146" bestFit="1" customWidth="1"/>
    <col min="93" max="99" width="8.7109375" style="146"/>
    <col min="100" max="100" width="8.85546875" style="146" bestFit="1" customWidth="1"/>
    <col min="101" max="107" width="8.7109375" style="146"/>
    <col min="108" max="108" width="8.85546875" style="146" bestFit="1" customWidth="1"/>
    <col min="109" max="115" width="8.7109375" style="146"/>
    <col min="116" max="116" width="8.85546875" style="146" bestFit="1" customWidth="1"/>
    <col min="117" max="123" width="8.7109375" style="146"/>
    <col min="124" max="124" width="8.85546875" style="146" bestFit="1" customWidth="1"/>
    <col min="125" max="131" width="8.7109375" style="146"/>
    <col min="132" max="132" width="8.85546875" style="146" bestFit="1" customWidth="1"/>
    <col min="133" max="139" width="8.7109375" style="146"/>
    <col min="140" max="140" width="8.85546875" style="146" bestFit="1" customWidth="1"/>
    <col min="141" max="147" width="8.7109375" style="146"/>
    <col min="148" max="148" width="8.85546875" style="146" bestFit="1" customWidth="1"/>
    <col min="149" max="155" width="8.7109375" style="146"/>
    <col min="156" max="156" width="8.85546875" style="146" bestFit="1" customWidth="1"/>
    <col min="157" max="163" width="8.7109375" style="146"/>
    <col min="164" max="164" width="8.85546875" style="146" bestFit="1" customWidth="1"/>
    <col min="165" max="171" width="8.7109375" style="146"/>
    <col min="172" max="172" width="8.85546875" style="146" bestFit="1" customWidth="1"/>
    <col min="173" max="179" width="8.7109375" style="146"/>
    <col min="180" max="180" width="8.85546875" style="146" bestFit="1" customWidth="1"/>
    <col min="181" max="187" width="8.7109375" style="146"/>
    <col min="188" max="188" width="8.85546875" style="146" bestFit="1" customWidth="1"/>
    <col min="189" max="195" width="8.7109375" style="146"/>
    <col min="196" max="196" width="8.85546875" style="146" bestFit="1" customWidth="1"/>
    <col min="197" max="203" width="8.7109375" style="146"/>
    <col min="204" max="204" width="8.85546875" style="146" bestFit="1" customWidth="1"/>
    <col min="205" max="211" width="8.7109375" style="146"/>
    <col min="212" max="212" width="8.85546875" style="146" bestFit="1" customWidth="1"/>
    <col min="213" max="219" width="8.7109375" style="146"/>
    <col min="220" max="220" width="8.85546875" style="146" bestFit="1" customWidth="1"/>
    <col min="221" max="227" width="8.7109375" style="146"/>
    <col min="228" max="228" width="8.85546875" style="146" bestFit="1" customWidth="1"/>
    <col min="229" max="235" width="8.7109375" style="146"/>
    <col min="236" max="236" width="8.85546875" style="146" bestFit="1" customWidth="1"/>
    <col min="237" max="243" width="8.7109375" style="146"/>
    <col min="244" max="244" width="8.85546875" style="146" bestFit="1" customWidth="1"/>
    <col min="245" max="251" width="8.7109375" style="146"/>
    <col min="252" max="252" width="8.85546875" style="146" bestFit="1" customWidth="1"/>
    <col min="253" max="259" width="8.7109375" style="146"/>
    <col min="260" max="260" width="8.85546875" style="146" bestFit="1" customWidth="1"/>
    <col min="261" max="267" width="8.7109375" style="146"/>
    <col min="268" max="268" width="8.85546875" style="146" bestFit="1" customWidth="1"/>
    <col min="269" max="275" width="8.7109375" style="146"/>
    <col min="276" max="276" width="8.85546875" style="146" bestFit="1" customWidth="1"/>
    <col min="277" max="283" width="8.7109375" style="146"/>
    <col min="284" max="284" width="8.85546875" style="146" bestFit="1" customWidth="1"/>
    <col min="285" max="291" width="8.7109375" style="146"/>
    <col min="292" max="292" width="8.85546875" style="146" bestFit="1" customWidth="1"/>
    <col min="293" max="299" width="8.7109375" style="146"/>
    <col min="300" max="300" width="8.85546875" style="146" bestFit="1" customWidth="1"/>
    <col min="301" max="307" width="8.7109375" style="146"/>
    <col min="308" max="308" width="8.85546875" style="146" bestFit="1" customWidth="1"/>
    <col min="309" max="315" width="8.7109375" style="146"/>
    <col min="316" max="316" width="8.85546875" style="146" bestFit="1" customWidth="1"/>
    <col min="317" max="323" width="8.7109375" style="146"/>
    <col min="324" max="324" width="8.85546875" style="146" bestFit="1" customWidth="1"/>
    <col min="325" max="331" width="8.7109375" style="146"/>
    <col min="332" max="332" width="8.85546875" style="146" bestFit="1" customWidth="1"/>
    <col min="333" max="339" width="8.7109375" style="146"/>
    <col min="340" max="340" width="8.85546875" style="146" bestFit="1" customWidth="1"/>
    <col min="341" max="347" width="8.7109375" style="146"/>
    <col min="348" max="348" width="8.85546875" style="146" bestFit="1" customWidth="1"/>
    <col min="349" max="355" width="8.7109375" style="146"/>
    <col min="356" max="356" width="8.85546875" style="146" bestFit="1" customWidth="1"/>
    <col min="357" max="363" width="8.7109375" style="146"/>
    <col min="364" max="364" width="8.85546875" style="146" bestFit="1" customWidth="1"/>
    <col min="365" max="371" width="8.7109375" style="146"/>
    <col min="372" max="372" width="8.85546875" style="146" bestFit="1" customWidth="1"/>
    <col min="373" max="379" width="8.7109375" style="146"/>
    <col min="380" max="380" width="8.85546875" style="146" bestFit="1" customWidth="1"/>
    <col min="381" max="387" width="8.7109375" style="146"/>
    <col min="388" max="388" width="8.85546875" style="146" bestFit="1" customWidth="1"/>
    <col min="389" max="395" width="8.7109375" style="146"/>
    <col min="396" max="396" width="8.85546875" style="146" bestFit="1" customWidth="1"/>
    <col min="397" max="403" width="8.7109375" style="146"/>
    <col min="404" max="404" width="8.85546875" style="146" bestFit="1" customWidth="1"/>
    <col min="405" max="411" width="8.7109375" style="146"/>
    <col min="412" max="412" width="8.85546875" style="146" bestFit="1" customWidth="1"/>
    <col min="413" max="419" width="8.7109375" style="146"/>
    <col min="420" max="420" width="8.85546875" style="146" bestFit="1" customWidth="1"/>
    <col min="421" max="427" width="8.7109375" style="146"/>
    <col min="428" max="428" width="8.85546875" style="146" bestFit="1" customWidth="1"/>
    <col min="429" max="435" width="8.7109375" style="146"/>
    <col min="436" max="436" width="8.85546875" style="146" bestFit="1" customWidth="1"/>
    <col min="437" max="443" width="8.7109375" style="146"/>
    <col min="444" max="444" width="8.85546875" style="146" bestFit="1" customWidth="1"/>
    <col min="445" max="451" width="8.7109375" style="146"/>
    <col min="452" max="452" width="8.85546875" style="146" bestFit="1" customWidth="1"/>
    <col min="453" max="459" width="8.7109375" style="146"/>
    <col min="460" max="460" width="8.85546875" style="146" bestFit="1" customWidth="1"/>
    <col min="461" max="467" width="8.7109375" style="146"/>
    <col min="468" max="468" width="8.85546875" style="146" bestFit="1" customWidth="1"/>
    <col min="469" max="475" width="8.7109375" style="146"/>
    <col min="476" max="476" width="8.85546875" style="146" bestFit="1" customWidth="1"/>
    <col min="477" max="483" width="8.7109375" style="146"/>
    <col min="484" max="484" width="8.85546875" style="146" bestFit="1" customWidth="1"/>
    <col min="485" max="491" width="8.7109375" style="146"/>
    <col min="492" max="492" width="8.85546875" style="146" bestFit="1" customWidth="1"/>
    <col min="493" max="499" width="8.7109375" style="146"/>
    <col min="500" max="500" width="8.85546875" style="146" bestFit="1" customWidth="1"/>
    <col min="501" max="507" width="8.7109375" style="146"/>
    <col min="508" max="508" width="8.85546875" style="146" bestFit="1" customWidth="1"/>
    <col min="509" max="515" width="8.7109375" style="146"/>
    <col min="516" max="516" width="8.85546875" style="146" bestFit="1" customWidth="1"/>
    <col min="517" max="523" width="8.7109375" style="146"/>
    <col min="524" max="524" width="8.85546875" style="146" bestFit="1" customWidth="1"/>
    <col min="525" max="531" width="8.7109375" style="146"/>
    <col min="532" max="532" width="8.85546875" style="146" bestFit="1" customWidth="1"/>
    <col min="533" max="539" width="8.7109375" style="146"/>
    <col min="540" max="540" width="8.85546875" style="146" bestFit="1" customWidth="1"/>
    <col min="541" max="547" width="8.7109375" style="146"/>
    <col min="548" max="548" width="8.85546875" style="146" bestFit="1" customWidth="1"/>
    <col min="549" max="555" width="8.7109375" style="146"/>
    <col min="556" max="556" width="8.85546875" style="146" bestFit="1" customWidth="1"/>
    <col min="557" max="563" width="8.7109375" style="146"/>
    <col min="564" max="564" width="8.85546875" style="146" bestFit="1" customWidth="1"/>
    <col min="565" max="571" width="8.7109375" style="146"/>
    <col min="572" max="572" width="8.85546875" style="146" bestFit="1" customWidth="1"/>
    <col min="573" max="579" width="8.7109375" style="146"/>
    <col min="580" max="580" width="8.85546875" style="146" bestFit="1" customWidth="1"/>
    <col min="581" max="587" width="8.7109375" style="146"/>
    <col min="588" max="588" width="8.85546875" style="146" bestFit="1" customWidth="1"/>
    <col min="589" max="595" width="8.7109375" style="146"/>
    <col min="596" max="596" width="8.85546875" style="146" bestFit="1" customWidth="1"/>
    <col min="597" max="603" width="8.7109375" style="146"/>
    <col min="604" max="604" width="8.85546875" style="146" bestFit="1" customWidth="1"/>
    <col min="605" max="611" width="8.7109375" style="146"/>
    <col min="612" max="612" width="8.85546875" style="146" bestFit="1" customWidth="1"/>
    <col min="613" max="619" width="8.7109375" style="146"/>
    <col min="620" max="620" width="8.85546875" style="146" bestFit="1" customWidth="1"/>
    <col min="621" max="627" width="8.7109375" style="146"/>
    <col min="628" max="628" width="8.85546875" style="146" bestFit="1" customWidth="1"/>
    <col min="629" max="635" width="8.7109375" style="146"/>
    <col min="636" max="636" width="8.85546875" style="146" bestFit="1" customWidth="1"/>
    <col min="637" max="643" width="8.7109375" style="146"/>
    <col min="644" max="644" width="8.85546875" style="146" bestFit="1" customWidth="1"/>
    <col min="645" max="651" width="8.7109375" style="146"/>
    <col min="652" max="652" width="8.85546875" style="146" bestFit="1" customWidth="1"/>
    <col min="653" max="659" width="8.7109375" style="146"/>
    <col min="660" max="660" width="8.85546875" style="146" bestFit="1" customWidth="1"/>
    <col min="661" max="667" width="8.7109375" style="146"/>
    <col min="668" max="668" width="8.85546875" style="146" bestFit="1" customWidth="1"/>
    <col min="669" max="675" width="8.7109375" style="146"/>
    <col min="676" max="676" width="8.85546875" style="146" bestFit="1" customWidth="1"/>
    <col min="677" max="683" width="8.7109375" style="146"/>
    <col min="684" max="684" width="8.85546875" style="146" bestFit="1" customWidth="1"/>
    <col min="685" max="691" width="8.7109375" style="146"/>
    <col min="692" max="692" width="8.85546875" style="146" bestFit="1" customWidth="1"/>
    <col min="693" max="699" width="8.7109375" style="146"/>
    <col min="700" max="700" width="8.85546875" style="146" bestFit="1" customWidth="1"/>
    <col min="701" max="707" width="8.7109375" style="146"/>
    <col min="708" max="708" width="8.85546875" style="146" bestFit="1" customWidth="1"/>
    <col min="709" max="715" width="8.7109375" style="146"/>
    <col min="716" max="716" width="8.85546875" style="146" bestFit="1" customWidth="1"/>
    <col min="717" max="723" width="8.7109375" style="146"/>
    <col min="724" max="724" width="8.85546875" style="146" bestFit="1" customWidth="1"/>
    <col min="725" max="731" width="8.7109375" style="146"/>
    <col min="732" max="732" width="8.85546875" style="146" bestFit="1" customWidth="1"/>
    <col min="733" max="739" width="8.7109375" style="146"/>
    <col min="740" max="740" width="8.85546875" style="146" bestFit="1" customWidth="1"/>
    <col min="741" max="747" width="8.7109375" style="146"/>
    <col min="748" max="748" width="8.85546875" style="146" bestFit="1" customWidth="1"/>
    <col min="749" max="755" width="8.7109375" style="146"/>
    <col min="756" max="756" width="8.85546875" style="146" bestFit="1" customWidth="1"/>
    <col min="757" max="763" width="8.7109375" style="146"/>
    <col min="764" max="764" width="8.85546875" style="146" bestFit="1" customWidth="1"/>
    <col min="765" max="771" width="8.7109375" style="146"/>
    <col min="772" max="772" width="8.85546875" style="146" bestFit="1" customWidth="1"/>
    <col min="773" max="779" width="8.7109375" style="146"/>
    <col min="780" max="780" width="8.85546875" style="146" bestFit="1" customWidth="1"/>
    <col min="781" max="787" width="8.7109375" style="146"/>
    <col min="788" max="788" width="8.85546875" style="146" bestFit="1" customWidth="1"/>
    <col min="789" max="795" width="8.7109375" style="146"/>
    <col min="796" max="796" width="8.85546875" style="146" bestFit="1" customWidth="1"/>
    <col min="797" max="803" width="8.7109375" style="146"/>
    <col min="804" max="804" width="8.85546875" style="146" bestFit="1" customWidth="1"/>
    <col min="805" max="811" width="8.7109375" style="146"/>
    <col min="812" max="812" width="8.85546875" style="146" bestFit="1" customWidth="1"/>
    <col min="813" max="819" width="8.7109375" style="146"/>
    <col min="820" max="820" width="8.85546875" style="146" bestFit="1" customWidth="1"/>
    <col min="821" max="827" width="8.7109375" style="146"/>
    <col min="828" max="828" width="8.85546875" style="146" bestFit="1" customWidth="1"/>
    <col min="829" max="835" width="8.7109375" style="146"/>
    <col min="836" max="836" width="8.85546875" style="146" bestFit="1" customWidth="1"/>
    <col min="837" max="843" width="8.7109375" style="146"/>
    <col min="844" max="844" width="8.85546875" style="146" bestFit="1" customWidth="1"/>
    <col min="845" max="851" width="8.7109375" style="146"/>
    <col min="852" max="852" width="8.85546875" style="146" bestFit="1" customWidth="1"/>
    <col min="853" max="859" width="8.7109375" style="146"/>
    <col min="860" max="860" width="8.85546875" style="146" bestFit="1" customWidth="1"/>
    <col min="861" max="867" width="8.7109375" style="146"/>
    <col min="868" max="868" width="8.85546875" style="146" bestFit="1" customWidth="1"/>
    <col min="869" max="875" width="8.7109375" style="146"/>
    <col min="876" max="876" width="8.85546875" style="146" bestFit="1" customWidth="1"/>
    <col min="877" max="883" width="8.7109375" style="146"/>
    <col min="884" max="884" width="8.85546875" style="146" bestFit="1" customWidth="1"/>
    <col min="885" max="891" width="8.7109375" style="146"/>
    <col min="892" max="892" width="8.85546875" style="146" bestFit="1" customWidth="1"/>
    <col min="893" max="899" width="8.7109375" style="146"/>
    <col min="900" max="900" width="8.85546875" style="146" bestFit="1" customWidth="1"/>
    <col min="901" max="907" width="8.7109375" style="146"/>
    <col min="908" max="908" width="8.85546875" style="146" bestFit="1" customWidth="1"/>
    <col min="909" max="915" width="8.7109375" style="146"/>
    <col min="916" max="916" width="8.85546875" style="146" bestFit="1" customWidth="1"/>
    <col min="917" max="923" width="8.7109375" style="146"/>
    <col min="924" max="924" width="8.85546875" style="146" bestFit="1" customWidth="1"/>
    <col min="925" max="931" width="8.7109375" style="146"/>
    <col min="932" max="932" width="8.85546875" style="146" bestFit="1" customWidth="1"/>
    <col min="933" max="939" width="8.7109375" style="146"/>
    <col min="940" max="940" width="8.85546875" style="146" bestFit="1" customWidth="1"/>
    <col min="941" max="947" width="8.7109375" style="146"/>
    <col min="948" max="948" width="8.85546875" style="146" bestFit="1" customWidth="1"/>
    <col min="949" max="955" width="8.7109375" style="146"/>
    <col min="956" max="956" width="8.85546875" style="146" bestFit="1" customWidth="1"/>
    <col min="957" max="963" width="8.7109375" style="146"/>
    <col min="964" max="964" width="8.85546875" style="146" bestFit="1" customWidth="1"/>
    <col min="965" max="971" width="8.7109375" style="146"/>
    <col min="972" max="972" width="8.85546875" style="146" bestFit="1" customWidth="1"/>
    <col min="973" max="979" width="8.7109375" style="146"/>
    <col min="980" max="980" width="8.85546875" style="146" bestFit="1" customWidth="1"/>
    <col min="981" max="987" width="8.7109375" style="146"/>
    <col min="988" max="988" width="8.85546875" style="146" bestFit="1" customWidth="1"/>
    <col min="989" max="995" width="8.7109375" style="146"/>
    <col min="996" max="996" width="8.85546875" style="146" bestFit="1" customWidth="1"/>
    <col min="997" max="1003" width="8.7109375" style="146"/>
    <col min="1004" max="1004" width="8.85546875" style="146" bestFit="1" customWidth="1"/>
    <col min="1005" max="1011" width="8.7109375" style="146"/>
    <col min="1012" max="1012" width="8.85546875" style="146" bestFit="1" customWidth="1"/>
    <col min="1013" max="1019" width="8.7109375" style="146"/>
    <col min="1020" max="1020" width="8.85546875" style="146" bestFit="1" customWidth="1"/>
    <col min="1021" max="1027" width="8.7109375" style="146"/>
    <col min="1028" max="1028" width="8.85546875" style="146" bestFit="1" customWidth="1"/>
    <col min="1029" max="1035" width="8.7109375" style="146"/>
    <col min="1036" max="1036" width="8.85546875" style="146" bestFit="1" customWidth="1"/>
    <col min="1037" max="1043" width="8.7109375" style="146"/>
    <col min="1044" max="1044" width="8.85546875" style="146" bestFit="1" customWidth="1"/>
    <col min="1045" max="1051" width="8.7109375" style="146"/>
    <col min="1052" max="1052" width="8.85546875" style="146" bestFit="1" customWidth="1"/>
    <col min="1053" max="1059" width="8.7109375" style="146"/>
    <col min="1060" max="1060" width="8.85546875" style="146" bestFit="1" customWidth="1"/>
    <col min="1061" max="1067" width="8.7109375" style="146"/>
    <col min="1068" max="1068" width="8.85546875" style="146" bestFit="1" customWidth="1"/>
    <col min="1069" max="1075" width="8.7109375" style="146"/>
    <col min="1076" max="1076" width="8.85546875" style="146" bestFit="1" customWidth="1"/>
    <col min="1077" max="1083" width="8.7109375" style="146"/>
    <col min="1084" max="1084" width="8.85546875" style="146" bestFit="1" customWidth="1"/>
    <col min="1085" max="1091" width="8.7109375" style="146"/>
    <col min="1092" max="1092" width="8.85546875" style="146" bestFit="1" customWidth="1"/>
    <col min="1093" max="1099" width="8.7109375" style="146"/>
    <col min="1100" max="1100" width="8.85546875" style="146" bestFit="1" customWidth="1"/>
    <col min="1101" max="1107" width="8.7109375" style="146"/>
    <col min="1108" max="1108" width="8.85546875" style="146" bestFit="1" customWidth="1"/>
    <col min="1109" max="1115" width="8.7109375" style="146"/>
    <col min="1116" max="1116" width="8.85546875" style="146" bestFit="1" customWidth="1"/>
    <col min="1117" max="1123" width="8.7109375" style="146"/>
    <col min="1124" max="1124" width="8.85546875" style="146" bestFit="1" customWidth="1"/>
    <col min="1125" max="1131" width="8.7109375" style="146"/>
    <col min="1132" max="1132" width="8.85546875" style="146" bestFit="1" customWidth="1"/>
    <col min="1133" max="1139" width="8.7109375" style="146"/>
    <col min="1140" max="1140" width="8.85546875" style="146" bestFit="1" customWidth="1"/>
    <col min="1141" max="1147" width="8.7109375" style="146"/>
    <col min="1148" max="1148" width="8.85546875" style="146" bestFit="1" customWidth="1"/>
    <col min="1149" max="1155" width="8.7109375" style="146"/>
    <col min="1156" max="1156" width="8.85546875" style="146" bestFit="1" customWidth="1"/>
    <col min="1157" max="1163" width="8.7109375" style="146"/>
    <col min="1164" max="1164" width="8.85546875" style="146" bestFit="1" customWidth="1"/>
    <col min="1165" max="1171" width="8.7109375" style="146"/>
    <col min="1172" max="1172" width="8.85546875" style="146" bestFit="1" customWidth="1"/>
    <col min="1173" max="1179" width="8.7109375" style="146"/>
    <col min="1180" max="1180" width="8.85546875" style="146" bestFit="1" customWidth="1"/>
    <col min="1181" max="1187" width="8.7109375" style="146"/>
    <col min="1188" max="1188" width="8.85546875" style="146" bestFit="1" customWidth="1"/>
    <col min="1189" max="1195" width="8.7109375" style="146"/>
    <col min="1196" max="1196" width="8.85546875" style="146" bestFit="1" customWidth="1"/>
    <col min="1197" max="1203" width="8.7109375" style="146"/>
    <col min="1204" max="1204" width="8.85546875" style="146" bestFit="1" customWidth="1"/>
    <col min="1205" max="1211" width="8.7109375" style="146"/>
    <col min="1212" max="1212" width="8.85546875" style="146" bestFit="1" customWidth="1"/>
    <col min="1213" max="1219" width="8.7109375" style="146"/>
    <col min="1220" max="1220" width="8.85546875" style="146" bestFit="1" customWidth="1"/>
    <col min="1221" max="1227" width="8.7109375" style="146"/>
    <col min="1228" max="1228" width="8.85546875" style="146" bestFit="1" customWidth="1"/>
    <col min="1229" max="1235" width="8.7109375" style="146"/>
    <col min="1236" max="1236" width="8.85546875" style="146" bestFit="1" customWidth="1"/>
    <col min="1237" max="1243" width="8.7109375" style="146"/>
    <col min="1244" max="1244" width="8.85546875" style="146" bestFit="1" customWidth="1"/>
    <col min="1245" max="1251" width="8.7109375" style="146"/>
    <col min="1252" max="1252" width="8.85546875" style="146" bestFit="1" customWidth="1"/>
    <col min="1253" max="1259" width="8.7109375" style="146"/>
    <col min="1260" max="1260" width="8.85546875" style="146" bestFit="1" customWidth="1"/>
    <col min="1261" max="1267" width="8.7109375" style="146"/>
    <col min="1268" max="1268" width="8.85546875" style="146" bestFit="1" customWidth="1"/>
    <col min="1269" max="1275" width="8.7109375" style="146"/>
    <col min="1276" max="1276" width="8.85546875" style="146" bestFit="1" customWidth="1"/>
    <col min="1277" max="1283" width="8.7109375" style="146"/>
    <col min="1284" max="1284" width="8.85546875" style="146" bestFit="1" customWidth="1"/>
    <col min="1285" max="1291" width="8.7109375" style="146"/>
    <col min="1292" max="1292" width="8.85546875" style="146" bestFit="1" customWidth="1"/>
    <col min="1293" max="1299" width="8.7109375" style="146"/>
    <col min="1300" max="1300" width="8.85546875" style="146" bestFit="1" customWidth="1"/>
    <col min="1301" max="1307" width="8.7109375" style="146"/>
    <col min="1308" max="1308" width="8.85546875" style="146" bestFit="1" customWidth="1"/>
    <col min="1309" max="1315" width="8.7109375" style="146"/>
    <col min="1316" max="1316" width="8.85546875" style="146" bestFit="1" customWidth="1"/>
    <col min="1317" max="1323" width="8.7109375" style="146"/>
    <col min="1324" max="1324" width="8.85546875" style="146" bestFit="1" customWidth="1"/>
    <col min="1325" max="1331" width="8.7109375" style="146"/>
    <col min="1332" max="1332" width="8.85546875" style="146" bestFit="1" customWidth="1"/>
    <col min="1333" max="1339" width="8.7109375" style="146"/>
    <col min="1340" max="1340" width="8.85546875" style="146" bestFit="1" customWidth="1"/>
    <col min="1341" max="1347" width="8.7109375" style="146"/>
    <col min="1348" max="1348" width="8.85546875" style="146" bestFit="1" customWidth="1"/>
    <col min="1349" max="1355" width="8.7109375" style="146"/>
    <col min="1356" max="1356" width="8.85546875" style="146" bestFit="1" customWidth="1"/>
    <col min="1357" max="1363" width="8.7109375" style="146"/>
    <col min="1364" max="1364" width="8.85546875" style="146" bestFit="1" customWidth="1"/>
    <col min="1365" max="1371" width="8.7109375" style="146"/>
    <col min="1372" max="1372" width="8.85546875" style="146" bestFit="1" customWidth="1"/>
    <col min="1373" max="1379" width="8.7109375" style="146"/>
    <col min="1380" max="1380" width="8.85546875" style="146" bestFit="1" customWidth="1"/>
    <col min="1381" max="1387" width="8.7109375" style="146"/>
    <col min="1388" max="1388" width="8.85546875" style="146" bestFit="1" customWidth="1"/>
    <col min="1389" max="1395" width="8.7109375" style="146"/>
    <col min="1396" max="1396" width="8.85546875" style="146" bestFit="1" customWidth="1"/>
    <col min="1397" max="1403" width="8.7109375" style="146"/>
    <col min="1404" max="1404" width="8.85546875" style="146" bestFit="1" customWidth="1"/>
    <col min="1405" max="1411" width="8.7109375" style="146"/>
    <col min="1412" max="1412" width="8.85546875" style="146" bestFit="1" customWidth="1"/>
    <col min="1413" max="1419" width="8.7109375" style="146"/>
    <col min="1420" max="1420" width="8.85546875" style="146" bestFit="1" customWidth="1"/>
    <col min="1421" max="1427" width="8.7109375" style="146"/>
    <col min="1428" max="1428" width="8.85546875" style="146" bestFit="1" customWidth="1"/>
    <col min="1429" max="1435" width="8.7109375" style="146"/>
    <col min="1436" max="1436" width="8.85546875" style="146" bestFit="1" customWidth="1"/>
    <col min="1437" max="1443" width="8.7109375" style="146"/>
    <col min="1444" max="1444" width="8.85546875" style="146" bestFit="1" customWidth="1"/>
    <col min="1445" max="1451" width="8.7109375" style="146"/>
    <col min="1452" max="1452" width="8.85546875" style="146" bestFit="1" customWidth="1"/>
    <col min="1453" max="1459" width="8.7109375" style="146"/>
    <col min="1460" max="1460" width="8.85546875" style="146" bestFit="1" customWidth="1"/>
    <col min="1461" max="1467" width="8.7109375" style="146"/>
    <col min="1468" max="1468" width="8.85546875" style="146" bestFit="1" customWidth="1"/>
    <col min="1469" max="1475" width="8.7109375" style="146"/>
    <col min="1476" max="1476" width="8.85546875" style="146" bestFit="1" customWidth="1"/>
    <col min="1477" max="1483" width="8.7109375" style="146"/>
    <col min="1484" max="1484" width="8.85546875" style="146" bestFit="1" customWidth="1"/>
    <col min="1485" max="1491" width="8.7109375" style="146"/>
    <col min="1492" max="1492" width="8.85546875" style="146" bestFit="1" customWidth="1"/>
    <col min="1493" max="1499" width="8.7109375" style="146"/>
    <col min="1500" max="1500" width="8.85546875" style="146" bestFit="1" customWidth="1"/>
    <col min="1501" max="1507" width="8.7109375" style="146"/>
    <col min="1508" max="1508" width="8.85546875" style="146" bestFit="1" customWidth="1"/>
    <col min="1509" max="1515" width="8.7109375" style="146"/>
    <col min="1516" max="1516" width="8.85546875" style="146" bestFit="1" customWidth="1"/>
    <col min="1517" max="1523" width="8.7109375" style="146"/>
    <col min="1524" max="1524" width="8.85546875" style="146" bestFit="1" customWidth="1"/>
    <col min="1525" max="1531" width="8.7109375" style="146"/>
    <col min="1532" max="1532" width="8.85546875" style="146" bestFit="1" customWidth="1"/>
    <col min="1533" max="1539" width="8.7109375" style="146"/>
    <col min="1540" max="1540" width="8.85546875" style="146" bestFit="1" customWidth="1"/>
    <col min="1541" max="1547" width="8.7109375" style="146"/>
    <col min="1548" max="1548" width="8.85546875" style="146" bestFit="1" customWidth="1"/>
    <col min="1549" max="1555" width="8.7109375" style="146"/>
    <col min="1556" max="1556" width="8.85546875" style="146" bestFit="1" customWidth="1"/>
    <col min="1557" max="1563" width="8.7109375" style="146"/>
    <col min="1564" max="1564" width="8.85546875" style="146" bestFit="1" customWidth="1"/>
    <col min="1565" max="1571" width="8.7109375" style="146"/>
    <col min="1572" max="1572" width="8.85546875" style="146" bestFit="1" customWidth="1"/>
    <col min="1573" max="1579" width="8.7109375" style="146"/>
    <col min="1580" max="1580" width="8.85546875" style="146" bestFit="1" customWidth="1"/>
    <col min="1581" max="1587" width="8.7109375" style="146"/>
    <col min="1588" max="1588" width="8.85546875" style="146" bestFit="1" customWidth="1"/>
    <col min="1589" max="1595" width="8.7109375" style="146"/>
    <col min="1596" max="1596" width="8.85546875" style="146" bestFit="1" customWidth="1"/>
    <col min="1597" max="1603" width="8.7109375" style="146"/>
    <col min="1604" max="1604" width="8.85546875" style="146" bestFit="1" customWidth="1"/>
    <col min="1605" max="1611" width="8.7109375" style="146"/>
    <col min="1612" max="1612" width="8.85546875" style="146" bestFit="1" customWidth="1"/>
    <col min="1613" max="1619" width="8.7109375" style="146"/>
    <col min="1620" max="1620" width="8.85546875" style="146" bestFit="1" customWidth="1"/>
    <col min="1621" max="1627" width="8.7109375" style="146"/>
    <col min="1628" max="1628" width="8.85546875" style="146" bestFit="1" customWidth="1"/>
    <col min="1629" max="1635" width="8.7109375" style="146"/>
    <col min="1636" max="1636" width="8.85546875" style="146" bestFit="1" customWidth="1"/>
    <col min="1637" max="1643" width="8.7109375" style="146"/>
    <col min="1644" max="1644" width="8.85546875" style="146" bestFit="1" customWidth="1"/>
    <col min="1645" max="1651" width="8.7109375" style="146"/>
    <col min="1652" max="1652" width="8.85546875" style="146" bestFit="1" customWidth="1"/>
    <col min="1653" max="1659" width="8.7109375" style="146"/>
    <col min="1660" max="1660" width="8.85546875" style="146" bestFit="1" customWidth="1"/>
    <col min="1661" max="1667" width="8.7109375" style="146"/>
    <col min="1668" max="1668" width="8.85546875" style="146" bestFit="1" customWidth="1"/>
    <col min="1669" max="1675" width="8.7109375" style="146"/>
    <col min="1676" max="1676" width="8.85546875" style="146" bestFit="1" customWidth="1"/>
    <col min="1677" max="1683" width="8.7109375" style="146"/>
    <col min="1684" max="1684" width="8.85546875" style="146" bestFit="1" customWidth="1"/>
    <col min="1685" max="1691" width="8.7109375" style="146"/>
    <col min="1692" max="1692" width="8.85546875" style="146" bestFit="1" customWidth="1"/>
    <col min="1693" max="1699" width="8.7109375" style="146"/>
    <col min="1700" max="1700" width="8.85546875" style="146" bestFit="1" customWidth="1"/>
    <col min="1701" max="1707" width="8.7109375" style="146"/>
    <col min="1708" max="1708" width="8.85546875" style="146" bestFit="1" customWidth="1"/>
    <col min="1709" max="1715" width="8.7109375" style="146"/>
    <col min="1716" max="1716" width="8.85546875" style="146" bestFit="1" customWidth="1"/>
    <col min="1717" max="1723" width="8.7109375" style="146"/>
    <col min="1724" max="1724" width="8.85546875" style="146" bestFit="1" customWidth="1"/>
    <col min="1725" max="1731" width="8.7109375" style="146"/>
    <col min="1732" max="1732" width="8.85546875" style="146" bestFit="1" customWidth="1"/>
    <col min="1733" max="1739" width="8.7109375" style="146"/>
    <col min="1740" max="1740" width="8.85546875" style="146" bestFit="1" customWidth="1"/>
    <col min="1741" max="1747" width="8.7109375" style="146"/>
    <col min="1748" max="1748" width="8.85546875" style="146" bestFit="1" customWidth="1"/>
    <col min="1749" max="1755" width="8.7109375" style="146"/>
    <col min="1756" max="1756" width="8.85546875" style="146" bestFit="1" customWidth="1"/>
    <col min="1757" max="1763" width="8.7109375" style="146"/>
    <col min="1764" max="1764" width="8.85546875" style="146" bestFit="1" customWidth="1"/>
    <col min="1765" max="1771" width="8.7109375" style="146"/>
    <col min="1772" max="1772" width="8.85546875" style="146" bestFit="1" customWidth="1"/>
    <col min="1773" max="1779" width="8.7109375" style="146"/>
    <col min="1780" max="1780" width="8.85546875" style="146" bestFit="1" customWidth="1"/>
    <col min="1781" max="1787" width="8.7109375" style="146"/>
    <col min="1788" max="1788" width="8.85546875" style="146" bestFit="1" customWidth="1"/>
    <col min="1789" max="1795" width="8.7109375" style="146"/>
    <col min="1796" max="1796" width="8.85546875" style="146" bestFit="1" customWidth="1"/>
    <col min="1797" max="1803" width="8.7109375" style="146"/>
    <col min="1804" max="1804" width="8.85546875" style="146" bestFit="1" customWidth="1"/>
    <col min="1805" max="1811" width="8.7109375" style="146"/>
    <col min="1812" max="1812" width="8.85546875" style="146" bestFit="1" customWidth="1"/>
    <col min="1813" max="1819" width="8.7109375" style="146"/>
    <col min="1820" max="1820" width="8.85546875" style="146" bestFit="1" customWidth="1"/>
    <col min="1821" max="1827" width="8.7109375" style="146"/>
    <col min="1828" max="1828" width="8.85546875" style="146" bestFit="1" customWidth="1"/>
    <col min="1829" max="1835" width="8.7109375" style="146"/>
    <col min="1836" max="1836" width="8.85546875" style="146" bestFit="1" customWidth="1"/>
    <col min="1837" max="1843" width="8.7109375" style="146"/>
    <col min="1844" max="1844" width="8.85546875" style="146" bestFit="1" customWidth="1"/>
    <col min="1845" max="1851" width="8.7109375" style="146"/>
    <col min="1852" max="1852" width="8.85546875" style="146" bestFit="1" customWidth="1"/>
    <col min="1853" max="1859" width="8.7109375" style="146"/>
    <col min="1860" max="1860" width="8.85546875" style="146" bestFit="1" customWidth="1"/>
    <col min="1861" max="1867" width="8.7109375" style="146"/>
    <col min="1868" max="1868" width="8.85546875" style="146" bestFit="1" customWidth="1"/>
    <col min="1869" max="1875" width="8.7109375" style="146"/>
    <col min="1876" max="1876" width="8.85546875" style="146" bestFit="1" customWidth="1"/>
    <col min="1877" max="1883" width="8.7109375" style="146"/>
    <col min="1884" max="1884" width="8.85546875" style="146" bestFit="1" customWidth="1"/>
    <col min="1885" max="1891" width="8.7109375" style="146"/>
    <col min="1892" max="1892" width="8.85546875" style="146" bestFit="1" customWidth="1"/>
    <col min="1893" max="1899" width="8.7109375" style="146"/>
    <col min="1900" max="1900" width="8.85546875" style="146" bestFit="1" customWidth="1"/>
    <col min="1901" max="1907" width="8.7109375" style="146"/>
    <col min="1908" max="1908" width="8.85546875" style="146" bestFit="1" customWidth="1"/>
    <col min="1909" max="1915" width="8.7109375" style="146"/>
    <col min="1916" max="1916" width="8.85546875" style="146" bestFit="1" customWidth="1"/>
    <col min="1917" max="1923" width="8.7109375" style="146"/>
    <col min="1924" max="1924" width="8.85546875" style="146" bestFit="1" customWidth="1"/>
    <col min="1925" max="1931" width="8.7109375" style="146"/>
    <col min="1932" max="1932" width="8.85546875" style="146" bestFit="1" customWidth="1"/>
    <col min="1933" max="1939" width="8.7109375" style="146"/>
    <col min="1940" max="1940" width="8.85546875" style="146" bestFit="1" customWidth="1"/>
    <col min="1941" max="1947" width="8.7109375" style="146"/>
    <col min="1948" max="1948" width="8.85546875" style="146" bestFit="1" customWidth="1"/>
    <col min="1949" max="1955" width="8.7109375" style="146"/>
    <col min="1956" max="1956" width="8.85546875" style="146" bestFit="1" customWidth="1"/>
    <col min="1957" max="1963" width="8.7109375" style="146"/>
    <col min="1964" max="1964" width="8.85546875" style="146" bestFit="1" customWidth="1"/>
    <col min="1965" max="1971" width="8.7109375" style="146"/>
    <col min="1972" max="1972" width="8.85546875" style="146" bestFit="1" customWidth="1"/>
    <col min="1973" max="1979" width="8.7109375" style="146"/>
    <col min="1980" max="1980" width="8.85546875" style="146" bestFit="1" customWidth="1"/>
    <col min="1981" max="1987" width="8.7109375" style="146"/>
    <col min="1988" max="1988" width="8.85546875" style="146" bestFit="1" customWidth="1"/>
    <col min="1989" max="1995" width="8.7109375" style="146"/>
    <col min="1996" max="1996" width="8.85546875" style="146" bestFit="1" customWidth="1"/>
    <col min="1997" max="2003" width="8.7109375" style="146"/>
    <col min="2004" max="2004" width="8.85546875" style="146" bestFit="1" customWidth="1"/>
    <col min="2005" max="2011" width="8.7109375" style="146"/>
    <col min="2012" max="2012" width="8.85546875" style="146" bestFit="1" customWidth="1"/>
    <col min="2013" max="2019" width="8.7109375" style="146"/>
    <col min="2020" max="2020" width="8.85546875" style="146" bestFit="1" customWidth="1"/>
    <col min="2021" max="2027" width="8.7109375" style="146"/>
    <col min="2028" max="2028" width="8.85546875" style="146" bestFit="1" customWidth="1"/>
    <col min="2029" max="2035" width="8.7109375" style="146"/>
    <col min="2036" max="2036" width="8.85546875" style="146" bestFit="1" customWidth="1"/>
    <col min="2037" max="2043" width="8.7109375" style="146"/>
    <col min="2044" max="2044" width="8.85546875" style="146" bestFit="1" customWidth="1"/>
    <col min="2045" max="2051" width="8.7109375" style="146"/>
    <col min="2052" max="2052" width="8.85546875" style="146" bestFit="1" customWidth="1"/>
    <col min="2053" max="2059" width="8.7109375" style="146"/>
    <col min="2060" max="2060" width="8.85546875" style="146" bestFit="1" customWidth="1"/>
    <col min="2061" max="2067" width="8.7109375" style="146"/>
    <col min="2068" max="2068" width="8.85546875" style="146" bestFit="1" customWidth="1"/>
    <col min="2069" max="2075" width="8.7109375" style="146"/>
    <col min="2076" max="2076" width="8.85546875" style="146" bestFit="1" customWidth="1"/>
    <col min="2077" max="2083" width="8.7109375" style="146"/>
    <col min="2084" max="2084" width="8.85546875" style="146" bestFit="1" customWidth="1"/>
    <col min="2085" max="2091" width="8.7109375" style="146"/>
    <col min="2092" max="2092" width="8.85546875" style="146" bestFit="1" customWidth="1"/>
    <col min="2093" max="2099" width="8.7109375" style="146"/>
    <col min="2100" max="2100" width="8.85546875" style="146" bestFit="1" customWidth="1"/>
    <col min="2101" max="2107" width="8.7109375" style="146"/>
    <col min="2108" max="2108" width="8.85546875" style="146" bestFit="1" customWidth="1"/>
    <col min="2109" max="2115" width="8.7109375" style="146"/>
    <col min="2116" max="2116" width="8.85546875" style="146" bestFit="1" customWidth="1"/>
    <col min="2117" max="2123" width="8.7109375" style="146"/>
    <col min="2124" max="2124" width="8.85546875" style="146" bestFit="1" customWidth="1"/>
    <col min="2125" max="2131" width="8.7109375" style="146"/>
    <col min="2132" max="2132" width="8.85546875" style="146" bestFit="1" customWidth="1"/>
    <col min="2133" max="2139" width="8.7109375" style="146"/>
    <col min="2140" max="2140" width="8.85546875" style="146" bestFit="1" customWidth="1"/>
    <col min="2141" max="2147" width="8.7109375" style="146"/>
    <col min="2148" max="2148" width="8.85546875" style="146" bestFit="1" customWidth="1"/>
    <col min="2149" max="2155" width="8.7109375" style="146"/>
    <col min="2156" max="2156" width="8.85546875" style="146" bestFit="1" customWidth="1"/>
    <col min="2157" max="2163" width="8.7109375" style="146"/>
    <col min="2164" max="2164" width="8.85546875" style="146" bestFit="1" customWidth="1"/>
    <col min="2165" max="2171" width="8.7109375" style="146"/>
    <col min="2172" max="2172" width="8.85546875" style="146" bestFit="1" customWidth="1"/>
    <col min="2173" max="2179" width="8.7109375" style="146"/>
    <col min="2180" max="2180" width="8.85546875" style="146" bestFit="1" customWidth="1"/>
    <col min="2181" max="2187" width="8.7109375" style="146"/>
    <col min="2188" max="2188" width="8.85546875" style="146" bestFit="1" customWidth="1"/>
    <col min="2189" max="2195" width="8.7109375" style="146"/>
    <col min="2196" max="2196" width="8.85546875" style="146" bestFit="1" customWidth="1"/>
    <col min="2197" max="2203" width="8.7109375" style="146"/>
    <col min="2204" max="2204" width="8.85546875" style="146" bestFit="1" customWidth="1"/>
    <col min="2205" max="2211" width="8.7109375" style="146"/>
    <col min="2212" max="2212" width="8.85546875" style="146" bestFit="1" customWidth="1"/>
    <col min="2213" max="2219" width="8.7109375" style="146"/>
    <col min="2220" max="2220" width="8.85546875" style="146" bestFit="1" customWidth="1"/>
    <col min="2221" max="2227" width="8.7109375" style="146"/>
    <col min="2228" max="2228" width="8.85546875" style="146" bestFit="1" customWidth="1"/>
    <col min="2229" max="2235" width="8.7109375" style="146"/>
    <col min="2236" max="2236" width="8.85546875" style="146" bestFit="1" customWidth="1"/>
    <col min="2237" max="2243" width="8.7109375" style="146"/>
    <col min="2244" max="2244" width="8.85546875" style="146" bestFit="1" customWidth="1"/>
    <col min="2245" max="2251" width="8.7109375" style="146"/>
    <col min="2252" max="2252" width="8.85546875" style="146" bestFit="1" customWidth="1"/>
    <col min="2253" max="2259" width="8.7109375" style="146"/>
    <col min="2260" max="2260" width="8.85546875" style="146" bestFit="1" customWidth="1"/>
    <col min="2261" max="2267" width="8.7109375" style="146"/>
    <col min="2268" max="2268" width="8.85546875" style="146" bestFit="1" customWidth="1"/>
    <col min="2269" max="2275" width="8.7109375" style="146"/>
    <col min="2276" max="2276" width="8.85546875" style="146" bestFit="1" customWidth="1"/>
    <col min="2277" max="2283" width="8.7109375" style="146"/>
    <col min="2284" max="2284" width="8.85546875" style="146" bestFit="1" customWidth="1"/>
    <col min="2285" max="2291" width="8.7109375" style="146"/>
    <col min="2292" max="2292" width="8.85546875" style="146" bestFit="1" customWidth="1"/>
    <col min="2293" max="2299" width="8.7109375" style="146"/>
    <col min="2300" max="2300" width="8.85546875" style="146" bestFit="1" customWidth="1"/>
    <col min="2301" max="2307" width="8.7109375" style="146"/>
    <col min="2308" max="2308" width="8.85546875" style="146" bestFit="1" customWidth="1"/>
    <col min="2309" max="2315" width="8.7109375" style="146"/>
    <col min="2316" max="2316" width="8.85546875" style="146" bestFit="1" customWidth="1"/>
    <col min="2317" max="2323" width="8.7109375" style="146"/>
    <col min="2324" max="2324" width="8.85546875" style="146" bestFit="1" customWidth="1"/>
    <col min="2325" max="2331" width="8.7109375" style="146"/>
    <col min="2332" max="2332" width="8.85546875" style="146" bestFit="1" customWidth="1"/>
    <col min="2333" max="2339" width="8.7109375" style="146"/>
    <col min="2340" max="2340" width="8.85546875" style="146" bestFit="1" customWidth="1"/>
    <col min="2341" max="2347" width="8.7109375" style="146"/>
    <col min="2348" max="2348" width="8.85546875" style="146" bestFit="1" customWidth="1"/>
    <col min="2349" max="2355" width="8.7109375" style="146"/>
    <col min="2356" max="2356" width="8.85546875" style="146" bestFit="1" customWidth="1"/>
    <col min="2357" max="2363" width="8.7109375" style="146"/>
    <col min="2364" max="2364" width="8.85546875" style="146" bestFit="1" customWidth="1"/>
    <col min="2365" max="2371" width="8.7109375" style="146"/>
    <col min="2372" max="2372" width="8.85546875" style="146" bestFit="1" customWidth="1"/>
    <col min="2373" max="2379" width="8.7109375" style="146"/>
    <col min="2380" max="2380" width="8.85546875" style="146" bestFit="1" customWidth="1"/>
    <col min="2381" max="2387" width="8.7109375" style="146"/>
    <col min="2388" max="2388" width="8.85546875" style="146" bestFit="1" customWidth="1"/>
    <col min="2389" max="2395" width="8.7109375" style="146"/>
    <col min="2396" max="2396" width="8.85546875" style="146" bestFit="1" customWidth="1"/>
    <col min="2397" max="2403" width="8.7109375" style="146"/>
    <col min="2404" max="2404" width="8.85546875" style="146" bestFit="1" customWidth="1"/>
    <col min="2405" max="2411" width="8.7109375" style="146"/>
    <col min="2412" max="2412" width="8.85546875" style="146" bestFit="1" customWidth="1"/>
    <col min="2413" max="2419" width="8.7109375" style="146"/>
    <col min="2420" max="2420" width="8.85546875" style="146" bestFit="1" customWidth="1"/>
    <col min="2421" max="2427" width="8.7109375" style="146"/>
    <col min="2428" max="2428" width="8.85546875" style="146" bestFit="1" customWidth="1"/>
    <col min="2429" max="2435" width="8.7109375" style="146"/>
    <col min="2436" max="2436" width="8.85546875" style="146" bestFit="1" customWidth="1"/>
    <col min="2437" max="2443" width="8.7109375" style="146"/>
    <col min="2444" max="2444" width="8.85546875" style="146" bestFit="1" customWidth="1"/>
    <col min="2445" max="2451" width="8.7109375" style="146"/>
    <col min="2452" max="2452" width="8.85546875" style="146" bestFit="1" customWidth="1"/>
    <col min="2453" max="2459" width="8.7109375" style="146"/>
    <col min="2460" max="2460" width="8.85546875" style="146" bestFit="1" customWidth="1"/>
    <col min="2461" max="2467" width="8.7109375" style="146"/>
    <col min="2468" max="2468" width="8.85546875" style="146" bestFit="1" customWidth="1"/>
    <col min="2469" max="2475" width="8.7109375" style="146"/>
    <col min="2476" max="2476" width="8.85546875" style="146" bestFit="1" customWidth="1"/>
    <col min="2477" max="2483" width="8.7109375" style="146"/>
    <col min="2484" max="2484" width="8.85546875" style="146" bestFit="1" customWidth="1"/>
    <col min="2485" max="2491" width="8.7109375" style="146"/>
    <col min="2492" max="2492" width="8.85546875" style="146" bestFit="1" customWidth="1"/>
    <col min="2493" max="2499" width="8.7109375" style="146"/>
    <col min="2500" max="2500" width="8.85546875" style="146" bestFit="1" customWidth="1"/>
    <col min="2501" max="2507" width="8.7109375" style="146"/>
    <col min="2508" max="2508" width="8.85546875" style="146" bestFit="1" customWidth="1"/>
    <col min="2509" max="2515" width="8.7109375" style="146"/>
    <col min="2516" max="2516" width="8.85546875" style="146" bestFit="1" customWidth="1"/>
    <col min="2517" max="2523" width="8.7109375" style="146"/>
    <col min="2524" max="2524" width="8.85546875" style="146" bestFit="1" customWidth="1"/>
    <col min="2525" max="2531" width="8.7109375" style="146"/>
    <col min="2532" max="2532" width="8.85546875" style="146" bestFit="1" customWidth="1"/>
    <col min="2533" max="2539" width="8.7109375" style="146"/>
    <col min="2540" max="2540" width="8.85546875" style="146" bestFit="1" customWidth="1"/>
    <col min="2541" max="2547" width="8.7109375" style="146"/>
    <col min="2548" max="2548" width="8.85546875" style="146" bestFit="1" customWidth="1"/>
    <col min="2549" max="2555" width="8.7109375" style="146"/>
    <col min="2556" max="2556" width="8.85546875" style="146" bestFit="1" customWidth="1"/>
    <col min="2557" max="2563" width="8.7109375" style="146"/>
    <col min="2564" max="2564" width="8.85546875" style="146" bestFit="1" customWidth="1"/>
    <col min="2565" max="2571" width="8.7109375" style="146"/>
    <col min="2572" max="2572" width="8.85546875" style="146" bestFit="1" customWidth="1"/>
    <col min="2573" max="2579" width="8.7109375" style="146"/>
    <col min="2580" max="2580" width="8.85546875" style="146" bestFit="1" customWidth="1"/>
    <col min="2581" max="2587" width="8.7109375" style="146"/>
    <col min="2588" max="2588" width="8.85546875" style="146" bestFit="1" customWidth="1"/>
    <col min="2589" max="2595" width="8.7109375" style="146"/>
    <col min="2596" max="2596" width="8.85546875" style="146" bestFit="1" customWidth="1"/>
    <col min="2597" max="2603" width="8.7109375" style="146"/>
    <col min="2604" max="2604" width="8.85546875" style="146" bestFit="1" customWidth="1"/>
    <col min="2605" max="2611" width="8.7109375" style="146"/>
    <col min="2612" max="2612" width="8.85546875" style="146" bestFit="1" customWidth="1"/>
    <col min="2613" max="2619" width="8.7109375" style="146"/>
    <col min="2620" max="2620" width="8.85546875" style="146" bestFit="1" customWidth="1"/>
    <col min="2621" max="2627" width="8.7109375" style="146"/>
    <col min="2628" max="2628" width="8.85546875" style="146" bestFit="1" customWidth="1"/>
    <col min="2629" max="2635" width="8.7109375" style="146"/>
    <col min="2636" max="2636" width="8.85546875" style="146" bestFit="1" customWidth="1"/>
    <col min="2637" max="2643" width="8.7109375" style="146"/>
    <col min="2644" max="2644" width="8.85546875" style="146" bestFit="1" customWidth="1"/>
    <col min="2645" max="2651" width="8.7109375" style="146"/>
    <col min="2652" max="2652" width="8.85546875" style="146" bestFit="1" customWidth="1"/>
    <col min="2653" max="2659" width="8.7109375" style="146"/>
    <col min="2660" max="2660" width="8.85546875" style="146" bestFit="1" customWidth="1"/>
    <col min="2661" max="2667" width="8.7109375" style="146"/>
    <col min="2668" max="2668" width="8.85546875" style="146" bestFit="1" customWidth="1"/>
    <col min="2669" max="2675" width="8.7109375" style="146"/>
    <col min="2676" max="2676" width="8.85546875" style="146" bestFit="1" customWidth="1"/>
    <col min="2677" max="2683" width="8.7109375" style="146"/>
    <col min="2684" max="2684" width="8.85546875" style="146" bestFit="1" customWidth="1"/>
    <col min="2685" max="2691" width="8.7109375" style="146"/>
    <col min="2692" max="2692" width="8.85546875" style="146" bestFit="1" customWidth="1"/>
    <col min="2693" max="2699" width="8.7109375" style="146"/>
    <col min="2700" max="2700" width="8.85546875" style="146" bestFit="1" customWidth="1"/>
    <col min="2701" max="2707" width="8.7109375" style="146"/>
    <col min="2708" max="2708" width="8.85546875" style="146" bestFit="1" customWidth="1"/>
    <col min="2709" max="2715" width="8.7109375" style="146"/>
    <col min="2716" max="2716" width="8.85546875" style="146" bestFit="1" customWidth="1"/>
    <col min="2717" max="2723" width="8.7109375" style="146"/>
    <col min="2724" max="2724" width="8.85546875" style="146" bestFit="1" customWidth="1"/>
    <col min="2725" max="2731" width="8.7109375" style="146"/>
    <col min="2732" max="2732" width="8.85546875" style="146" bestFit="1" customWidth="1"/>
    <col min="2733" max="2739" width="8.7109375" style="146"/>
    <col min="2740" max="2740" width="8.85546875" style="146" bestFit="1" customWidth="1"/>
    <col min="2741" max="2747" width="8.7109375" style="146"/>
    <col min="2748" max="2748" width="8.85546875" style="146" bestFit="1" customWidth="1"/>
    <col min="2749" max="2755" width="8.7109375" style="146"/>
    <col min="2756" max="2756" width="8.85546875" style="146" bestFit="1" customWidth="1"/>
    <col min="2757" max="2763" width="8.7109375" style="146"/>
    <col min="2764" max="2764" width="8.85546875" style="146" bestFit="1" customWidth="1"/>
    <col min="2765" max="2771" width="8.7109375" style="146"/>
    <col min="2772" max="2772" width="8.85546875" style="146" bestFit="1" customWidth="1"/>
    <col min="2773" max="2779" width="8.7109375" style="146"/>
    <col min="2780" max="2780" width="8.85546875" style="146" bestFit="1" customWidth="1"/>
    <col min="2781" max="2787" width="8.7109375" style="146"/>
    <col min="2788" max="2788" width="8.85546875" style="146" bestFit="1" customWidth="1"/>
    <col min="2789" max="2795" width="8.7109375" style="146"/>
    <col min="2796" max="2796" width="8.85546875" style="146" bestFit="1" customWidth="1"/>
    <col min="2797" max="2803" width="8.7109375" style="146"/>
    <col min="2804" max="2804" width="8.85546875" style="146" bestFit="1" customWidth="1"/>
    <col min="2805" max="2811" width="8.7109375" style="146"/>
    <col min="2812" max="2812" width="8.85546875" style="146" bestFit="1" customWidth="1"/>
    <col min="2813" max="2819" width="8.7109375" style="146"/>
    <col min="2820" max="2820" width="8.85546875" style="146" bestFit="1" customWidth="1"/>
    <col min="2821" max="2827" width="8.7109375" style="146"/>
    <col min="2828" max="2828" width="8.85546875" style="146" bestFit="1" customWidth="1"/>
    <col min="2829" max="2835" width="8.7109375" style="146"/>
    <col min="2836" max="2836" width="8.85546875" style="146" bestFit="1" customWidth="1"/>
    <col min="2837" max="2843" width="8.7109375" style="146"/>
    <col min="2844" max="2844" width="8.85546875" style="146" bestFit="1" customWidth="1"/>
    <col min="2845" max="2851" width="8.7109375" style="146"/>
    <col min="2852" max="2852" width="8.85546875" style="146" bestFit="1" customWidth="1"/>
    <col min="2853" max="2859" width="8.7109375" style="146"/>
    <col min="2860" max="2860" width="8.85546875" style="146" bestFit="1" customWidth="1"/>
    <col min="2861" max="2867" width="8.7109375" style="146"/>
    <col min="2868" max="2868" width="8.85546875" style="146" bestFit="1" customWidth="1"/>
    <col min="2869" max="2875" width="8.7109375" style="146"/>
    <col min="2876" max="2876" width="8.85546875" style="146" bestFit="1" customWidth="1"/>
    <col min="2877" max="2883" width="8.7109375" style="146"/>
    <col min="2884" max="2884" width="8.85546875" style="146" bestFit="1" customWidth="1"/>
    <col min="2885" max="2891" width="8.7109375" style="146"/>
    <col min="2892" max="2892" width="8.85546875" style="146" bestFit="1" customWidth="1"/>
    <col min="2893" max="2899" width="8.7109375" style="146"/>
    <col min="2900" max="2900" width="8.85546875" style="146" bestFit="1" customWidth="1"/>
    <col min="2901" max="2907" width="8.7109375" style="146"/>
    <col min="2908" max="2908" width="8.85546875" style="146" bestFit="1" customWidth="1"/>
    <col min="2909" max="2915" width="8.7109375" style="146"/>
    <col min="2916" max="2916" width="8.85546875" style="146" bestFit="1" customWidth="1"/>
    <col min="2917" max="2923" width="8.7109375" style="146"/>
    <col min="2924" max="2924" width="8.85546875" style="146" bestFit="1" customWidth="1"/>
    <col min="2925" max="2931" width="8.7109375" style="146"/>
    <col min="2932" max="2932" width="8.85546875" style="146" bestFit="1" customWidth="1"/>
    <col min="2933" max="2939" width="8.7109375" style="146"/>
    <col min="2940" max="2940" width="8.85546875" style="146" bestFit="1" customWidth="1"/>
    <col min="2941" max="2947" width="8.7109375" style="146"/>
    <col min="2948" max="2948" width="8.85546875" style="146" bestFit="1" customWidth="1"/>
    <col min="2949" max="2955" width="8.7109375" style="146"/>
    <col min="2956" max="2956" width="8.85546875" style="146" bestFit="1" customWidth="1"/>
    <col min="2957" max="2963" width="8.7109375" style="146"/>
    <col min="2964" max="2964" width="8.85546875" style="146" bestFit="1" customWidth="1"/>
    <col min="2965" max="2971" width="8.7109375" style="146"/>
    <col min="2972" max="2972" width="8.85546875" style="146" bestFit="1" customWidth="1"/>
    <col min="2973" max="2979" width="8.7109375" style="146"/>
    <col min="2980" max="2980" width="8.85546875" style="146" bestFit="1" customWidth="1"/>
    <col min="2981" max="2987" width="8.7109375" style="146"/>
    <col min="2988" max="2988" width="8.85546875" style="146" bestFit="1" customWidth="1"/>
    <col min="2989" max="2995" width="8.7109375" style="146"/>
    <col min="2996" max="2996" width="8.85546875" style="146" bestFit="1" customWidth="1"/>
    <col min="2997" max="3003" width="8.7109375" style="146"/>
    <col min="3004" max="3004" width="8.85546875" style="146" bestFit="1" customWidth="1"/>
    <col min="3005" max="3011" width="8.7109375" style="146"/>
    <col min="3012" max="3012" width="8.85546875" style="146" bestFit="1" customWidth="1"/>
    <col min="3013" max="3019" width="8.7109375" style="146"/>
    <col min="3020" max="3020" width="8.85546875" style="146" bestFit="1" customWidth="1"/>
    <col min="3021" max="3027" width="8.7109375" style="146"/>
    <col min="3028" max="3028" width="8.85546875" style="146" bestFit="1" customWidth="1"/>
    <col min="3029" max="3035" width="8.7109375" style="146"/>
    <col min="3036" max="3036" width="8.85546875" style="146" bestFit="1" customWidth="1"/>
    <col min="3037" max="3043" width="8.7109375" style="146"/>
    <col min="3044" max="3044" width="8.85546875" style="146" bestFit="1" customWidth="1"/>
    <col min="3045" max="3051" width="8.7109375" style="146"/>
    <col min="3052" max="3052" width="8.85546875" style="146" bestFit="1" customWidth="1"/>
    <col min="3053" max="3059" width="8.7109375" style="146"/>
    <col min="3060" max="3060" width="8.85546875" style="146" bestFit="1" customWidth="1"/>
    <col min="3061" max="3067" width="8.7109375" style="146"/>
    <col min="3068" max="3068" width="8.85546875" style="146" bestFit="1" customWidth="1"/>
    <col min="3069" max="3075" width="8.7109375" style="146"/>
    <col min="3076" max="3076" width="8.85546875" style="146" bestFit="1" customWidth="1"/>
    <col min="3077" max="3083" width="8.7109375" style="146"/>
    <col min="3084" max="3084" width="8.85546875" style="146" bestFit="1" customWidth="1"/>
    <col min="3085" max="3091" width="8.7109375" style="146"/>
    <col min="3092" max="3092" width="8.85546875" style="146" bestFit="1" customWidth="1"/>
    <col min="3093" max="3099" width="8.7109375" style="146"/>
    <col min="3100" max="3100" width="8.85546875" style="146" bestFit="1" customWidth="1"/>
    <col min="3101" max="3107" width="8.7109375" style="146"/>
    <col min="3108" max="3108" width="8.85546875" style="146" bestFit="1" customWidth="1"/>
    <col min="3109" max="3115" width="8.7109375" style="146"/>
    <col min="3116" max="3116" width="8.85546875" style="146" bestFit="1" customWidth="1"/>
    <col min="3117" max="3123" width="8.7109375" style="146"/>
    <col min="3124" max="3124" width="8.85546875" style="146" bestFit="1" customWidth="1"/>
    <col min="3125" max="3131" width="8.7109375" style="146"/>
    <col min="3132" max="3132" width="8.85546875" style="146" bestFit="1" customWidth="1"/>
    <col min="3133" max="3139" width="8.7109375" style="146"/>
    <col min="3140" max="3140" width="8.85546875" style="146" bestFit="1" customWidth="1"/>
    <col min="3141" max="3147" width="8.7109375" style="146"/>
    <col min="3148" max="3148" width="8.85546875" style="146" bestFit="1" customWidth="1"/>
    <col min="3149" max="3155" width="8.7109375" style="146"/>
    <col min="3156" max="3156" width="8.85546875" style="146" bestFit="1" customWidth="1"/>
    <col min="3157" max="3163" width="8.7109375" style="146"/>
    <col min="3164" max="3164" width="8.85546875" style="146" bestFit="1" customWidth="1"/>
    <col min="3165" max="3171" width="8.7109375" style="146"/>
    <col min="3172" max="3172" width="8.85546875" style="146" bestFit="1" customWidth="1"/>
    <col min="3173" max="3179" width="8.7109375" style="146"/>
    <col min="3180" max="3180" width="8.85546875" style="146" bestFit="1" customWidth="1"/>
    <col min="3181" max="3187" width="8.7109375" style="146"/>
    <col min="3188" max="3188" width="8.85546875" style="146" bestFit="1" customWidth="1"/>
    <col min="3189" max="3195" width="8.7109375" style="146"/>
    <col min="3196" max="3196" width="8.85546875" style="146" bestFit="1" customWidth="1"/>
    <col min="3197" max="3203" width="8.7109375" style="146"/>
    <col min="3204" max="3204" width="8.85546875" style="146" bestFit="1" customWidth="1"/>
    <col min="3205" max="3211" width="8.7109375" style="146"/>
    <col min="3212" max="3212" width="8.85546875" style="146" bestFit="1" customWidth="1"/>
    <col min="3213" max="3219" width="8.7109375" style="146"/>
    <col min="3220" max="3220" width="8.85546875" style="146" bestFit="1" customWidth="1"/>
    <col min="3221" max="3227" width="8.7109375" style="146"/>
    <col min="3228" max="3228" width="8.85546875" style="146" bestFit="1" customWidth="1"/>
    <col min="3229" max="3235" width="8.7109375" style="146"/>
    <col min="3236" max="3236" width="8.85546875" style="146" bestFit="1" customWidth="1"/>
    <col min="3237" max="3243" width="8.7109375" style="146"/>
    <col min="3244" max="3244" width="8.85546875" style="146" bestFit="1" customWidth="1"/>
    <col min="3245" max="3251" width="8.7109375" style="146"/>
    <col min="3252" max="3252" width="8.85546875" style="146" bestFit="1" customWidth="1"/>
    <col min="3253" max="3259" width="8.7109375" style="146"/>
    <col min="3260" max="3260" width="8.85546875" style="146" bestFit="1" customWidth="1"/>
    <col min="3261" max="3267" width="8.7109375" style="146"/>
    <col min="3268" max="3268" width="8.85546875" style="146" bestFit="1" customWidth="1"/>
    <col min="3269" max="3275" width="8.7109375" style="146"/>
    <col min="3276" max="3276" width="8.85546875" style="146" bestFit="1" customWidth="1"/>
    <col min="3277" max="3283" width="8.7109375" style="146"/>
    <col min="3284" max="3284" width="8.85546875" style="146" bestFit="1" customWidth="1"/>
    <col min="3285" max="3291" width="8.7109375" style="146"/>
    <col min="3292" max="3292" width="8.85546875" style="146" bestFit="1" customWidth="1"/>
    <col min="3293" max="3299" width="8.7109375" style="146"/>
    <col min="3300" max="3300" width="8.85546875" style="146" bestFit="1" customWidth="1"/>
    <col min="3301" max="3307" width="8.7109375" style="146"/>
    <col min="3308" max="3308" width="8.85546875" style="146" bestFit="1" customWidth="1"/>
    <col min="3309" max="3315" width="8.7109375" style="146"/>
    <col min="3316" max="3316" width="8.85546875" style="146" bestFit="1" customWidth="1"/>
    <col min="3317" max="3323" width="8.7109375" style="146"/>
    <col min="3324" max="3324" width="8.85546875" style="146" bestFit="1" customWidth="1"/>
    <col min="3325" max="3331" width="8.7109375" style="146"/>
    <col min="3332" max="3332" width="8.85546875" style="146" bestFit="1" customWidth="1"/>
    <col min="3333" max="3339" width="8.7109375" style="146"/>
    <col min="3340" max="3340" width="8.85546875" style="146" bestFit="1" customWidth="1"/>
    <col min="3341" max="3347" width="8.7109375" style="146"/>
    <col min="3348" max="3348" width="8.85546875" style="146" bestFit="1" customWidth="1"/>
    <col min="3349" max="3355" width="8.7109375" style="146"/>
    <col min="3356" max="3356" width="8.85546875" style="146" bestFit="1" customWidth="1"/>
    <col min="3357" max="3363" width="8.7109375" style="146"/>
    <col min="3364" max="3364" width="8.85546875" style="146" bestFit="1" customWidth="1"/>
    <col min="3365" max="3371" width="8.7109375" style="146"/>
    <col min="3372" max="3372" width="8.85546875" style="146" bestFit="1" customWidth="1"/>
    <col min="3373" max="3379" width="8.7109375" style="146"/>
    <col min="3380" max="3380" width="8.85546875" style="146" bestFit="1" customWidth="1"/>
    <col min="3381" max="3387" width="8.7109375" style="146"/>
    <col min="3388" max="3388" width="8.85546875" style="146" bestFit="1" customWidth="1"/>
    <col min="3389" max="3395" width="8.7109375" style="146"/>
    <col min="3396" max="3396" width="8.85546875" style="146" bestFit="1" customWidth="1"/>
    <col min="3397" max="3403" width="8.7109375" style="146"/>
    <col min="3404" max="3404" width="8.85546875" style="146" bestFit="1" customWidth="1"/>
    <col min="3405" max="3411" width="8.7109375" style="146"/>
    <col min="3412" max="3412" width="8.85546875" style="146" bestFit="1" customWidth="1"/>
    <col min="3413" max="3419" width="8.7109375" style="146"/>
    <col min="3420" max="3420" width="8.85546875" style="146" bestFit="1" customWidth="1"/>
    <col min="3421" max="3427" width="8.7109375" style="146"/>
    <col min="3428" max="3428" width="8.85546875" style="146" bestFit="1" customWidth="1"/>
    <col min="3429" max="3435" width="8.7109375" style="146"/>
    <col min="3436" max="3436" width="8.85546875" style="146" bestFit="1" customWidth="1"/>
    <col min="3437" max="3443" width="8.7109375" style="146"/>
    <col min="3444" max="3444" width="8.85546875" style="146" bestFit="1" customWidth="1"/>
    <col min="3445" max="3451" width="8.7109375" style="146"/>
    <col min="3452" max="3452" width="8.85546875" style="146" bestFit="1" customWidth="1"/>
    <col min="3453" max="3459" width="8.7109375" style="146"/>
    <col min="3460" max="3460" width="8.85546875" style="146" bestFit="1" customWidth="1"/>
    <col min="3461" max="3467" width="8.7109375" style="146"/>
    <col min="3468" max="3468" width="8.85546875" style="146" bestFit="1" customWidth="1"/>
    <col min="3469" max="3475" width="8.7109375" style="146"/>
    <col min="3476" max="3476" width="8.85546875" style="146" bestFit="1" customWidth="1"/>
    <col min="3477" max="3483" width="8.7109375" style="146"/>
    <col min="3484" max="3484" width="8.85546875" style="146" bestFit="1" customWidth="1"/>
    <col min="3485" max="3491" width="8.7109375" style="146"/>
    <col min="3492" max="3492" width="8.85546875" style="146" bestFit="1" customWidth="1"/>
    <col min="3493" max="3499" width="8.7109375" style="146"/>
    <col min="3500" max="3500" width="8.85546875" style="146" bestFit="1" customWidth="1"/>
    <col min="3501" max="3507" width="8.7109375" style="146"/>
    <col min="3508" max="3508" width="8.85546875" style="146" bestFit="1" customWidth="1"/>
    <col min="3509" max="3515" width="8.7109375" style="146"/>
    <col min="3516" max="3516" width="8.85546875" style="146" bestFit="1" customWidth="1"/>
    <col min="3517" max="3523" width="8.7109375" style="146"/>
    <col min="3524" max="3524" width="8.85546875" style="146" bestFit="1" customWidth="1"/>
    <col min="3525" max="3531" width="8.7109375" style="146"/>
    <col min="3532" max="3532" width="8.85546875" style="146" bestFit="1" customWidth="1"/>
    <col min="3533" max="3539" width="8.7109375" style="146"/>
    <col min="3540" max="3540" width="8.85546875" style="146" bestFit="1" customWidth="1"/>
    <col min="3541" max="3547" width="8.7109375" style="146"/>
    <col min="3548" max="3548" width="8.85546875" style="146" bestFit="1" customWidth="1"/>
    <col min="3549" max="3555" width="8.7109375" style="146"/>
    <col min="3556" max="3556" width="8.85546875" style="146" bestFit="1" customWidth="1"/>
    <col min="3557" max="3563" width="8.7109375" style="146"/>
    <col min="3564" max="3564" width="8.85546875" style="146" bestFit="1" customWidth="1"/>
    <col min="3565" max="3571" width="8.7109375" style="146"/>
    <col min="3572" max="3572" width="8.85546875" style="146" bestFit="1" customWidth="1"/>
    <col min="3573" max="3579" width="8.7109375" style="146"/>
    <col min="3580" max="3580" width="8.85546875" style="146" bestFit="1" customWidth="1"/>
    <col min="3581" max="3587" width="8.7109375" style="146"/>
    <col min="3588" max="3588" width="8.85546875" style="146" bestFit="1" customWidth="1"/>
    <col min="3589" max="3595" width="8.7109375" style="146"/>
    <col min="3596" max="3596" width="8.85546875" style="146" bestFit="1" customWidth="1"/>
    <col min="3597" max="3603" width="8.7109375" style="146"/>
    <col min="3604" max="3604" width="8.85546875" style="146" bestFit="1" customWidth="1"/>
    <col min="3605" max="3611" width="8.7109375" style="146"/>
    <col min="3612" max="3612" width="8.85546875" style="146" bestFit="1" customWidth="1"/>
    <col min="3613" max="3619" width="8.7109375" style="146"/>
    <col min="3620" max="3620" width="8.85546875" style="146" bestFit="1" customWidth="1"/>
    <col min="3621" max="3627" width="8.7109375" style="146"/>
    <col min="3628" max="3628" width="8.85546875" style="146" bestFit="1" customWidth="1"/>
    <col min="3629" max="3635" width="8.7109375" style="146"/>
    <col min="3636" max="3636" width="8.85546875" style="146" bestFit="1" customWidth="1"/>
    <col min="3637" max="3643" width="8.7109375" style="146"/>
    <col min="3644" max="3644" width="8.85546875" style="146" bestFit="1" customWidth="1"/>
    <col min="3645" max="3651" width="8.7109375" style="146"/>
    <col min="3652" max="3652" width="8.85546875" style="146" bestFit="1" customWidth="1"/>
    <col min="3653" max="3659" width="8.7109375" style="146"/>
    <col min="3660" max="3660" width="8.85546875" style="146" bestFit="1" customWidth="1"/>
    <col min="3661" max="3667" width="8.7109375" style="146"/>
    <col min="3668" max="3668" width="8.85546875" style="146" bestFit="1" customWidth="1"/>
    <col min="3669" max="3675" width="8.7109375" style="146"/>
    <col min="3676" max="3676" width="8.85546875" style="146" bestFit="1" customWidth="1"/>
    <col min="3677" max="3683" width="8.7109375" style="146"/>
    <col min="3684" max="3684" width="8.85546875" style="146" bestFit="1" customWidth="1"/>
    <col min="3685" max="3691" width="8.7109375" style="146"/>
    <col min="3692" max="3692" width="8.85546875" style="146" bestFit="1" customWidth="1"/>
    <col min="3693" max="3699" width="8.7109375" style="146"/>
    <col min="3700" max="3700" width="8.85546875" style="146" bestFit="1" customWidth="1"/>
    <col min="3701" max="3707" width="8.7109375" style="146"/>
    <col min="3708" max="3708" width="8.85546875" style="146" bestFit="1" customWidth="1"/>
    <col min="3709" max="3715" width="8.7109375" style="146"/>
    <col min="3716" max="3716" width="8.85546875" style="146" bestFit="1" customWidth="1"/>
    <col min="3717" max="3723" width="8.7109375" style="146"/>
    <col min="3724" max="3724" width="8.85546875" style="146" bestFit="1" customWidth="1"/>
    <col min="3725" max="3731" width="8.7109375" style="146"/>
    <col min="3732" max="3732" width="8.85546875" style="146" bestFit="1" customWidth="1"/>
    <col min="3733" max="3739" width="8.7109375" style="146"/>
    <col min="3740" max="3740" width="8.85546875" style="146" bestFit="1" customWidth="1"/>
    <col min="3741" max="3747" width="8.7109375" style="146"/>
    <col min="3748" max="3748" width="8.85546875" style="146" bestFit="1" customWidth="1"/>
    <col min="3749" max="3755" width="8.7109375" style="146"/>
    <col min="3756" max="3756" width="8.85546875" style="146" bestFit="1" customWidth="1"/>
    <col min="3757" max="3763" width="8.7109375" style="146"/>
    <col min="3764" max="3764" width="8.85546875" style="146" bestFit="1" customWidth="1"/>
    <col min="3765" max="3771" width="8.7109375" style="146"/>
    <col min="3772" max="3772" width="8.85546875" style="146" bestFit="1" customWidth="1"/>
    <col min="3773" max="3779" width="8.7109375" style="146"/>
    <col min="3780" max="3780" width="8.85546875" style="146" bestFit="1" customWidth="1"/>
    <col min="3781" max="3787" width="8.7109375" style="146"/>
    <col min="3788" max="3788" width="8.85546875" style="146" bestFit="1" customWidth="1"/>
    <col min="3789" max="3795" width="8.7109375" style="146"/>
    <col min="3796" max="3796" width="8.85546875" style="146" bestFit="1" customWidth="1"/>
    <col min="3797" max="3803" width="8.7109375" style="146"/>
    <col min="3804" max="3804" width="8.85546875" style="146" bestFit="1" customWidth="1"/>
    <col min="3805" max="3811" width="8.7109375" style="146"/>
    <col min="3812" max="3812" width="8.85546875" style="146" bestFit="1" customWidth="1"/>
    <col min="3813" max="3819" width="8.7109375" style="146"/>
    <col min="3820" max="3820" width="8.85546875" style="146" bestFit="1" customWidth="1"/>
    <col min="3821" max="3827" width="8.7109375" style="146"/>
    <col min="3828" max="3828" width="8.85546875" style="146" bestFit="1" customWidth="1"/>
    <col min="3829" max="3835" width="8.7109375" style="146"/>
    <col min="3836" max="3836" width="8.85546875" style="146" bestFit="1" customWidth="1"/>
    <col min="3837" max="3843" width="8.7109375" style="146"/>
    <col min="3844" max="3844" width="8.85546875" style="146" bestFit="1" customWidth="1"/>
    <col min="3845" max="3851" width="8.7109375" style="146"/>
    <col min="3852" max="3852" width="8.85546875" style="146" bestFit="1" customWidth="1"/>
    <col min="3853" max="3859" width="8.7109375" style="146"/>
    <col min="3860" max="3860" width="8.85546875" style="146" bestFit="1" customWidth="1"/>
    <col min="3861" max="3867" width="8.7109375" style="146"/>
    <col min="3868" max="3868" width="8.85546875" style="146" bestFit="1" customWidth="1"/>
    <col min="3869" max="3875" width="8.7109375" style="146"/>
    <col min="3876" max="3876" width="8.85546875" style="146" bestFit="1" customWidth="1"/>
    <col min="3877" max="3883" width="8.7109375" style="146"/>
    <col min="3884" max="3884" width="8.85546875" style="146" bestFit="1" customWidth="1"/>
    <col min="3885" max="3891" width="8.7109375" style="146"/>
    <col min="3892" max="3892" width="8.85546875" style="146" bestFit="1" customWidth="1"/>
    <col min="3893" max="3899" width="8.7109375" style="146"/>
    <col min="3900" max="3900" width="8.85546875" style="146" bestFit="1" customWidth="1"/>
    <col min="3901" max="3907" width="8.7109375" style="146"/>
    <col min="3908" max="3908" width="8.85546875" style="146" bestFit="1" customWidth="1"/>
    <col min="3909" max="3915" width="8.7109375" style="146"/>
    <col min="3916" max="3916" width="8.85546875" style="146" bestFit="1" customWidth="1"/>
    <col min="3917" max="3923" width="8.7109375" style="146"/>
    <col min="3924" max="3924" width="8.85546875" style="146" bestFit="1" customWidth="1"/>
    <col min="3925" max="3931" width="8.7109375" style="146"/>
    <col min="3932" max="3932" width="8.85546875" style="146" bestFit="1" customWidth="1"/>
    <col min="3933" max="3939" width="8.7109375" style="146"/>
    <col min="3940" max="3940" width="8.85546875" style="146" bestFit="1" customWidth="1"/>
    <col min="3941" max="3947" width="8.7109375" style="146"/>
    <col min="3948" max="3948" width="8.85546875" style="146" bestFit="1" customWidth="1"/>
    <col min="3949" max="3955" width="8.7109375" style="146"/>
    <col min="3956" max="3956" width="8.85546875" style="146" bestFit="1" customWidth="1"/>
    <col min="3957" max="3963" width="8.7109375" style="146"/>
    <col min="3964" max="3964" width="8.85546875" style="146" bestFit="1" customWidth="1"/>
    <col min="3965" max="3971" width="8.7109375" style="146"/>
    <col min="3972" max="3972" width="8.85546875" style="146" bestFit="1" customWidth="1"/>
    <col min="3973" max="3979" width="8.7109375" style="146"/>
    <col min="3980" max="3980" width="8.85546875" style="146" bestFit="1" customWidth="1"/>
    <col min="3981" max="3987" width="8.7109375" style="146"/>
    <col min="3988" max="3988" width="8.85546875" style="146" bestFit="1" customWidth="1"/>
    <col min="3989" max="3995" width="8.7109375" style="146"/>
    <col min="3996" max="3996" width="8.85546875" style="146" bestFit="1" customWidth="1"/>
    <col min="3997" max="4003" width="8.7109375" style="146"/>
    <col min="4004" max="4004" width="8.85546875" style="146" bestFit="1" customWidth="1"/>
    <col min="4005" max="4011" width="8.7109375" style="146"/>
    <col min="4012" max="4012" width="8.85546875" style="146" bestFit="1" customWidth="1"/>
    <col min="4013" max="4019" width="8.7109375" style="146"/>
    <col min="4020" max="4020" width="8.85546875" style="146" bestFit="1" customWidth="1"/>
    <col min="4021" max="4027" width="8.7109375" style="146"/>
    <col min="4028" max="4028" width="8.85546875" style="146" bestFit="1" customWidth="1"/>
    <col min="4029" max="4035" width="8.7109375" style="146"/>
    <col min="4036" max="4036" width="8.85546875" style="146" bestFit="1" customWidth="1"/>
    <col min="4037" max="4043" width="8.7109375" style="146"/>
    <col min="4044" max="4044" width="8.85546875" style="146" bestFit="1" customWidth="1"/>
    <col min="4045" max="4051" width="8.7109375" style="146"/>
    <col min="4052" max="4052" width="8.85546875" style="146" bestFit="1" customWidth="1"/>
    <col min="4053" max="4059" width="8.7109375" style="146"/>
    <col min="4060" max="4060" width="8.85546875" style="146" bestFit="1" customWidth="1"/>
    <col min="4061" max="4067" width="8.7109375" style="146"/>
    <col min="4068" max="4068" width="8.85546875" style="146" bestFit="1" customWidth="1"/>
    <col min="4069" max="4075" width="8.7109375" style="146"/>
    <col min="4076" max="4076" width="8.85546875" style="146" bestFit="1" customWidth="1"/>
    <col min="4077" max="4083" width="8.7109375" style="146"/>
    <col min="4084" max="4084" width="8.85546875" style="146" bestFit="1" customWidth="1"/>
    <col min="4085" max="4091" width="8.7109375" style="146"/>
    <col min="4092" max="4092" width="8.85546875" style="146" bestFit="1" customWidth="1"/>
    <col min="4093" max="4099" width="8.7109375" style="146"/>
    <col min="4100" max="4100" width="8.85546875" style="146" bestFit="1" customWidth="1"/>
    <col min="4101" max="4107" width="8.7109375" style="146"/>
    <col min="4108" max="4108" width="8.85546875" style="146" bestFit="1" customWidth="1"/>
    <col min="4109" max="4115" width="8.7109375" style="146"/>
    <col min="4116" max="4116" width="8.85546875" style="146" bestFit="1" customWidth="1"/>
    <col min="4117" max="4123" width="8.7109375" style="146"/>
    <col min="4124" max="4124" width="8.85546875" style="146" bestFit="1" customWidth="1"/>
    <col min="4125" max="4131" width="8.7109375" style="146"/>
    <col min="4132" max="4132" width="8.85546875" style="146" bestFit="1" customWidth="1"/>
    <col min="4133" max="4139" width="8.7109375" style="146"/>
    <col min="4140" max="4140" width="8.85546875" style="146" bestFit="1" customWidth="1"/>
    <col min="4141" max="4147" width="8.7109375" style="146"/>
    <col min="4148" max="4148" width="8.85546875" style="146" bestFit="1" customWidth="1"/>
    <col min="4149" max="4155" width="8.7109375" style="146"/>
    <col min="4156" max="4156" width="8.85546875" style="146" bestFit="1" customWidth="1"/>
    <col min="4157" max="4163" width="8.7109375" style="146"/>
    <col min="4164" max="4164" width="8.85546875" style="146" bestFit="1" customWidth="1"/>
    <col min="4165" max="4171" width="8.7109375" style="146"/>
    <col min="4172" max="4172" width="8.85546875" style="146" bestFit="1" customWidth="1"/>
    <col min="4173" max="4179" width="8.7109375" style="146"/>
    <col min="4180" max="4180" width="8.85546875" style="146" bestFit="1" customWidth="1"/>
    <col min="4181" max="4187" width="8.7109375" style="146"/>
    <col min="4188" max="4188" width="8.85546875" style="146" bestFit="1" customWidth="1"/>
    <col min="4189" max="4195" width="8.7109375" style="146"/>
    <col min="4196" max="4196" width="8.85546875" style="146" bestFit="1" customWidth="1"/>
    <col min="4197" max="4203" width="8.7109375" style="146"/>
    <col min="4204" max="4204" width="8.85546875" style="146" bestFit="1" customWidth="1"/>
    <col min="4205" max="4211" width="8.7109375" style="146"/>
    <col min="4212" max="4212" width="8.85546875" style="146" bestFit="1" customWidth="1"/>
    <col min="4213" max="4219" width="8.7109375" style="146"/>
    <col min="4220" max="4220" width="8.85546875" style="146" bestFit="1" customWidth="1"/>
    <col min="4221" max="4227" width="8.7109375" style="146"/>
    <col min="4228" max="4228" width="8.85546875" style="146" bestFit="1" customWidth="1"/>
    <col min="4229" max="4235" width="8.7109375" style="146"/>
    <col min="4236" max="4236" width="8.85546875" style="146" bestFit="1" customWidth="1"/>
    <col min="4237" max="4243" width="8.7109375" style="146"/>
    <col min="4244" max="4244" width="8.85546875" style="146" bestFit="1" customWidth="1"/>
    <col min="4245" max="4251" width="8.7109375" style="146"/>
    <col min="4252" max="4252" width="8.85546875" style="146" bestFit="1" customWidth="1"/>
    <col min="4253" max="4259" width="8.7109375" style="146"/>
    <col min="4260" max="4260" width="8.85546875" style="146" bestFit="1" customWidth="1"/>
    <col min="4261" max="4267" width="8.7109375" style="146"/>
    <col min="4268" max="4268" width="8.85546875" style="146" bestFit="1" customWidth="1"/>
    <col min="4269" max="4275" width="8.7109375" style="146"/>
    <col min="4276" max="4276" width="8.85546875" style="146" bestFit="1" customWidth="1"/>
    <col min="4277" max="4283" width="8.7109375" style="146"/>
    <col min="4284" max="4284" width="8.85546875" style="146" bestFit="1" customWidth="1"/>
    <col min="4285" max="4291" width="8.7109375" style="146"/>
    <col min="4292" max="4292" width="8.85546875" style="146" bestFit="1" customWidth="1"/>
    <col min="4293" max="4299" width="8.7109375" style="146"/>
    <col min="4300" max="4300" width="8.85546875" style="146" bestFit="1" customWidth="1"/>
    <col min="4301" max="4307" width="8.7109375" style="146"/>
    <col min="4308" max="4308" width="8.85546875" style="146" bestFit="1" customWidth="1"/>
    <col min="4309" max="4315" width="8.7109375" style="146"/>
    <col min="4316" max="4316" width="8.85546875" style="146" bestFit="1" customWidth="1"/>
    <col min="4317" max="4323" width="8.7109375" style="146"/>
    <col min="4324" max="4324" width="8.85546875" style="146" bestFit="1" customWidth="1"/>
    <col min="4325" max="4331" width="8.7109375" style="146"/>
    <col min="4332" max="4332" width="8.85546875" style="146" bestFit="1" customWidth="1"/>
    <col min="4333" max="4339" width="8.7109375" style="146"/>
    <col min="4340" max="4340" width="8.85546875" style="146" bestFit="1" customWidth="1"/>
    <col min="4341" max="4347" width="8.7109375" style="146"/>
    <col min="4348" max="4348" width="8.85546875" style="146" bestFit="1" customWidth="1"/>
    <col min="4349" max="4355" width="8.7109375" style="146"/>
    <col min="4356" max="4356" width="8.85546875" style="146" bestFit="1" customWidth="1"/>
    <col min="4357" max="4363" width="8.7109375" style="146"/>
    <col min="4364" max="4364" width="8.85546875" style="146" bestFit="1" customWidth="1"/>
    <col min="4365" max="4371" width="8.7109375" style="146"/>
    <col min="4372" max="4372" width="8.85546875" style="146" bestFit="1" customWidth="1"/>
    <col min="4373" max="4379" width="8.7109375" style="146"/>
    <col min="4380" max="4380" width="8.85546875" style="146" bestFit="1" customWidth="1"/>
    <col min="4381" max="4387" width="8.7109375" style="146"/>
    <col min="4388" max="4388" width="8.85546875" style="146" bestFit="1" customWidth="1"/>
    <col min="4389" max="4395" width="8.7109375" style="146"/>
    <col min="4396" max="4396" width="8.85546875" style="146" bestFit="1" customWidth="1"/>
    <col min="4397" max="4403" width="8.7109375" style="146"/>
    <col min="4404" max="4404" width="8.85546875" style="146" bestFit="1" customWidth="1"/>
    <col min="4405" max="4411" width="8.7109375" style="146"/>
    <col min="4412" max="4412" width="8.85546875" style="146" bestFit="1" customWidth="1"/>
    <col min="4413" max="4419" width="8.7109375" style="146"/>
    <col min="4420" max="4420" width="8.85546875" style="146" bestFit="1" customWidth="1"/>
    <col min="4421" max="4427" width="8.7109375" style="146"/>
    <col min="4428" max="4428" width="8.85546875" style="146" bestFit="1" customWidth="1"/>
    <col min="4429" max="4435" width="8.7109375" style="146"/>
    <col min="4436" max="4436" width="8.85546875" style="146" bestFit="1" customWidth="1"/>
    <col min="4437" max="4443" width="8.7109375" style="146"/>
    <col min="4444" max="4444" width="8.85546875" style="146" bestFit="1" customWidth="1"/>
    <col min="4445" max="4451" width="8.7109375" style="146"/>
    <col min="4452" max="4452" width="8.85546875" style="146" bestFit="1" customWidth="1"/>
    <col min="4453" max="4459" width="8.7109375" style="146"/>
    <col min="4460" max="4460" width="8.85546875" style="146" bestFit="1" customWidth="1"/>
    <col min="4461" max="4467" width="8.7109375" style="146"/>
    <col min="4468" max="4468" width="8.85546875" style="146" bestFit="1" customWidth="1"/>
    <col min="4469" max="4475" width="8.7109375" style="146"/>
    <col min="4476" max="4476" width="8.85546875" style="146" bestFit="1" customWidth="1"/>
    <col min="4477" max="4483" width="8.7109375" style="146"/>
    <col min="4484" max="4484" width="8.85546875" style="146" bestFit="1" customWidth="1"/>
    <col min="4485" max="4491" width="8.7109375" style="146"/>
    <col min="4492" max="4492" width="8.85546875" style="146" bestFit="1" customWidth="1"/>
    <col min="4493" max="4499" width="8.7109375" style="146"/>
    <col min="4500" max="4500" width="8.85546875" style="146" bestFit="1" customWidth="1"/>
    <col min="4501" max="4507" width="8.7109375" style="146"/>
    <col min="4508" max="4508" width="8.85546875" style="146" bestFit="1" customWidth="1"/>
    <col min="4509" max="4515" width="8.7109375" style="146"/>
    <col min="4516" max="4516" width="8.85546875" style="146" bestFit="1" customWidth="1"/>
    <col min="4517" max="4523" width="8.7109375" style="146"/>
    <col min="4524" max="4524" width="8.85546875" style="146" bestFit="1" customWidth="1"/>
    <col min="4525" max="4531" width="8.7109375" style="146"/>
    <col min="4532" max="4532" width="8.85546875" style="146" bestFit="1" customWidth="1"/>
    <col min="4533" max="4539" width="8.7109375" style="146"/>
    <col min="4540" max="4540" width="8.85546875" style="146" bestFit="1" customWidth="1"/>
    <col min="4541" max="4547" width="8.7109375" style="146"/>
    <col min="4548" max="4548" width="8.85546875" style="146" bestFit="1" customWidth="1"/>
    <col min="4549" max="4555" width="8.7109375" style="146"/>
    <col min="4556" max="4556" width="8.85546875" style="146" bestFit="1" customWidth="1"/>
    <col min="4557" max="4563" width="8.7109375" style="146"/>
    <col min="4564" max="4564" width="8.85546875" style="146" bestFit="1" customWidth="1"/>
    <col min="4565" max="4571" width="8.7109375" style="146"/>
    <col min="4572" max="4572" width="8.85546875" style="146" bestFit="1" customWidth="1"/>
    <col min="4573" max="4579" width="8.7109375" style="146"/>
    <col min="4580" max="4580" width="8.85546875" style="146" bestFit="1" customWidth="1"/>
    <col min="4581" max="4587" width="8.7109375" style="146"/>
    <col min="4588" max="4588" width="8.85546875" style="146" bestFit="1" customWidth="1"/>
    <col min="4589" max="4595" width="8.7109375" style="146"/>
    <col min="4596" max="4596" width="8.85546875" style="146" bestFit="1" customWidth="1"/>
    <col min="4597" max="4603" width="8.7109375" style="146"/>
    <col min="4604" max="4604" width="8.85546875" style="146" bestFit="1" customWidth="1"/>
    <col min="4605" max="4611" width="8.7109375" style="146"/>
    <col min="4612" max="4612" width="8.85546875" style="146" bestFit="1" customWidth="1"/>
    <col min="4613" max="4619" width="8.7109375" style="146"/>
    <col min="4620" max="4620" width="8.85546875" style="146" bestFit="1" customWidth="1"/>
    <col min="4621" max="4627" width="8.7109375" style="146"/>
    <col min="4628" max="4628" width="8.85546875" style="146" bestFit="1" customWidth="1"/>
    <col min="4629" max="4635" width="8.7109375" style="146"/>
    <col min="4636" max="4636" width="8.85546875" style="146" bestFit="1" customWidth="1"/>
    <col min="4637" max="4643" width="8.7109375" style="146"/>
    <col min="4644" max="4644" width="8.85546875" style="146" bestFit="1" customWidth="1"/>
    <col min="4645" max="4651" width="8.7109375" style="146"/>
    <col min="4652" max="4652" width="8.85546875" style="146" bestFit="1" customWidth="1"/>
    <col min="4653" max="4659" width="8.7109375" style="146"/>
    <col min="4660" max="4660" width="8.85546875" style="146" bestFit="1" customWidth="1"/>
    <col min="4661" max="4667" width="8.7109375" style="146"/>
    <col min="4668" max="4668" width="8.85546875" style="146" bestFit="1" customWidth="1"/>
    <col min="4669" max="4675" width="8.7109375" style="146"/>
    <col min="4676" max="4676" width="8.85546875" style="146" bestFit="1" customWidth="1"/>
    <col min="4677" max="4683" width="8.7109375" style="146"/>
    <col min="4684" max="4684" width="8.85546875" style="146" bestFit="1" customWidth="1"/>
    <col min="4685" max="4691" width="8.7109375" style="146"/>
    <col min="4692" max="4692" width="8.85546875" style="146" bestFit="1" customWidth="1"/>
    <col min="4693" max="4699" width="8.7109375" style="146"/>
    <col min="4700" max="4700" width="8.85546875" style="146" bestFit="1" customWidth="1"/>
    <col min="4701" max="4707" width="8.7109375" style="146"/>
    <col min="4708" max="4708" width="8.85546875" style="146" bestFit="1" customWidth="1"/>
    <col min="4709" max="4715" width="8.7109375" style="146"/>
    <col min="4716" max="4716" width="8.85546875" style="146" bestFit="1" customWidth="1"/>
    <col min="4717" max="4723" width="8.7109375" style="146"/>
    <col min="4724" max="4724" width="8.85546875" style="146" bestFit="1" customWidth="1"/>
    <col min="4725" max="4731" width="8.7109375" style="146"/>
    <col min="4732" max="4732" width="8.85546875" style="146" bestFit="1" customWidth="1"/>
    <col min="4733" max="4739" width="8.7109375" style="146"/>
    <col min="4740" max="4740" width="8.85546875" style="146" bestFit="1" customWidth="1"/>
    <col min="4741" max="4747" width="8.7109375" style="146"/>
    <col min="4748" max="4748" width="8.85546875" style="146" bestFit="1" customWidth="1"/>
    <col min="4749" max="4755" width="8.7109375" style="146"/>
    <col min="4756" max="4756" width="8.85546875" style="146" bestFit="1" customWidth="1"/>
    <col min="4757" max="4763" width="8.7109375" style="146"/>
    <col min="4764" max="4764" width="8.85546875" style="146" bestFit="1" customWidth="1"/>
    <col min="4765" max="4771" width="8.7109375" style="146"/>
    <col min="4772" max="4772" width="8.85546875" style="146" bestFit="1" customWidth="1"/>
    <col min="4773" max="4779" width="8.7109375" style="146"/>
    <col min="4780" max="4780" width="8.85546875" style="146" bestFit="1" customWidth="1"/>
    <col min="4781" max="4787" width="8.7109375" style="146"/>
    <col min="4788" max="4788" width="8.85546875" style="146" bestFit="1" customWidth="1"/>
    <col min="4789" max="4795" width="8.7109375" style="146"/>
    <col min="4796" max="4796" width="8.85546875" style="146" bestFit="1" customWidth="1"/>
    <col min="4797" max="4803" width="8.7109375" style="146"/>
    <col min="4804" max="4804" width="8.85546875" style="146" bestFit="1" customWidth="1"/>
    <col min="4805" max="4811" width="8.7109375" style="146"/>
    <col min="4812" max="4812" width="8.85546875" style="146" bestFit="1" customWidth="1"/>
    <col min="4813" max="4819" width="8.7109375" style="146"/>
    <col min="4820" max="4820" width="8.85546875" style="146" bestFit="1" customWidth="1"/>
    <col min="4821" max="4827" width="8.7109375" style="146"/>
    <col min="4828" max="4828" width="8.85546875" style="146" bestFit="1" customWidth="1"/>
    <col min="4829" max="4835" width="8.7109375" style="146"/>
    <col min="4836" max="4836" width="8.85546875" style="146" bestFit="1" customWidth="1"/>
    <col min="4837" max="4843" width="8.7109375" style="146"/>
    <col min="4844" max="4844" width="8.85546875" style="146" bestFit="1" customWidth="1"/>
    <col min="4845" max="4851" width="8.7109375" style="146"/>
    <col min="4852" max="4852" width="8.85546875" style="146" bestFit="1" customWidth="1"/>
    <col min="4853" max="4859" width="8.7109375" style="146"/>
    <col min="4860" max="4860" width="8.85546875" style="146" bestFit="1" customWidth="1"/>
    <col min="4861" max="4867" width="8.7109375" style="146"/>
    <col min="4868" max="4868" width="8.85546875" style="146" bestFit="1" customWidth="1"/>
    <col min="4869" max="4875" width="8.7109375" style="146"/>
    <col min="4876" max="4876" width="8.85546875" style="146" bestFit="1" customWidth="1"/>
    <col min="4877" max="4883" width="8.7109375" style="146"/>
    <col min="4884" max="4884" width="8.85546875" style="146" bestFit="1" customWidth="1"/>
    <col min="4885" max="4891" width="8.7109375" style="146"/>
    <col min="4892" max="4892" width="8.85546875" style="146" bestFit="1" customWidth="1"/>
    <col min="4893" max="4899" width="8.7109375" style="146"/>
    <col min="4900" max="4900" width="8.85546875" style="146" bestFit="1" customWidth="1"/>
    <col min="4901" max="4907" width="8.7109375" style="146"/>
    <col min="4908" max="4908" width="8.85546875" style="146" bestFit="1" customWidth="1"/>
    <col min="4909" max="4915" width="8.7109375" style="146"/>
    <col min="4916" max="4916" width="8.85546875" style="146" bestFit="1" customWidth="1"/>
    <col min="4917" max="4923" width="8.7109375" style="146"/>
    <col min="4924" max="4924" width="8.85546875" style="146" bestFit="1" customWidth="1"/>
    <col min="4925" max="4931" width="8.7109375" style="146"/>
    <col min="4932" max="4932" width="8.85546875" style="146" bestFit="1" customWidth="1"/>
    <col min="4933" max="4939" width="8.7109375" style="146"/>
    <col min="4940" max="4940" width="8.85546875" style="146" bestFit="1" customWidth="1"/>
    <col min="4941" max="4947" width="8.7109375" style="146"/>
    <col min="4948" max="4948" width="8.85546875" style="146" bestFit="1" customWidth="1"/>
    <col min="4949" max="4955" width="8.7109375" style="146"/>
    <col min="4956" max="4956" width="8.85546875" style="146" bestFit="1" customWidth="1"/>
    <col min="4957" max="4963" width="8.7109375" style="146"/>
    <col min="4964" max="4964" width="8.85546875" style="146" bestFit="1" customWidth="1"/>
    <col min="4965" max="4971" width="8.7109375" style="146"/>
    <col min="4972" max="4972" width="8.85546875" style="146" bestFit="1" customWidth="1"/>
    <col min="4973" max="4979" width="8.7109375" style="146"/>
    <col min="4980" max="4980" width="8.85546875" style="146" bestFit="1" customWidth="1"/>
    <col min="4981" max="4987" width="8.7109375" style="146"/>
    <col min="4988" max="4988" width="8.85546875" style="146" bestFit="1" customWidth="1"/>
    <col min="4989" max="4995" width="8.7109375" style="146"/>
    <col min="4996" max="4996" width="8.85546875" style="146" bestFit="1" customWidth="1"/>
    <col min="4997" max="5003" width="8.7109375" style="146"/>
    <col min="5004" max="5004" width="8.85546875" style="146" bestFit="1" customWidth="1"/>
    <col min="5005" max="5011" width="8.7109375" style="146"/>
    <col min="5012" max="5012" width="8.85546875" style="146" bestFit="1" customWidth="1"/>
    <col min="5013" max="5019" width="8.7109375" style="146"/>
    <col min="5020" max="5020" width="8.85546875" style="146" bestFit="1" customWidth="1"/>
    <col min="5021" max="5027" width="8.7109375" style="146"/>
    <col min="5028" max="5028" width="8.85546875" style="146" bestFit="1" customWidth="1"/>
    <col min="5029" max="5035" width="8.7109375" style="146"/>
    <col min="5036" max="5036" width="8.85546875" style="146" bestFit="1" customWidth="1"/>
    <col min="5037" max="5043" width="8.7109375" style="146"/>
    <col min="5044" max="5044" width="8.85546875" style="146" bestFit="1" customWidth="1"/>
    <col min="5045" max="5051" width="8.7109375" style="146"/>
    <col min="5052" max="5052" width="8.85546875" style="146" bestFit="1" customWidth="1"/>
    <col min="5053" max="5059" width="8.7109375" style="146"/>
    <col min="5060" max="5060" width="8.85546875" style="146" bestFit="1" customWidth="1"/>
    <col min="5061" max="5067" width="8.7109375" style="146"/>
    <col min="5068" max="5068" width="8.85546875" style="146" bestFit="1" customWidth="1"/>
    <col min="5069" max="5075" width="8.7109375" style="146"/>
    <col min="5076" max="5076" width="8.85546875" style="146" bestFit="1" customWidth="1"/>
    <col min="5077" max="5083" width="8.7109375" style="146"/>
    <col min="5084" max="5084" width="8.85546875" style="146" bestFit="1" customWidth="1"/>
    <col min="5085" max="5091" width="8.7109375" style="146"/>
    <col min="5092" max="5092" width="8.85546875" style="146" bestFit="1" customWidth="1"/>
    <col min="5093" max="5099" width="8.7109375" style="146"/>
    <col min="5100" max="5100" width="8.85546875" style="146" bestFit="1" customWidth="1"/>
    <col min="5101" max="5107" width="8.7109375" style="146"/>
    <col min="5108" max="5108" width="8.85546875" style="146" bestFit="1" customWidth="1"/>
    <col min="5109" max="5115" width="8.7109375" style="146"/>
    <col min="5116" max="5116" width="8.85546875" style="146" bestFit="1" customWidth="1"/>
    <col min="5117" max="5123" width="8.7109375" style="146"/>
    <col min="5124" max="5124" width="8.85546875" style="146" bestFit="1" customWidth="1"/>
    <col min="5125" max="5131" width="8.7109375" style="146"/>
    <col min="5132" max="5132" width="8.85546875" style="146" bestFit="1" customWidth="1"/>
    <col min="5133" max="5139" width="8.7109375" style="146"/>
    <col min="5140" max="5140" width="8.85546875" style="146" bestFit="1" customWidth="1"/>
    <col min="5141" max="5147" width="8.7109375" style="146"/>
    <col min="5148" max="5148" width="8.85546875" style="146" bestFit="1" customWidth="1"/>
    <col min="5149" max="5155" width="8.7109375" style="146"/>
    <col min="5156" max="5156" width="8.85546875" style="146" bestFit="1" customWidth="1"/>
    <col min="5157" max="5163" width="8.7109375" style="146"/>
    <col min="5164" max="5164" width="8.85546875" style="146" bestFit="1" customWidth="1"/>
    <col min="5165" max="5171" width="8.7109375" style="146"/>
    <col min="5172" max="5172" width="8.85546875" style="146" bestFit="1" customWidth="1"/>
    <col min="5173" max="5179" width="8.7109375" style="146"/>
    <col min="5180" max="5180" width="8.85546875" style="146" bestFit="1" customWidth="1"/>
    <col min="5181" max="5187" width="8.7109375" style="146"/>
    <col min="5188" max="5188" width="8.85546875" style="146" bestFit="1" customWidth="1"/>
    <col min="5189" max="5195" width="8.7109375" style="146"/>
    <col min="5196" max="5196" width="8.85546875" style="146" bestFit="1" customWidth="1"/>
    <col min="5197" max="5203" width="8.7109375" style="146"/>
    <col min="5204" max="5204" width="8.85546875" style="146" bestFit="1" customWidth="1"/>
    <col min="5205" max="5211" width="8.7109375" style="146"/>
    <col min="5212" max="5212" width="8.85546875" style="146" bestFit="1" customWidth="1"/>
    <col min="5213" max="5219" width="8.7109375" style="146"/>
    <col min="5220" max="5220" width="8.85546875" style="146" bestFit="1" customWidth="1"/>
    <col min="5221" max="5227" width="8.7109375" style="146"/>
    <col min="5228" max="5228" width="8.85546875" style="146" bestFit="1" customWidth="1"/>
    <col min="5229" max="5235" width="8.7109375" style="146"/>
    <col min="5236" max="5236" width="8.85546875" style="146" bestFit="1" customWidth="1"/>
    <col min="5237" max="5243" width="8.7109375" style="146"/>
    <col min="5244" max="5244" width="8.85546875" style="146" bestFit="1" customWidth="1"/>
    <col min="5245" max="5251" width="8.7109375" style="146"/>
    <col min="5252" max="5252" width="8.85546875" style="146" bestFit="1" customWidth="1"/>
    <col min="5253" max="5259" width="8.7109375" style="146"/>
    <col min="5260" max="5260" width="8.85546875" style="146" bestFit="1" customWidth="1"/>
    <col min="5261" max="5267" width="8.7109375" style="146"/>
    <col min="5268" max="5268" width="8.85546875" style="146" bestFit="1" customWidth="1"/>
    <col min="5269" max="5275" width="8.7109375" style="146"/>
    <col min="5276" max="5276" width="8.85546875" style="146" bestFit="1" customWidth="1"/>
    <col min="5277" max="5283" width="8.7109375" style="146"/>
    <col min="5284" max="5284" width="8.85546875" style="146" bestFit="1" customWidth="1"/>
    <col min="5285" max="5291" width="8.7109375" style="146"/>
    <col min="5292" max="5292" width="8.85546875" style="146" bestFit="1" customWidth="1"/>
    <col min="5293" max="5299" width="8.7109375" style="146"/>
    <col min="5300" max="5300" width="8.85546875" style="146" bestFit="1" customWidth="1"/>
    <col min="5301" max="5307" width="8.7109375" style="146"/>
    <col min="5308" max="5308" width="8.85546875" style="146" bestFit="1" customWidth="1"/>
    <col min="5309" max="5315" width="8.7109375" style="146"/>
    <col min="5316" max="5316" width="8.85546875" style="146" bestFit="1" customWidth="1"/>
    <col min="5317" max="5323" width="8.7109375" style="146"/>
    <col min="5324" max="5324" width="8.85546875" style="146" bestFit="1" customWidth="1"/>
    <col min="5325" max="5331" width="8.7109375" style="146"/>
    <col min="5332" max="5332" width="8.85546875" style="146" bestFit="1" customWidth="1"/>
    <col min="5333" max="5339" width="8.7109375" style="146"/>
    <col min="5340" max="5340" width="8.85546875" style="146" bestFit="1" customWidth="1"/>
    <col min="5341" max="5347" width="8.7109375" style="146"/>
    <col min="5348" max="5348" width="8.85546875" style="146" bestFit="1" customWidth="1"/>
    <col min="5349" max="5355" width="8.7109375" style="146"/>
    <col min="5356" max="5356" width="8.85546875" style="146" bestFit="1" customWidth="1"/>
    <col min="5357" max="5363" width="8.7109375" style="146"/>
    <col min="5364" max="5364" width="8.85546875" style="146" bestFit="1" customWidth="1"/>
    <col min="5365" max="5371" width="8.7109375" style="146"/>
    <col min="5372" max="5372" width="8.85546875" style="146" bestFit="1" customWidth="1"/>
    <col min="5373" max="5379" width="8.7109375" style="146"/>
    <col min="5380" max="5380" width="8.85546875" style="146" bestFit="1" customWidth="1"/>
    <col min="5381" max="5387" width="8.7109375" style="146"/>
    <col min="5388" max="5388" width="8.85546875" style="146" bestFit="1" customWidth="1"/>
    <col min="5389" max="5395" width="8.7109375" style="146"/>
    <col min="5396" max="5396" width="8.85546875" style="146" bestFit="1" customWidth="1"/>
    <col min="5397" max="5403" width="8.7109375" style="146"/>
    <col min="5404" max="5404" width="8.85546875" style="146" bestFit="1" customWidth="1"/>
    <col min="5405" max="5411" width="8.7109375" style="146"/>
    <col min="5412" max="5412" width="8.85546875" style="146" bestFit="1" customWidth="1"/>
    <col min="5413" max="5419" width="8.7109375" style="146"/>
    <col min="5420" max="5420" width="8.85546875" style="146" bestFit="1" customWidth="1"/>
    <col min="5421" max="5427" width="8.7109375" style="146"/>
    <col min="5428" max="5428" width="8.85546875" style="146" bestFit="1" customWidth="1"/>
    <col min="5429" max="5435" width="8.7109375" style="146"/>
    <col min="5436" max="5436" width="8.85546875" style="146" bestFit="1" customWidth="1"/>
    <col min="5437" max="5443" width="8.7109375" style="146"/>
    <col min="5444" max="5444" width="8.85546875" style="146" bestFit="1" customWidth="1"/>
    <col min="5445" max="5451" width="8.7109375" style="146"/>
    <col min="5452" max="5452" width="8.85546875" style="146" bestFit="1" customWidth="1"/>
    <col min="5453" max="5459" width="8.7109375" style="146"/>
    <col min="5460" max="5460" width="8.85546875" style="146" bestFit="1" customWidth="1"/>
    <col min="5461" max="5467" width="8.7109375" style="146"/>
    <col min="5468" max="5468" width="8.85546875" style="146" bestFit="1" customWidth="1"/>
    <col min="5469" max="5475" width="8.7109375" style="146"/>
    <col min="5476" max="5476" width="8.85546875" style="146" bestFit="1" customWidth="1"/>
    <col min="5477" max="5483" width="8.7109375" style="146"/>
    <col min="5484" max="5484" width="8.85546875" style="146" bestFit="1" customWidth="1"/>
    <col min="5485" max="5491" width="8.7109375" style="146"/>
    <col min="5492" max="5492" width="8.85546875" style="146" bestFit="1" customWidth="1"/>
    <col min="5493" max="5499" width="8.7109375" style="146"/>
    <col min="5500" max="5500" width="8.85546875" style="146" bestFit="1" customWidth="1"/>
    <col min="5501" max="5507" width="8.7109375" style="146"/>
    <col min="5508" max="5508" width="8.85546875" style="146" bestFit="1" customWidth="1"/>
    <col min="5509" max="5515" width="8.7109375" style="146"/>
    <col min="5516" max="5516" width="8.85546875" style="146" bestFit="1" customWidth="1"/>
    <col min="5517" max="5523" width="8.7109375" style="146"/>
    <col min="5524" max="5524" width="8.85546875" style="146" bestFit="1" customWidth="1"/>
    <col min="5525" max="5531" width="8.7109375" style="146"/>
    <col min="5532" max="5532" width="8.85546875" style="146" bestFit="1" customWidth="1"/>
    <col min="5533" max="5539" width="8.7109375" style="146"/>
    <col min="5540" max="5540" width="8.85546875" style="146" bestFit="1" customWidth="1"/>
    <col min="5541" max="5547" width="8.7109375" style="146"/>
    <col min="5548" max="5548" width="8.85546875" style="146" bestFit="1" customWidth="1"/>
    <col min="5549" max="5555" width="8.7109375" style="146"/>
    <col min="5556" max="5556" width="8.85546875" style="146" bestFit="1" customWidth="1"/>
    <col min="5557" max="5563" width="8.7109375" style="146"/>
    <col min="5564" max="5564" width="8.85546875" style="146" bestFit="1" customWidth="1"/>
    <col min="5565" max="5571" width="8.7109375" style="146"/>
    <col min="5572" max="5572" width="8.85546875" style="146" bestFit="1" customWidth="1"/>
    <col min="5573" max="5579" width="8.7109375" style="146"/>
    <col min="5580" max="5580" width="8.85546875" style="146" bestFit="1" customWidth="1"/>
    <col min="5581" max="5587" width="8.7109375" style="146"/>
    <col min="5588" max="5588" width="8.85546875" style="146" bestFit="1" customWidth="1"/>
    <col min="5589" max="5595" width="8.7109375" style="146"/>
    <col min="5596" max="5596" width="8.85546875" style="146" bestFit="1" customWidth="1"/>
    <col min="5597" max="5603" width="8.7109375" style="146"/>
    <col min="5604" max="5604" width="8.85546875" style="146" bestFit="1" customWidth="1"/>
    <col min="5605" max="5611" width="8.7109375" style="146"/>
    <col min="5612" max="5612" width="8.85546875" style="146" bestFit="1" customWidth="1"/>
    <col min="5613" max="5619" width="8.7109375" style="146"/>
    <col min="5620" max="5620" width="8.85546875" style="146" bestFit="1" customWidth="1"/>
    <col min="5621" max="5627" width="8.7109375" style="146"/>
    <col min="5628" max="5628" width="8.85546875" style="146" bestFit="1" customWidth="1"/>
    <col min="5629" max="5635" width="8.7109375" style="146"/>
    <col min="5636" max="5636" width="8.85546875" style="146" bestFit="1" customWidth="1"/>
    <col min="5637" max="5643" width="8.7109375" style="146"/>
    <col min="5644" max="5644" width="8.85546875" style="146" bestFit="1" customWidth="1"/>
    <col min="5645" max="5651" width="8.7109375" style="146"/>
    <col min="5652" max="5652" width="8.85546875" style="146" bestFit="1" customWidth="1"/>
    <col min="5653" max="5659" width="8.7109375" style="146"/>
    <col min="5660" max="5660" width="8.85546875" style="146" bestFit="1" customWidth="1"/>
    <col min="5661" max="5667" width="8.7109375" style="146"/>
    <col min="5668" max="5668" width="8.85546875" style="146" bestFit="1" customWidth="1"/>
    <col min="5669" max="5675" width="8.7109375" style="146"/>
    <col min="5676" max="5676" width="8.85546875" style="146" bestFit="1" customWidth="1"/>
    <col min="5677" max="5683" width="8.7109375" style="146"/>
    <col min="5684" max="5684" width="8.85546875" style="146" bestFit="1" customWidth="1"/>
    <col min="5685" max="5691" width="8.7109375" style="146"/>
    <col min="5692" max="5692" width="8.85546875" style="146" bestFit="1" customWidth="1"/>
    <col min="5693" max="5699" width="8.7109375" style="146"/>
    <col min="5700" max="5700" width="8.85546875" style="146" bestFit="1" customWidth="1"/>
    <col min="5701" max="5707" width="8.7109375" style="146"/>
    <col min="5708" max="5708" width="8.85546875" style="146" bestFit="1" customWidth="1"/>
    <col min="5709" max="5715" width="8.7109375" style="146"/>
    <col min="5716" max="5716" width="8.85546875" style="146" bestFit="1" customWidth="1"/>
    <col min="5717" max="5723" width="8.7109375" style="146"/>
    <col min="5724" max="5724" width="8.85546875" style="146" bestFit="1" customWidth="1"/>
    <col min="5725" max="5731" width="8.7109375" style="146"/>
    <col min="5732" max="5732" width="8.85546875" style="146" bestFit="1" customWidth="1"/>
    <col min="5733" max="5739" width="8.7109375" style="146"/>
    <col min="5740" max="5740" width="8.85546875" style="146" bestFit="1" customWidth="1"/>
    <col min="5741" max="5747" width="8.7109375" style="146"/>
    <col min="5748" max="5748" width="8.85546875" style="146" bestFit="1" customWidth="1"/>
    <col min="5749" max="5755" width="8.7109375" style="146"/>
    <col min="5756" max="5756" width="8.85546875" style="146" bestFit="1" customWidth="1"/>
    <col min="5757" max="5763" width="8.7109375" style="146"/>
    <col min="5764" max="5764" width="8.85546875" style="146" bestFit="1" customWidth="1"/>
    <col min="5765" max="5771" width="8.7109375" style="146"/>
    <col min="5772" max="5772" width="8.85546875" style="146" bestFit="1" customWidth="1"/>
    <col min="5773" max="5779" width="8.7109375" style="146"/>
    <col min="5780" max="5780" width="8.85546875" style="146" bestFit="1" customWidth="1"/>
    <col min="5781" max="5787" width="8.7109375" style="146"/>
    <col min="5788" max="5788" width="8.85546875" style="146" bestFit="1" customWidth="1"/>
    <col min="5789" max="5795" width="8.7109375" style="146"/>
    <col min="5796" max="5796" width="8.85546875" style="146" bestFit="1" customWidth="1"/>
    <col min="5797" max="5803" width="8.7109375" style="146"/>
    <col min="5804" max="5804" width="8.85546875" style="146" bestFit="1" customWidth="1"/>
    <col min="5805" max="5811" width="8.7109375" style="146"/>
    <col min="5812" max="5812" width="8.85546875" style="146" bestFit="1" customWidth="1"/>
    <col min="5813" max="5819" width="8.7109375" style="146"/>
    <col min="5820" max="5820" width="8.85546875" style="146" bestFit="1" customWidth="1"/>
    <col min="5821" max="5827" width="8.7109375" style="146"/>
    <col min="5828" max="5828" width="8.85546875" style="146" bestFit="1" customWidth="1"/>
    <col min="5829" max="5835" width="8.7109375" style="146"/>
    <col min="5836" max="5836" width="8.85546875" style="146" bestFit="1" customWidth="1"/>
    <col min="5837" max="5843" width="8.7109375" style="146"/>
    <col min="5844" max="5844" width="8.85546875" style="146" bestFit="1" customWidth="1"/>
    <col min="5845" max="5851" width="8.7109375" style="146"/>
    <col min="5852" max="5852" width="8.85546875" style="146" bestFit="1" customWidth="1"/>
    <col min="5853" max="5859" width="8.7109375" style="146"/>
    <col min="5860" max="5860" width="8.85546875" style="146" bestFit="1" customWidth="1"/>
    <col min="5861" max="5867" width="8.7109375" style="146"/>
    <col min="5868" max="5868" width="8.85546875" style="146" bestFit="1" customWidth="1"/>
    <col min="5869" max="5875" width="8.7109375" style="146"/>
    <col min="5876" max="5876" width="8.85546875" style="146" bestFit="1" customWidth="1"/>
    <col min="5877" max="5883" width="8.7109375" style="146"/>
    <col min="5884" max="5884" width="8.85546875" style="146" bestFit="1" customWidth="1"/>
    <col min="5885" max="5891" width="8.7109375" style="146"/>
    <col min="5892" max="5892" width="8.85546875" style="146" bestFit="1" customWidth="1"/>
    <col min="5893" max="5899" width="8.7109375" style="146"/>
    <col min="5900" max="5900" width="8.85546875" style="146" bestFit="1" customWidth="1"/>
    <col min="5901" max="5907" width="8.7109375" style="146"/>
    <col min="5908" max="5908" width="8.85546875" style="146" bestFit="1" customWidth="1"/>
    <col min="5909" max="5915" width="8.7109375" style="146"/>
    <col min="5916" max="5916" width="8.85546875" style="146" bestFit="1" customWidth="1"/>
    <col min="5917" max="5923" width="8.7109375" style="146"/>
    <col min="5924" max="5924" width="8.85546875" style="146" bestFit="1" customWidth="1"/>
    <col min="5925" max="5931" width="8.7109375" style="146"/>
    <col min="5932" max="5932" width="8.85546875" style="146" bestFit="1" customWidth="1"/>
    <col min="5933" max="5939" width="8.7109375" style="146"/>
    <col min="5940" max="5940" width="8.85546875" style="146" bestFit="1" customWidth="1"/>
    <col min="5941" max="5947" width="8.7109375" style="146"/>
    <col min="5948" max="5948" width="8.85546875" style="146" bestFit="1" customWidth="1"/>
    <col min="5949" max="5955" width="8.7109375" style="146"/>
    <col min="5956" max="5956" width="8.85546875" style="146" bestFit="1" customWidth="1"/>
    <col min="5957" max="5963" width="8.7109375" style="146"/>
    <col min="5964" max="5964" width="8.85546875" style="146" bestFit="1" customWidth="1"/>
    <col min="5965" max="5971" width="8.7109375" style="146"/>
    <col min="5972" max="5972" width="8.85546875" style="146" bestFit="1" customWidth="1"/>
    <col min="5973" max="5979" width="8.7109375" style="146"/>
    <col min="5980" max="5980" width="8.85546875" style="146" bestFit="1" customWidth="1"/>
    <col min="5981" max="5987" width="8.7109375" style="146"/>
    <col min="5988" max="5988" width="8.85546875" style="146" bestFit="1" customWidth="1"/>
    <col min="5989" max="5995" width="8.7109375" style="146"/>
    <col min="5996" max="5996" width="8.85546875" style="146" bestFit="1" customWidth="1"/>
    <col min="5997" max="6003" width="8.7109375" style="146"/>
    <col min="6004" max="6004" width="8.85546875" style="146" bestFit="1" customWidth="1"/>
    <col min="6005" max="6011" width="8.7109375" style="146"/>
    <col min="6012" max="6012" width="8.85546875" style="146" bestFit="1" customWidth="1"/>
    <col min="6013" max="6019" width="8.7109375" style="146"/>
    <col min="6020" max="6020" width="8.85546875" style="146" bestFit="1" customWidth="1"/>
    <col min="6021" max="6027" width="8.7109375" style="146"/>
    <col min="6028" max="6028" width="8.85546875" style="146" bestFit="1" customWidth="1"/>
    <col min="6029" max="6035" width="8.7109375" style="146"/>
    <col min="6036" max="6036" width="8.85546875" style="146" bestFit="1" customWidth="1"/>
    <col min="6037" max="6043" width="8.7109375" style="146"/>
    <col min="6044" max="6044" width="8.85546875" style="146" bestFit="1" customWidth="1"/>
    <col min="6045" max="6051" width="8.7109375" style="146"/>
    <col min="6052" max="6052" width="8.85546875" style="146" bestFit="1" customWidth="1"/>
    <col min="6053" max="6059" width="8.7109375" style="146"/>
    <col min="6060" max="6060" width="8.85546875" style="146" bestFit="1" customWidth="1"/>
    <col min="6061" max="6067" width="8.7109375" style="146"/>
    <col min="6068" max="6068" width="8.85546875" style="146" bestFit="1" customWidth="1"/>
    <col min="6069" max="6075" width="8.7109375" style="146"/>
    <col min="6076" max="6076" width="8.85546875" style="146" bestFit="1" customWidth="1"/>
    <col min="6077" max="6083" width="8.7109375" style="146"/>
    <col min="6084" max="6084" width="8.85546875" style="146" bestFit="1" customWidth="1"/>
    <col min="6085" max="6091" width="8.7109375" style="146"/>
    <col min="6092" max="6092" width="8.85546875" style="146" bestFit="1" customWidth="1"/>
    <col min="6093" max="6099" width="8.7109375" style="146"/>
    <col min="6100" max="6100" width="8.85546875" style="146" bestFit="1" customWidth="1"/>
    <col min="6101" max="6107" width="8.7109375" style="146"/>
    <col min="6108" max="6108" width="8.85546875" style="146" bestFit="1" customWidth="1"/>
    <col min="6109" max="6115" width="8.7109375" style="146"/>
    <col min="6116" max="6116" width="8.85546875" style="146" bestFit="1" customWidth="1"/>
    <col min="6117" max="6123" width="8.7109375" style="146"/>
    <col min="6124" max="6124" width="8.85546875" style="146" bestFit="1" customWidth="1"/>
    <col min="6125" max="6131" width="8.7109375" style="146"/>
    <col min="6132" max="6132" width="8.85546875" style="146" bestFit="1" customWidth="1"/>
    <col min="6133" max="6139" width="8.7109375" style="146"/>
    <col min="6140" max="6140" width="8.85546875" style="146" bestFit="1" customWidth="1"/>
    <col min="6141" max="6147" width="8.7109375" style="146"/>
    <col min="6148" max="6148" width="8.85546875" style="146" bestFit="1" customWidth="1"/>
    <col min="6149" max="6155" width="8.7109375" style="146"/>
    <col min="6156" max="6156" width="8.85546875" style="146" bestFit="1" customWidth="1"/>
    <col min="6157" max="6163" width="8.7109375" style="146"/>
    <col min="6164" max="6164" width="8.85546875" style="146" bestFit="1" customWidth="1"/>
    <col min="6165" max="6171" width="8.7109375" style="146"/>
    <col min="6172" max="6172" width="8.85546875" style="146" bestFit="1" customWidth="1"/>
    <col min="6173" max="6179" width="8.7109375" style="146"/>
    <col min="6180" max="6180" width="8.85546875" style="146" bestFit="1" customWidth="1"/>
    <col min="6181" max="6187" width="8.7109375" style="146"/>
    <col min="6188" max="6188" width="8.85546875" style="146" bestFit="1" customWidth="1"/>
    <col min="6189" max="6195" width="8.7109375" style="146"/>
    <col min="6196" max="6196" width="8.85546875" style="146" bestFit="1" customWidth="1"/>
    <col min="6197" max="6203" width="8.7109375" style="146"/>
    <col min="6204" max="6204" width="8.85546875" style="146" bestFit="1" customWidth="1"/>
    <col min="6205" max="6211" width="8.7109375" style="146"/>
    <col min="6212" max="6212" width="8.85546875" style="146" bestFit="1" customWidth="1"/>
    <col min="6213" max="6219" width="8.7109375" style="146"/>
    <col min="6220" max="6220" width="8.85546875" style="146" bestFit="1" customWidth="1"/>
    <col min="6221" max="6227" width="8.7109375" style="146"/>
    <col min="6228" max="6228" width="8.85546875" style="146" bestFit="1" customWidth="1"/>
    <col min="6229" max="6235" width="8.7109375" style="146"/>
    <col min="6236" max="6236" width="8.85546875" style="146" bestFit="1" customWidth="1"/>
    <col min="6237" max="6243" width="8.7109375" style="146"/>
    <col min="6244" max="6244" width="8.85546875" style="146" bestFit="1" customWidth="1"/>
    <col min="6245" max="6251" width="8.7109375" style="146"/>
    <col min="6252" max="6252" width="8.85546875" style="146" bestFit="1" customWidth="1"/>
    <col min="6253" max="6259" width="8.7109375" style="146"/>
    <col min="6260" max="6260" width="8.85546875" style="146" bestFit="1" customWidth="1"/>
    <col min="6261" max="6267" width="8.7109375" style="146"/>
    <col min="6268" max="6268" width="8.85546875" style="146" bestFit="1" customWidth="1"/>
    <col min="6269" max="6275" width="8.7109375" style="146"/>
    <col min="6276" max="6276" width="8.85546875" style="146" bestFit="1" customWidth="1"/>
    <col min="6277" max="6283" width="8.7109375" style="146"/>
    <col min="6284" max="6284" width="8.85546875" style="146" bestFit="1" customWidth="1"/>
    <col min="6285" max="6291" width="8.7109375" style="146"/>
    <col min="6292" max="6292" width="8.85546875" style="146" bestFit="1" customWidth="1"/>
    <col min="6293" max="6299" width="8.7109375" style="146"/>
    <col min="6300" max="6300" width="8.85546875" style="146" bestFit="1" customWidth="1"/>
    <col min="6301" max="6307" width="8.7109375" style="146"/>
    <col min="6308" max="6308" width="8.85546875" style="146" bestFit="1" customWidth="1"/>
    <col min="6309" max="6315" width="8.7109375" style="146"/>
    <col min="6316" max="6316" width="8.85546875" style="146" bestFit="1" customWidth="1"/>
    <col min="6317" max="6323" width="8.7109375" style="146"/>
    <col min="6324" max="6324" width="8.85546875" style="146" bestFit="1" customWidth="1"/>
    <col min="6325" max="6331" width="8.7109375" style="146"/>
    <col min="6332" max="6332" width="8.85546875" style="146" bestFit="1" customWidth="1"/>
    <col min="6333" max="6339" width="8.7109375" style="146"/>
    <col min="6340" max="6340" width="8.85546875" style="146" bestFit="1" customWidth="1"/>
    <col min="6341" max="6347" width="8.7109375" style="146"/>
    <col min="6348" max="6348" width="8.85546875" style="146" bestFit="1" customWidth="1"/>
    <col min="6349" max="6355" width="8.7109375" style="146"/>
    <col min="6356" max="6356" width="8.85546875" style="146" bestFit="1" customWidth="1"/>
    <col min="6357" max="6363" width="8.7109375" style="146"/>
    <col min="6364" max="6364" width="8.85546875" style="146" bestFit="1" customWidth="1"/>
    <col min="6365" max="6371" width="8.7109375" style="146"/>
    <col min="6372" max="6372" width="8.85546875" style="146" bestFit="1" customWidth="1"/>
    <col min="6373" max="6379" width="8.7109375" style="146"/>
    <col min="6380" max="6380" width="8.85546875" style="146" bestFit="1" customWidth="1"/>
    <col min="6381" max="6387" width="8.7109375" style="146"/>
    <col min="6388" max="6388" width="8.85546875" style="146" bestFit="1" customWidth="1"/>
    <col min="6389" max="6395" width="8.7109375" style="146"/>
    <col min="6396" max="6396" width="8.85546875" style="146" bestFit="1" customWidth="1"/>
    <col min="6397" max="6403" width="8.7109375" style="146"/>
    <col min="6404" max="6404" width="8.85546875" style="146" bestFit="1" customWidth="1"/>
    <col min="6405" max="6411" width="8.7109375" style="146"/>
    <col min="6412" max="6412" width="8.85546875" style="146" bestFit="1" customWidth="1"/>
    <col min="6413" max="6419" width="8.7109375" style="146"/>
    <col min="6420" max="6420" width="8.85546875" style="146" bestFit="1" customWidth="1"/>
    <col min="6421" max="6427" width="8.7109375" style="146"/>
    <col min="6428" max="6428" width="8.85546875" style="146" bestFit="1" customWidth="1"/>
    <col min="6429" max="6435" width="8.7109375" style="146"/>
    <col min="6436" max="6436" width="8.85546875" style="146" bestFit="1" customWidth="1"/>
    <col min="6437" max="6443" width="8.7109375" style="146"/>
    <col min="6444" max="6444" width="8.85546875" style="146" bestFit="1" customWidth="1"/>
    <col min="6445" max="6451" width="8.7109375" style="146"/>
    <col min="6452" max="6452" width="8.85546875" style="146" bestFit="1" customWidth="1"/>
    <col min="6453" max="6459" width="8.7109375" style="146"/>
    <col min="6460" max="6460" width="8.85546875" style="146" bestFit="1" customWidth="1"/>
    <col min="6461" max="6467" width="8.7109375" style="146"/>
    <col min="6468" max="6468" width="8.85546875" style="146" bestFit="1" customWidth="1"/>
    <col min="6469" max="6475" width="8.7109375" style="146"/>
    <col min="6476" max="6476" width="8.85546875" style="146" bestFit="1" customWidth="1"/>
    <col min="6477" max="6483" width="8.7109375" style="146"/>
    <col min="6484" max="6484" width="8.85546875" style="146" bestFit="1" customWidth="1"/>
    <col min="6485" max="6491" width="8.7109375" style="146"/>
    <col min="6492" max="6492" width="8.85546875" style="146" bestFit="1" customWidth="1"/>
    <col min="6493" max="6499" width="8.7109375" style="146"/>
    <col min="6500" max="6500" width="8.85546875" style="146" bestFit="1" customWidth="1"/>
    <col min="6501" max="6507" width="8.7109375" style="146"/>
    <col min="6508" max="6508" width="8.85546875" style="146" bestFit="1" customWidth="1"/>
    <col min="6509" max="6515" width="8.7109375" style="146"/>
    <col min="6516" max="6516" width="8.85546875" style="146" bestFit="1" customWidth="1"/>
    <col min="6517" max="6523" width="8.7109375" style="146"/>
    <col min="6524" max="6524" width="8.85546875" style="146" bestFit="1" customWidth="1"/>
    <col min="6525" max="6531" width="8.7109375" style="146"/>
    <col min="6532" max="6532" width="8.85546875" style="146" bestFit="1" customWidth="1"/>
    <col min="6533" max="6539" width="8.7109375" style="146"/>
    <col min="6540" max="6540" width="8.85546875" style="146" bestFit="1" customWidth="1"/>
    <col min="6541" max="6547" width="8.7109375" style="146"/>
    <col min="6548" max="6548" width="8.85546875" style="146" bestFit="1" customWidth="1"/>
    <col min="6549" max="6555" width="8.7109375" style="146"/>
    <col min="6556" max="6556" width="8.85546875" style="146" bestFit="1" customWidth="1"/>
    <col min="6557" max="6563" width="8.7109375" style="146"/>
    <col min="6564" max="6564" width="8.85546875" style="146" bestFit="1" customWidth="1"/>
    <col min="6565" max="6571" width="8.7109375" style="146"/>
    <col min="6572" max="6572" width="8.85546875" style="146" bestFit="1" customWidth="1"/>
    <col min="6573" max="6579" width="8.7109375" style="146"/>
    <col min="6580" max="6580" width="8.85546875" style="146" bestFit="1" customWidth="1"/>
    <col min="6581" max="6587" width="8.7109375" style="146"/>
    <col min="6588" max="6588" width="8.85546875" style="146" bestFit="1" customWidth="1"/>
    <col min="6589" max="6595" width="8.7109375" style="146"/>
    <col min="6596" max="6596" width="8.85546875" style="146" bestFit="1" customWidth="1"/>
    <col min="6597" max="6603" width="8.7109375" style="146"/>
    <col min="6604" max="6604" width="8.85546875" style="146" bestFit="1" customWidth="1"/>
    <col min="6605" max="6611" width="8.7109375" style="146"/>
    <col min="6612" max="6612" width="8.85546875" style="146" bestFit="1" customWidth="1"/>
    <col min="6613" max="6619" width="8.7109375" style="146"/>
    <col min="6620" max="6620" width="8.85546875" style="146" bestFit="1" customWidth="1"/>
    <col min="6621" max="6627" width="8.7109375" style="146"/>
    <col min="6628" max="6628" width="8.85546875" style="146" bestFit="1" customWidth="1"/>
    <col min="6629" max="6635" width="8.7109375" style="146"/>
    <col min="6636" max="6636" width="8.85546875" style="146" bestFit="1" customWidth="1"/>
    <col min="6637" max="6643" width="8.7109375" style="146"/>
    <col min="6644" max="6644" width="8.85546875" style="146" bestFit="1" customWidth="1"/>
    <col min="6645" max="6651" width="8.7109375" style="146"/>
    <col min="6652" max="6652" width="8.85546875" style="146" bestFit="1" customWidth="1"/>
    <col min="6653" max="6659" width="8.7109375" style="146"/>
    <col min="6660" max="6660" width="8.85546875" style="146" bestFit="1" customWidth="1"/>
    <col min="6661" max="6667" width="8.7109375" style="146"/>
    <col min="6668" max="6668" width="8.85546875" style="146" bestFit="1" customWidth="1"/>
    <col min="6669" max="6675" width="8.7109375" style="146"/>
    <col min="6676" max="6676" width="8.85546875" style="146" bestFit="1" customWidth="1"/>
    <col min="6677" max="6683" width="8.7109375" style="146"/>
    <col min="6684" max="6684" width="8.85546875" style="146" bestFit="1" customWidth="1"/>
    <col min="6685" max="6691" width="8.7109375" style="146"/>
    <col min="6692" max="6692" width="8.85546875" style="146" bestFit="1" customWidth="1"/>
    <col min="6693" max="6699" width="8.7109375" style="146"/>
    <col min="6700" max="6700" width="8.85546875" style="146" bestFit="1" customWidth="1"/>
    <col min="6701" max="6707" width="8.7109375" style="146"/>
    <col min="6708" max="6708" width="8.85546875" style="146" bestFit="1" customWidth="1"/>
    <col min="6709" max="6715" width="8.7109375" style="146"/>
    <col min="6716" max="6716" width="8.85546875" style="146" bestFit="1" customWidth="1"/>
    <col min="6717" max="6723" width="8.7109375" style="146"/>
    <col min="6724" max="6724" width="8.85546875" style="146" bestFit="1" customWidth="1"/>
    <col min="6725" max="6731" width="8.7109375" style="146"/>
    <col min="6732" max="6732" width="8.85546875" style="146" bestFit="1" customWidth="1"/>
    <col min="6733" max="6739" width="8.7109375" style="146"/>
    <col min="6740" max="6740" width="8.85546875" style="146" bestFit="1" customWidth="1"/>
    <col min="6741" max="6747" width="8.7109375" style="146"/>
    <col min="6748" max="6748" width="8.85546875" style="146" bestFit="1" customWidth="1"/>
    <col min="6749" max="6755" width="8.7109375" style="146"/>
    <col min="6756" max="6756" width="8.85546875" style="146" bestFit="1" customWidth="1"/>
    <col min="6757" max="6763" width="8.7109375" style="146"/>
    <col min="6764" max="6764" width="8.85546875" style="146" bestFit="1" customWidth="1"/>
    <col min="6765" max="6771" width="8.7109375" style="146"/>
    <col min="6772" max="6772" width="8.85546875" style="146" bestFit="1" customWidth="1"/>
    <col min="6773" max="6779" width="8.7109375" style="146"/>
    <col min="6780" max="6780" width="8.85546875" style="146" bestFit="1" customWidth="1"/>
    <col min="6781" max="6787" width="8.7109375" style="146"/>
    <col min="6788" max="6788" width="8.85546875" style="146" bestFit="1" customWidth="1"/>
    <col min="6789" max="6795" width="8.7109375" style="146"/>
    <col min="6796" max="6796" width="8.85546875" style="146" bestFit="1" customWidth="1"/>
    <col min="6797" max="6803" width="8.7109375" style="146"/>
    <col min="6804" max="6804" width="8.85546875" style="146" bestFit="1" customWidth="1"/>
    <col min="6805" max="6811" width="8.7109375" style="146"/>
    <col min="6812" max="6812" width="8.85546875" style="146" bestFit="1" customWidth="1"/>
    <col min="6813" max="6819" width="8.7109375" style="146"/>
    <col min="6820" max="6820" width="8.85546875" style="146" bestFit="1" customWidth="1"/>
    <col min="6821" max="6827" width="8.7109375" style="146"/>
    <col min="6828" max="6828" width="8.85546875" style="146" bestFit="1" customWidth="1"/>
    <col min="6829" max="6835" width="8.7109375" style="146"/>
    <col min="6836" max="6836" width="8.85546875" style="146" bestFit="1" customWidth="1"/>
    <col min="6837" max="6843" width="8.7109375" style="146"/>
    <col min="6844" max="6844" width="8.85546875" style="146" bestFit="1" customWidth="1"/>
    <col min="6845" max="6851" width="8.7109375" style="146"/>
    <col min="6852" max="6852" width="8.85546875" style="146" bestFit="1" customWidth="1"/>
    <col min="6853" max="6859" width="8.7109375" style="146"/>
    <col min="6860" max="6860" width="8.85546875" style="146" bestFit="1" customWidth="1"/>
    <col min="6861" max="6867" width="8.7109375" style="146"/>
    <col min="6868" max="6868" width="8.85546875" style="146" bestFit="1" customWidth="1"/>
    <col min="6869" max="6875" width="8.7109375" style="146"/>
    <col min="6876" max="6876" width="8.85546875" style="146" bestFit="1" customWidth="1"/>
    <col min="6877" max="6883" width="8.7109375" style="146"/>
    <col min="6884" max="6884" width="8.85546875" style="146" bestFit="1" customWidth="1"/>
    <col min="6885" max="6891" width="8.7109375" style="146"/>
    <col min="6892" max="6892" width="8.85546875" style="146" bestFit="1" customWidth="1"/>
    <col min="6893" max="6899" width="8.7109375" style="146"/>
    <col min="6900" max="6900" width="8.85546875" style="146" bestFit="1" customWidth="1"/>
    <col min="6901" max="6907" width="8.7109375" style="146"/>
    <col min="6908" max="6908" width="8.85546875" style="146" bestFit="1" customWidth="1"/>
    <col min="6909" max="6915" width="8.7109375" style="146"/>
    <col min="6916" max="6916" width="8.85546875" style="146" bestFit="1" customWidth="1"/>
    <col min="6917" max="6923" width="8.7109375" style="146"/>
    <col min="6924" max="6924" width="8.85546875" style="146" bestFit="1" customWidth="1"/>
    <col min="6925" max="6931" width="8.7109375" style="146"/>
    <col min="6932" max="6932" width="8.85546875" style="146" bestFit="1" customWidth="1"/>
    <col min="6933" max="6939" width="8.7109375" style="146"/>
    <col min="6940" max="6940" width="8.85546875" style="146" bestFit="1" customWidth="1"/>
    <col min="6941" max="6947" width="8.7109375" style="146"/>
    <col min="6948" max="6948" width="8.85546875" style="146" bestFit="1" customWidth="1"/>
    <col min="6949" max="6955" width="8.7109375" style="146"/>
    <col min="6956" max="6956" width="8.85546875" style="146" bestFit="1" customWidth="1"/>
    <col min="6957" max="6963" width="8.7109375" style="146"/>
    <col min="6964" max="6964" width="8.85546875" style="146" bestFit="1" customWidth="1"/>
    <col min="6965" max="6971" width="8.7109375" style="146"/>
    <col min="6972" max="6972" width="8.85546875" style="146" bestFit="1" customWidth="1"/>
    <col min="6973" max="6979" width="8.7109375" style="146"/>
    <col min="6980" max="6980" width="8.85546875" style="146" bestFit="1" customWidth="1"/>
    <col min="6981" max="6987" width="8.7109375" style="146"/>
    <col min="6988" max="6988" width="8.85546875" style="146" bestFit="1" customWidth="1"/>
    <col min="6989" max="6995" width="8.7109375" style="146"/>
    <col min="6996" max="6996" width="8.85546875" style="146" bestFit="1" customWidth="1"/>
    <col min="6997" max="7003" width="8.7109375" style="146"/>
    <col min="7004" max="7004" width="8.85546875" style="146" bestFit="1" customWidth="1"/>
    <col min="7005" max="7011" width="8.7109375" style="146"/>
    <col min="7012" max="7012" width="8.85546875" style="146" bestFit="1" customWidth="1"/>
    <col min="7013" max="7019" width="8.7109375" style="146"/>
    <col min="7020" max="7020" width="8.85546875" style="146" bestFit="1" customWidth="1"/>
    <col min="7021" max="7027" width="8.7109375" style="146"/>
    <col min="7028" max="7028" width="8.85546875" style="146" bestFit="1" customWidth="1"/>
    <col min="7029" max="7035" width="8.7109375" style="146"/>
    <col min="7036" max="7036" width="8.85546875" style="146" bestFit="1" customWidth="1"/>
    <col min="7037" max="7043" width="8.7109375" style="146"/>
    <col min="7044" max="7044" width="8.85546875" style="146" bestFit="1" customWidth="1"/>
    <col min="7045" max="7051" width="8.7109375" style="146"/>
    <col min="7052" max="7052" width="8.85546875" style="146" bestFit="1" customWidth="1"/>
    <col min="7053" max="7059" width="8.7109375" style="146"/>
    <col min="7060" max="7060" width="8.85546875" style="146" bestFit="1" customWidth="1"/>
    <col min="7061" max="7067" width="8.7109375" style="146"/>
    <col min="7068" max="7068" width="8.85546875" style="146" bestFit="1" customWidth="1"/>
    <col min="7069" max="7075" width="8.7109375" style="146"/>
    <col min="7076" max="7076" width="8.85546875" style="146" bestFit="1" customWidth="1"/>
    <col min="7077" max="7083" width="8.7109375" style="146"/>
    <col min="7084" max="7084" width="8.85546875" style="146" bestFit="1" customWidth="1"/>
    <col min="7085" max="7091" width="8.7109375" style="146"/>
    <col min="7092" max="7092" width="8.85546875" style="146" bestFit="1" customWidth="1"/>
    <col min="7093" max="7099" width="8.7109375" style="146"/>
    <col min="7100" max="7100" width="8.85546875" style="146" bestFit="1" customWidth="1"/>
    <col min="7101" max="7107" width="8.7109375" style="146"/>
    <col min="7108" max="7108" width="8.85546875" style="146" bestFit="1" customWidth="1"/>
    <col min="7109" max="7115" width="8.7109375" style="146"/>
    <col min="7116" max="7116" width="8.85546875" style="146" bestFit="1" customWidth="1"/>
    <col min="7117" max="7123" width="8.7109375" style="146"/>
    <col min="7124" max="7124" width="8.85546875" style="146" bestFit="1" customWidth="1"/>
    <col min="7125" max="7131" width="8.7109375" style="146"/>
    <col min="7132" max="7132" width="8.85546875" style="146" bestFit="1" customWidth="1"/>
    <col min="7133" max="7139" width="8.7109375" style="146"/>
    <col min="7140" max="7140" width="8.85546875" style="146" bestFit="1" customWidth="1"/>
    <col min="7141" max="7147" width="8.7109375" style="146"/>
    <col min="7148" max="7148" width="8.85546875" style="146" bestFit="1" customWidth="1"/>
    <col min="7149" max="7155" width="8.7109375" style="146"/>
    <col min="7156" max="7156" width="8.85546875" style="146" bestFit="1" customWidth="1"/>
    <col min="7157" max="7163" width="8.7109375" style="146"/>
    <col min="7164" max="7164" width="8.85546875" style="146" bestFit="1" customWidth="1"/>
    <col min="7165" max="7171" width="8.7109375" style="146"/>
    <col min="7172" max="7172" width="8.85546875" style="146" bestFit="1" customWidth="1"/>
    <col min="7173" max="7179" width="8.7109375" style="146"/>
    <col min="7180" max="7180" width="8.85546875" style="146" bestFit="1" customWidth="1"/>
    <col min="7181" max="7187" width="8.7109375" style="146"/>
    <col min="7188" max="7188" width="8.85546875" style="146" bestFit="1" customWidth="1"/>
    <col min="7189" max="7195" width="8.7109375" style="146"/>
    <col min="7196" max="7196" width="8.85546875" style="146" bestFit="1" customWidth="1"/>
    <col min="7197" max="7203" width="8.7109375" style="146"/>
    <col min="7204" max="7204" width="8.85546875" style="146" bestFit="1" customWidth="1"/>
    <col min="7205" max="7211" width="8.7109375" style="146"/>
    <col min="7212" max="7212" width="8.85546875" style="146" bestFit="1" customWidth="1"/>
    <col min="7213" max="7219" width="8.7109375" style="146"/>
    <col min="7220" max="7220" width="8.85546875" style="146" bestFit="1" customWidth="1"/>
    <col min="7221" max="7227" width="8.7109375" style="146"/>
    <col min="7228" max="7228" width="8.85546875" style="146" bestFit="1" customWidth="1"/>
    <col min="7229" max="7235" width="8.7109375" style="146"/>
    <col min="7236" max="7236" width="8.85546875" style="146" bestFit="1" customWidth="1"/>
    <col min="7237" max="7243" width="8.7109375" style="146"/>
    <col min="7244" max="7244" width="8.85546875" style="146" bestFit="1" customWidth="1"/>
    <col min="7245" max="7251" width="8.7109375" style="146"/>
    <col min="7252" max="7252" width="8.85546875" style="146" bestFit="1" customWidth="1"/>
    <col min="7253" max="7259" width="8.7109375" style="146"/>
    <col min="7260" max="7260" width="8.85546875" style="146" bestFit="1" customWidth="1"/>
    <col min="7261" max="7267" width="8.7109375" style="146"/>
    <col min="7268" max="7268" width="8.85546875" style="146" bestFit="1" customWidth="1"/>
    <col min="7269" max="7275" width="8.7109375" style="146"/>
    <col min="7276" max="7276" width="8.85546875" style="146" bestFit="1" customWidth="1"/>
    <col min="7277" max="7283" width="8.7109375" style="146"/>
    <col min="7284" max="7284" width="8.85546875" style="146" bestFit="1" customWidth="1"/>
    <col min="7285" max="7291" width="8.7109375" style="146"/>
    <col min="7292" max="7292" width="8.85546875" style="146" bestFit="1" customWidth="1"/>
    <col min="7293" max="7299" width="8.7109375" style="146"/>
    <col min="7300" max="7300" width="8.85546875" style="146" bestFit="1" customWidth="1"/>
    <col min="7301" max="7307" width="8.7109375" style="146"/>
    <col min="7308" max="7308" width="8.85546875" style="146" bestFit="1" customWidth="1"/>
    <col min="7309" max="7315" width="8.7109375" style="146"/>
    <col min="7316" max="7316" width="8.85546875" style="146" bestFit="1" customWidth="1"/>
    <col min="7317" max="7323" width="8.7109375" style="146"/>
    <col min="7324" max="7324" width="8.85546875" style="146" bestFit="1" customWidth="1"/>
    <col min="7325" max="7331" width="8.7109375" style="146"/>
    <col min="7332" max="7332" width="8.85546875" style="146" bestFit="1" customWidth="1"/>
    <col min="7333" max="7339" width="8.7109375" style="146"/>
    <col min="7340" max="7340" width="8.85546875" style="146" bestFit="1" customWidth="1"/>
    <col min="7341" max="7347" width="8.7109375" style="146"/>
    <col min="7348" max="7348" width="8.85546875" style="146" bestFit="1" customWidth="1"/>
    <col min="7349" max="7355" width="8.7109375" style="146"/>
    <col min="7356" max="7356" width="8.85546875" style="146" bestFit="1" customWidth="1"/>
    <col min="7357" max="7363" width="8.7109375" style="146"/>
    <col min="7364" max="7364" width="8.85546875" style="146" bestFit="1" customWidth="1"/>
    <col min="7365" max="7371" width="8.7109375" style="146"/>
    <col min="7372" max="7372" width="8.85546875" style="146" bestFit="1" customWidth="1"/>
    <col min="7373" max="7379" width="8.7109375" style="146"/>
    <col min="7380" max="7380" width="8.85546875" style="146" bestFit="1" customWidth="1"/>
    <col min="7381" max="7387" width="8.7109375" style="146"/>
    <col min="7388" max="7388" width="8.85546875" style="146" bestFit="1" customWidth="1"/>
    <col min="7389" max="7395" width="8.7109375" style="146"/>
    <col min="7396" max="7396" width="8.85546875" style="146" bestFit="1" customWidth="1"/>
    <col min="7397" max="7403" width="8.7109375" style="146"/>
    <col min="7404" max="7404" width="8.85546875" style="146" bestFit="1" customWidth="1"/>
    <col min="7405" max="7411" width="8.7109375" style="146"/>
    <col min="7412" max="7412" width="8.85546875" style="146" bestFit="1" customWidth="1"/>
    <col min="7413" max="7419" width="8.7109375" style="146"/>
    <col min="7420" max="7420" width="8.85546875" style="146" bestFit="1" customWidth="1"/>
    <col min="7421" max="7427" width="8.7109375" style="146"/>
    <col min="7428" max="7428" width="8.85546875" style="146" bestFit="1" customWidth="1"/>
    <col min="7429" max="7435" width="8.7109375" style="146"/>
    <col min="7436" max="7436" width="8.85546875" style="146" bestFit="1" customWidth="1"/>
    <col min="7437" max="7443" width="8.7109375" style="146"/>
    <col min="7444" max="7444" width="8.85546875" style="146" bestFit="1" customWidth="1"/>
    <col min="7445" max="7451" width="8.7109375" style="146"/>
    <col min="7452" max="7452" width="8.85546875" style="146" bestFit="1" customWidth="1"/>
    <col min="7453" max="7459" width="8.7109375" style="146"/>
    <col min="7460" max="7460" width="8.85546875" style="146" bestFit="1" customWidth="1"/>
    <col min="7461" max="7467" width="8.7109375" style="146"/>
    <col min="7468" max="7468" width="8.85546875" style="146" bestFit="1" customWidth="1"/>
    <col min="7469" max="7475" width="8.7109375" style="146"/>
    <col min="7476" max="7476" width="8.85546875" style="146" bestFit="1" customWidth="1"/>
    <col min="7477" max="7483" width="8.7109375" style="146"/>
    <col min="7484" max="7484" width="8.85546875" style="146" bestFit="1" customWidth="1"/>
    <col min="7485" max="7491" width="8.7109375" style="146"/>
    <col min="7492" max="7492" width="8.85546875" style="146" bestFit="1" customWidth="1"/>
    <col min="7493" max="7499" width="8.7109375" style="146"/>
    <col min="7500" max="7500" width="8.85546875" style="146" bestFit="1" customWidth="1"/>
    <col min="7501" max="7507" width="8.7109375" style="146"/>
    <col min="7508" max="7508" width="8.85546875" style="146" bestFit="1" customWidth="1"/>
    <col min="7509" max="7515" width="8.7109375" style="146"/>
    <col min="7516" max="7516" width="8.85546875" style="146" bestFit="1" customWidth="1"/>
    <col min="7517" max="7523" width="8.7109375" style="146"/>
    <col min="7524" max="7524" width="8.85546875" style="146" bestFit="1" customWidth="1"/>
    <col min="7525" max="7531" width="8.7109375" style="146"/>
    <col min="7532" max="7532" width="8.85546875" style="146" bestFit="1" customWidth="1"/>
    <col min="7533" max="7539" width="8.7109375" style="146"/>
    <col min="7540" max="7540" width="8.85546875" style="146" bestFit="1" customWidth="1"/>
    <col min="7541" max="7547" width="8.7109375" style="146"/>
    <col min="7548" max="7548" width="8.85546875" style="146" bestFit="1" customWidth="1"/>
    <col min="7549" max="7555" width="8.7109375" style="146"/>
    <col min="7556" max="7556" width="8.85546875" style="146" bestFit="1" customWidth="1"/>
    <col min="7557" max="7563" width="8.7109375" style="146"/>
    <col min="7564" max="7564" width="8.85546875" style="146" bestFit="1" customWidth="1"/>
    <col min="7565" max="7571" width="8.7109375" style="146"/>
    <col min="7572" max="7572" width="8.85546875" style="146" bestFit="1" customWidth="1"/>
    <col min="7573" max="7579" width="8.7109375" style="146"/>
    <col min="7580" max="7580" width="8.85546875" style="146" bestFit="1" customWidth="1"/>
    <col min="7581" max="7587" width="8.7109375" style="146"/>
    <col min="7588" max="7588" width="8.85546875" style="146" bestFit="1" customWidth="1"/>
    <col min="7589" max="7595" width="8.7109375" style="146"/>
    <col min="7596" max="7596" width="8.85546875" style="146" bestFit="1" customWidth="1"/>
    <col min="7597" max="7603" width="8.7109375" style="146"/>
    <col min="7604" max="7604" width="8.85546875" style="146" bestFit="1" customWidth="1"/>
    <col min="7605" max="7611" width="8.7109375" style="146"/>
    <col min="7612" max="7612" width="8.85546875" style="146" bestFit="1" customWidth="1"/>
    <col min="7613" max="7619" width="8.7109375" style="146"/>
    <col min="7620" max="7620" width="8.85546875" style="146" bestFit="1" customWidth="1"/>
    <col min="7621" max="7627" width="8.7109375" style="146"/>
    <col min="7628" max="7628" width="8.85546875" style="146" bestFit="1" customWidth="1"/>
    <col min="7629" max="7635" width="8.7109375" style="146"/>
    <col min="7636" max="7636" width="8.85546875" style="146" bestFit="1" customWidth="1"/>
    <col min="7637" max="7643" width="8.7109375" style="146"/>
    <col min="7644" max="7644" width="8.85546875" style="146" bestFit="1" customWidth="1"/>
    <col min="7645" max="7651" width="8.7109375" style="146"/>
    <col min="7652" max="7652" width="8.85546875" style="146" bestFit="1" customWidth="1"/>
    <col min="7653" max="7659" width="8.7109375" style="146"/>
    <col min="7660" max="7660" width="8.85546875" style="146" bestFit="1" customWidth="1"/>
    <col min="7661" max="7667" width="8.7109375" style="146"/>
    <col min="7668" max="7668" width="8.85546875" style="146" bestFit="1" customWidth="1"/>
    <col min="7669" max="7675" width="8.7109375" style="146"/>
    <col min="7676" max="7676" width="8.85546875" style="146" bestFit="1" customWidth="1"/>
    <col min="7677" max="7683" width="8.7109375" style="146"/>
    <col min="7684" max="7684" width="8.85546875" style="146" bestFit="1" customWidth="1"/>
    <col min="7685" max="7691" width="8.7109375" style="146"/>
    <col min="7692" max="7692" width="8.85546875" style="146" bestFit="1" customWidth="1"/>
    <col min="7693" max="7699" width="8.7109375" style="146"/>
    <col min="7700" max="7700" width="8.85546875" style="146" bestFit="1" customWidth="1"/>
    <col min="7701" max="7707" width="8.7109375" style="146"/>
    <col min="7708" max="7708" width="8.85546875" style="146" bestFit="1" customWidth="1"/>
    <col min="7709" max="7715" width="8.7109375" style="146"/>
    <col min="7716" max="7716" width="8.85546875" style="146" bestFit="1" customWidth="1"/>
    <col min="7717" max="7723" width="8.7109375" style="146"/>
    <col min="7724" max="7724" width="8.85546875" style="146" bestFit="1" customWidth="1"/>
    <col min="7725" max="7731" width="8.7109375" style="146"/>
    <col min="7732" max="7732" width="8.85546875" style="146" bestFit="1" customWidth="1"/>
    <col min="7733" max="7739" width="8.7109375" style="146"/>
    <col min="7740" max="7740" width="8.85546875" style="146" bestFit="1" customWidth="1"/>
    <col min="7741" max="7747" width="8.7109375" style="146"/>
    <col min="7748" max="7748" width="8.85546875" style="146" bestFit="1" customWidth="1"/>
    <col min="7749" max="7755" width="8.7109375" style="146"/>
    <col min="7756" max="7756" width="8.85546875" style="146" bestFit="1" customWidth="1"/>
    <col min="7757" max="7763" width="8.7109375" style="146"/>
    <col min="7764" max="7764" width="8.85546875" style="146" bestFit="1" customWidth="1"/>
    <col min="7765" max="7771" width="8.7109375" style="146"/>
    <col min="7772" max="7772" width="8.85546875" style="146" bestFit="1" customWidth="1"/>
    <col min="7773" max="7779" width="8.7109375" style="146"/>
    <col min="7780" max="7780" width="8.85546875" style="146" bestFit="1" customWidth="1"/>
    <col min="7781" max="7787" width="8.7109375" style="146"/>
    <col min="7788" max="7788" width="8.85546875" style="146" bestFit="1" customWidth="1"/>
    <col min="7789" max="7795" width="8.7109375" style="146"/>
    <col min="7796" max="7796" width="8.85546875" style="146" bestFit="1" customWidth="1"/>
    <col min="7797" max="7803" width="8.7109375" style="146"/>
    <col min="7804" max="7804" width="8.85546875" style="146" bestFit="1" customWidth="1"/>
    <col min="7805" max="7811" width="8.7109375" style="146"/>
    <col min="7812" max="7812" width="8.85546875" style="146" bestFit="1" customWidth="1"/>
    <col min="7813" max="7819" width="8.7109375" style="146"/>
    <col min="7820" max="7820" width="8.85546875" style="146" bestFit="1" customWidth="1"/>
    <col min="7821" max="7827" width="8.7109375" style="146"/>
    <col min="7828" max="7828" width="8.85546875" style="146" bestFit="1" customWidth="1"/>
    <col min="7829" max="7835" width="8.7109375" style="146"/>
    <col min="7836" max="7836" width="8.85546875" style="146" bestFit="1" customWidth="1"/>
    <col min="7837" max="7843" width="8.7109375" style="146"/>
    <col min="7844" max="7844" width="8.85546875" style="146" bestFit="1" customWidth="1"/>
    <col min="7845" max="7851" width="8.7109375" style="146"/>
    <col min="7852" max="7852" width="8.85546875" style="146" bestFit="1" customWidth="1"/>
    <col min="7853" max="7859" width="8.7109375" style="146"/>
    <col min="7860" max="7860" width="8.85546875" style="146" bestFit="1" customWidth="1"/>
    <col min="7861" max="7867" width="8.7109375" style="146"/>
    <col min="7868" max="7868" width="8.85546875" style="146" bestFit="1" customWidth="1"/>
    <col min="7869" max="7875" width="8.7109375" style="146"/>
    <col min="7876" max="7876" width="8.85546875" style="146" bestFit="1" customWidth="1"/>
    <col min="7877" max="7883" width="8.7109375" style="146"/>
    <col min="7884" max="7884" width="8.85546875" style="146" bestFit="1" customWidth="1"/>
    <col min="7885" max="7891" width="8.7109375" style="146"/>
    <col min="7892" max="7892" width="8.85546875" style="146" bestFit="1" customWidth="1"/>
    <col min="7893" max="7899" width="8.7109375" style="146"/>
    <col min="7900" max="7900" width="8.85546875" style="146" bestFit="1" customWidth="1"/>
    <col min="7901" max="7907" width="8.7109375" style="146"/>
    <col min="7908" max="7908" width="8.85546875" style="146" bestFit="1" customWidth="1"/>
    <col min="7909" max="7915" width="8.7109375" style="146"/>
    <col min="7916" max="7916" width="8.85546875" style="146" bestFit="1" customWidth="1"/>
    <col min="7917" max="7923" width="8.7109375" style="146"/>
    <col min="7924" max="7924" width="8.85546875" style="146" bestFit="1" customWidth="1"/>
    <col min="7925" max="7931" width="8.7109375" style="146"/>
    <col min="7932" max="7932" width="8.85546875" style="146" bestFit="1" customWidth="1"/>
    <col min="7933" max="7939" width="8.7109375" style="146"/>
    <col min="7940" max="7940" width="8.85546875" style="146" bestFit="1" customWidth="1"/>
    <col min="7941" max="7947" width="8.7109375" style="146"/>
    <col min="7948" max="7948" width="8.85546875" style="146" bestFit="1" customWidth="1"/>
    <col min="7949" max="7955" width="8.7109375" style="146"/>
    <col min="7956" max="7956" width="8.85546875" style="146" bestFit="1" customWidth="1"/>
    <col min="7957" max="7963" width="8.7109375" style="146"/>
    <col min="7964" max="7964" width="8.85546875" style="146" bestFit="1" customWidth="1"/>
    <col min="7965" max="7971" width="8.7109375" style="146"/>
    <col min="7972" max="7972" width="8.85546875" style="146" bestFit="1" customWidth="1"/>
    <col min="7973" max="7979" width="8.7109375" style="146"/>
    <col min="7980" max="7980" width="8.85546875" style="146" bestFit="1" customWidth="1"/>
    <col min="7981" max="7987" width="8.7109375" style="146"/>
    <col min="7988" max="7988" width="8.85546875" style="146" bestFit="1" customWidth="1"/>
    <col min="7989" max="7995" width="8.7109375" style="146"/>
    <col min="7996" max="7996" width="8.85546875" style="146" bestFit="1" customWidth="1"/>
    <col min="7997" max="8003" width="8.7109375" style="146"/>
    <col min="8004" max="8004" width="8.85546875" style="146" bestFit="1" customWidth="1"/>
    <col min="8005" max="8011" width="8.7109375" style="146"/>
    <col min="8012" max="8012" width="8.85546875" style="146" bestFit="1" customWidth="1"/>
    <col min="8013" max="8019" width="8.7109375" style="146"/>
    <col min="8020" max="8020" width="8.85546875" style="146" bestFit="1" customWidth="1"/>
    <col min="8021" max="8027" width="8.7109375" style="146"/>
    <col min="8028" max="8028" width="8.85546875" style="146" bestFit="1" customWidth="1"/>
    <col min="8029" max="8035" width="8.7109375" style="146"/>
    <col min="8036" max="8036" width="8.85546875" style="146" bestFit="1" customWidth="1"/>
    <col min="8037" max="8043" width="8.7109375" style="146"/>
    <col min="8044" max="8044" width="8.85546875" style="146" bestFit="1" customWidth="1"/>
    <col min="8045" max="8051" width="8.7109375" style="146"/>
    <col min="8052" max="8052" width="8.85546875" style="146" bestFit="1" customWidth="1"/>
    <col min="8053" max="8059" width="8.7109375" style="146"/>
    <col min="8060" max="8060" width="8.85546875" style="146" bestFit="1" customWidth="1"/>
    <col min="8061" max="8067" width="8.7109375" style="146"/>
    <col min="8068" max="8068" width="8.85546875" style="146" bestFit="1" customWidth="1"/>
    <col min="8069" max="8075" width="8.7109375" style="146"/>
    <col min="8076" max="8076" width="8.85546875" style="146" bestFit="1" customWidth="1"/>
    <col min="8077" max="8083" width="8.7109375" style="146"/>
    <col min="8084" max="8084" width="8.85546875" style="146" bestFit="1" customWidth="1"/>
    <col min="8085" max="8091" width="8.7109375" style="146"/>
    <col min="8092" max="8092" width="8.85546875" style="146" bestFit="1" customWidth="1"/>
    <col min="8093" max="8099" width="8.7109375" style="146"/>
    <col min="8100" max="8100" width="8.85546875" style="146" bestFit="1" customWidth="1"/>
    <col min="8101" max="8107" width="8.7109375" style="146"/>
    <col min="8108" max="8108" width="8.85546875" style="146" bestFit="1" customWidth="1"/>
    <col min="8109" max="8115" width="8.7109375" style="146"/>
    <col min="8116" max="8116" width="8.85546875" style="146" bestFit="1" customWidth="1"/>
    <col min="8117" max="8123" width="8.7109375" style="146"/>
    <col min="8124" max="8124" width="8.85546875" style="146" bestFit="1" customWidth="1"/>
    <col min="8125" max="8131" width="8.7109375" style="146"/>
    <col min="8132" max="8132" width="8.85546875" style="146" bestFit="1" customWidth="1"/>
    <col min="8133" max="8139" width="8.7109375" style="146"/>
    <col min="8140" max="8140" width="8.85546875" style="146" bestFit="1" customWidth="1"/>
    <col min="8141" max="8147" width="8.7109375" style="146"/>
    <col min="8148" max="8148" width="8.85546875" style="146" bestFit="1" customWidth="1"/>
    <col min="8149" max="8155" width="8.7109375" style="146"/>
    <col min="8156" max="8156" width="8.85546875" style="146" bestFit="1" customWidth="1"/>
    <col min="8157" max="8163" width="8.7109375" style="146"/>
    <col min="8164" max="8164" width="8.85546875" style="146" bestFit="1" customWidth="1"/>
    <col min="8165" max="8171" width="8.7109375" style="146"/>
    <col min="8172" max="8172" width="8.85546875" style="146" bestFit="1" customWidth="1"/>
    <col min="8173" max="8179" width="8.7109375" style="146"/>
    <col min="8180" max="8180" width="8.85546875" style="146" bestFit="1" customWidth="1"/>
    <col min="8181" max="8187" width="8.7109375" style="146"/>
    <col min="8188" max="8188" width="8.85546875" style="146" bestFit="1" customWidth="1"/>
    <col min="8189" max="8195" width="8.7109375" style="146"/>
    <col min="8196" max="8196" width="8.85546875" style="146" bestFit="1" customWidth="1"/>
    <col min="8197" max="8203" width="8.7109375" style="146"/>
    <col min="8204" max="8204" width="8.85546875" style="146" bestFit="1" customWidth="1"/>
    <col min="8205" max="8211" width="8.7109375" style="146"/>
    <col min="8212" max="8212" width="8.85546875" style="146" bestFit="1" customWidth="1"/>
    <col min="8213" max="8219" width="8.7109375" style="146"/>
    <col min="8220" max="8220" width="8.85546875" style="146" bestFit="1" customWidth="1"/>
    <col min="8221" max="8227" width="8.7109375" style="146"/>
    <col min="8228" max="8228" width="8.85546875" style="146" bestFit="1" customWidth="1"/>
    <col min="8229" max="8235" width="8.7109375" style="146"/>
    <col min="8236" max="8236" width="8.85546875" style="146" bestFit="1" customWidth="1"/>
    <col min="8237" max="8243" width="8.7109375" style="146"/>
    <col min="8244" max="8244" width="8.85546875" style="146" bestFit="1" customWidth="1"/>
    <col min="8245" max="8251" width="8.7109375" style="146"/>
    <col min="8252" max="8252" width="8.85546875" style="146" bestFit="1" customWidth="1"/>
    <col min="8253" max="8259" width="8.7109375" style="146"/>
    <col min="8260" max="8260" width="8.85546875" style="146" bestFit="1" customWidth="1"/>
    <col min="8261" max="8267" width="8.7109375" style="146"/>
    <col min="8268" max="8268" width="8.85546875" style="146" bestFit="1" customWidth="1"/>
    <col min="8269" max="8275" width="8.7109375" style="146"/>
    <col min="8276" max="8276" width="8.85546875" style="146" bestFit="1" customWidth="1"/>
    <col min="8277" max="8283" width="8.7109375" style="146"/>
    <col min="8284" max="8284" width="8.85546875" style="146" bestFit="1" customWidth="1"/>
    <col min="8285" max="8291" width="8.7109375" style="146"/>
    <col min="8292" max="8292" width="8.85546875" style="146" bestFit="1" customWidth="1"/>
    <col min="8293" max="8299" width="8.7109375" style="146"/>
    <col min="8300" max="8300" width="8.85546875" style="146" bestFit="1" customWidth="1"/>
    <col min="8301" max="8307" width="8.7109375" style="146"/>
    <col min="8308" max="8308" width="8.85546875" style="146" bestFit="1" customWidth="1"/>
    <col min="8309" max="8315" width="8.7109375" style="146"/>
    <col min="8316" max="8316" width="8.85546875" style="146" bestFit="1" customWidth="1"/>
    <col min="8317" max="8323" width="8.7109375" style="146"/>
    <col min="8324" max="8324" width="8.85546875" style="146" bestFit="1" customWidth="1"/>
    <col min="8325" max="8331" width="8.7109375" style="146"/>
    <col min="8332" max="8332" width="8.85546875" style="146" bestFit="1" customWidth="1"/>
    <col min="8333" max="8339" width="8.7109375" style="146"/>
    <col min="8340" max="8340" width="8.85546875" style="146" bestFit="1" customWidth="1"/>
    <col min="8341" max="8347" width="8.7109375" style="146"/>
    <col min="8348" max="8348" width="8.85546875" style="146" bestFit="1" customWidth="1"/>
    <col min="8349" max="8355" width="8.7109375" style="146"/>
    <col min="8356" max="8356" width="8.85546875" style="146" bestFit="1" customWidth="1"/>
    <col min="8357" max="8363" width="8.7109375" style="146"/>
    <col min="8364" max="8364" width="8.85546875" style="146" bestFit="1" customWidth="1"/>
    <col min="8365" max="8371" width="8.7109375" style="146"/>
    <col min="8372" max="8372" width="8.85546875" style="146" bestFit="1" customWidth="1"/>
    <col min="8373" max="8379" width="8.7109375" style="146"/>
    <col min="8380" max="8380" width="8.85546875" style="146" bestFit="1" customWidth="1"/>
    <col min="8381" max="8387" width="8.7109375" style="146"/>
    <col min="8388" max="8388" width="8.85546875" style="146" bestFit="1" customWidth="1"/>
    <col min="8389" max="8395" width="8.7109375" style="146"/>
    <col min="8396" max="8396" width="8.85546875" style="146" bestFit="1" customWidth="1"/>
    <col min="8397" max="8403" width="8.7109375" style="146"/>
    <col min="8404" max="8404" width="8.85546875" style="146" bestFit="1" customWidth="1"/>
    <col min="8405" max="8411" width="8.7109375" style="146"/>
    <col min="8412" max="8412" width="8.85546875" style="146" bestFit="1" customWidth="1"/>
    <col min="8413" max="8419" width="8.7109375" style="146"/>
    <col min="8420" max="8420" width="8.85546875" style="146" bestFit="1" customWidth="1"/>
    <col min="8421" max="8427" width="8.7109375" style="146"/>
    <col min="8428" max="8428" width="8.85546875" style="146" bestFit="1" customWidth="1"/>
    <col min="8429" max="8435" width="8.7109375" style="146"/>
    <col min="8436" max="8436" width="8.85546875" style="146" bestFit="1" customWidth="1"/>
    <col min="8437" max="8443" width="8.7109375" style="146"/>
    <col min="8444" max="8444" width="8.85546875" style="146" bestFit="1" customWidth="1"/>
    <col min="8445" max="8451" width="8.7109375" style="146"/>
    <col min="8452" max="8452" width="8.85546875" style="146" bestFit="1" customWidth="1"/>
    <col min="8453" max="8459" width="8.7109375" style="146"/>
    <col min="8460" max="8460" width="8.85546875" style="146" bestFit="1" customWidth="1"/>
    <col min="8461" max="8467" width="8.7109375" style="146"/>
    <col min="8468" max="8468" width="8.85546875" style="146" bestFit="1" customWidth="1"/>
    <col min="8469" max="8475" width="8.7109375" style="146"/>
    <col min="8476" max="8476" width="8.85546875" style="146" bestFit="1" customWidth="1"/>
    <col min="8477" max="8483" width="8.7109375" style="146"/>
    <col min="8484" max="8484" width="8.85546875" style="146" bestFit="1" customWidth="1"/>
    <col min="8485" max="8491" width="8.7109375" style="146"/>
    <col min="8492" max="8492" width="8.85546875" style="146" bestFit="1" customWidth="1"/>
    <col min="8493" max="8499" width="8.7109375" style="146"/>
    <col min="8500" max="8500" width="8.85546875" style="146" bestFit="1" customWidth="1"/>
    <col min="8501" max="8507" width="8.7109375" style="146"/>
    <col min="8508" max="8508" width="8.85546875" style="146" bestFit="1" customWidth="1"/>
    <col min="8509" max="8515" width="8.7109375" style="146"/>
    <col min="8516" max="8516" width="8.85546875" style="146" bestFit="1" customWidth="1"/>
    <col min="8517" max="8523" width="8.7109375" style="146"/>
    <col min="8524" max="8524" width="8.85546875" style="146" bestFit="1" customWidth="1"/>
    <col min="8525" max="8531" width="8.7109375" style="146"/>
    <col min="8532" max="8532" width="8.85546875" style="146" bestFit="1" customWidth="1"/>
    <col min="8533" max="8539" width="8.7109375" style="146"/>
    <col min="8540" max="8540" width="8.85546875" style="146" bestFit="1" customWidth="1"/>
    <col min="8541" max="8547" width="8.7109375" style="146"/>
    <col min="8548" max="8548" width="8.85546875" style="146" bestFit="1" customWidth="1"/>
    <col min="8549" max="8555" width="8.7109375" style="146"/>
    <col min="8556" max="8556" width="8.85546875" style="146" bestFit="1" customWidth="1"/>
    <col min="8557" max="8563" width="8.7109375" style="146"/>
    <col min="8564" max="8564" width="8.85546875" style="146" bestFit="1" customWidth="1"/>
    <col min="8565" max="8571" width="8.7109375" style="146"/>
    <col min="8572" max="8572" width="8.85546875" style="146" bestFit="1" customWidth="1"/>
    <col min="8573" max="8579" width="8.7109375" style="146"/>
    <col min="8580" max="8580" width="8.85546875" style="146" bestFit="1" customWidth="1"/>
    <col min="8581" max="8587" width="8.7109375" style="146"/>
    <col min="8588" max="8588" width="8.85546875" style="146" bestFit="1" customWidth="1"/>
    <col min="8589" max="8595" width="8.7109375" style="146"/>
    <col min="8596" max="8596" width="8.85546875" style="146" bestFit="1" customWidth="1"/>
    <col min="8597" max="8603" width="8.7109375" style="146"/>
    <col min="8604" max="8604" width="8.85546875" style="146" bestFit="1" customWidth="1"/>
    <col min="8605" max="8611" width="8.7109375" style="146"/>
    <col min="8612" max="8612" width="8.85546875" style="146" bestFit="1" customWidth="1"/>
    <col min="8613" max="8619" width="8.7109375" style="146"/>
    <col min="8620" max="8620" width="8.85546875" style="146" bestFit="1" customWidth="1"/>
    <col min="8621" max="8627" width="8.7109375" style="146"/>
    <col min="8628" max="8628" width="8.85546875" style="146" bestFit="1" customWidth="1"/>
    <col min="8629" max="8635" width="8.7109375" style="146"/>
    <col min="8636" max="8636" width="8.85546875" style="146" bestFit="1" customWidth="1"/>
    <col min="8637" max="8643" width="8.7109375" style="146"/>
    <col min="8644" max="8644" width="8.85546875" style="146" bestFit="1" customWidth="1"/>
    <col min="8645" max="8651" width="8.7109375" style="146"/>
    <col min="8652" max="8652" width="8.85546875" style="146" bestFit="1" customWidth="1"/>
    <col min="8653" max="8659" width="8.7109375" style="146"/>
    <col min="8660" max="8660" width="8.85546875" style="146" bestFit="1" customWidth="1"/>
    <col min="8661" max="8667" width="8.7109375" style="146"/>
    <col min="8668" max="8668" width="8.85546875" style="146" bestFit="1" customWidth="1"/>
    <col min="8669" max="8675" width="8.7109375" style="146"/>
    <col min="8676" max="8676" width="8.85546875" style="146" bestFit="1" customWidth="1"/>
    <col min="8677" max="8683" width="8.7109375" style="146"/>
    <col min="8684" max="8684" width="8.85546875" style="146" bestFit="1" customWidth="1"/>
    <col min="8685" max="8691" width="8.7109375" style="146"/>
    <col min="8692" max="8692" width="8.85546875" style="146" bestFit="1" customWidth="1"/>
    <col min="8693" max="8699" width="8.7109375" style="146"/>
    <col min="8700" max="8700" width="8.85546875" style="146" bestFit="1" customWidth="1"/>
    <col min="8701" max="8707" width="8.7109375" style="146"/>
    <col min="8708" max="8708" width="8.85546875" style="146" bestFit="1" customWidth="1"/>
    <col min="8709" max="8715" width="8.7109375" style="146"/>
    <col min="8716" max="8716" width="8.85546875" style="146" bestFit="1" customWidth="1"/>
    <col min="8717" max="8723" width="8.7109375" style="146"/>
    <col min="8724" max="8724" width="8.85546875" style="146" bestFit="1" customWidth="1"/>
    <col min="8725" max="8731" width="8.7109375" style="146"/>
    <col min="8732" max="8732" width="8.85546875" style="146" bestFit="1" customWidth="1"/>
    <col min="8733" max="8739" width="8.7109375" style="146"/>
    <col min="8740" max="8740" width="8.85546875" style="146" bestFit="1" customWidth="1"/>
    <col min="8741" max="8747" width="8.7109375" style="146"/>
    <col min="8748" max="8748" width="8.85546875" style="146" bestFit="1" customWidth="1"/>
    <col min="8749" max="8755" width="8.7109375" style="146"/>
    <col min="8756" max="8756" width="8.85546875" style="146" bestFit="1" customWidth="1"/>
    <col min="8757" max="8763" width="8.7109375" style="146"/>
    <col min="8764" max="8764" width="8.85546875" style="146" bestFit="1" customWidth="1"/>
    <col min="8765" max="8771" width="8.7109375" style="146"/>
    <col min="8772" max="8772" width="8.85546875" style="146" bestFit="1" customWidth="1"/>
    <col min="8773" max="8779" width="8.7109375" style="146"/>
    <col min="8780" max="8780" width="8.85546875" style="146" bestFit="1" customWidth="1"/>
    <col min="8781" max="8787" width="8.7109375" style="146"/>
    <col min="8788" max="8788" width="8.85546875" style="146" bestFit="1" customWidth="1"/>
    <col min="8789" max="8795" width="8.7109375" style="146"/>
    <col min="8796" max="8796" width="8.85546875" style="146" bestFit="1" customWidth="1"/>
    <col min="8797" max="8803" width="8.7109375" style="146"/>
    <col min="8804" max="8804" width="8.85546875" style="146" bestFit="1" customWidth="1"/>
    <col min="8805" max="8811" width="8.7109375" style="146"/>
    <col min="8812" max="8812" width="8.85546875" style="146" bestFit="1" customWidth="1"/>
    <col min="8813" max="8819" width="8.7109375" style="146"/>
    <col min="8820" max="8820" width="8.85546875" style="146" bestFit="1" customWidth="1"/>
    <col min="8821" max="8827" width="8.7109375" style="146"/>
    <col min="8828" max="8828" width="8.85546875" style="146" bestFit="1" customWidth="1"/>
    <col min="8829" max="8835" width="8.7109375" style="146"/>
    <col min="8836" max="8836" width="8.85546875" style="146" bestFit="1" customWidth="1"/>
    <col min="8837" max="8843" width="8.7109375" style="146"/>
    <col min="8844" max="8844" width="8.85546875" style="146" bestFit="1" customWidth="1"/>
    <col min="8845" max="8851" width="8.7109375" style="146"/>
    <col min="8852" max="8852" width="8.85546875" style="146" bestFit="1" customWidth="1"/>
    <col min="8853" max="8859" width="8.7109375" style="146"/>
    <col min="8860" max="8860" width="8.85546875" style="146" bestFit="1" customWidth="1"/>
    <col min="8861" max="8867" width="8.7109375" style="146"/>
    <col min="8868" max="8868" width="8.85546875" style="146" bestFit="1" customWidth="1"/>
    <col min="8869" max="8875" width="8.7109375" style="146"/>
    <col min="8876" max="8876" width="8.85546875" style="146" bestFit="1" customWidth="1"/>
    <col min="8877" max="8883" width="8.7109375" style="146"/>
    <col min="8884" max="8884" width="8.85546875" style="146" bestFit="1" customWidth="1"/>
    <col min="8885" max="8891" width="8.7109375" style="146"/>
    <col min="8892" max="8892" width="8.85546875" style="146" bestFit="1" customWidth="1"/>
    <col min="8893" max="8899" width="8.7109375" style="146"/>
    <col min="8900" max="8900" width="8.85546875" style="146" bestFit="1" customWidth="1"/>
    <col min="8901" max="8907" width="8.7109375" style="146"/>
    <col min="8908" max="8908" width="8.85546875" style="146" bestFit="1" customWidth="1"/>
    <col min="8909" max="8915" width="8.7109375" style="146"/>
    <col min="8916" max="8916" width="8.85546875" style="146" bestFit="1" customWidth="1"/>
    <col min="8917" max="8923" width="8.7109375" style="146"/>
    <col min="8924" max="8924" width="8.85546875" style="146" bestFit="1" customWidth="1"/>
    <col min="8925" max="8931" width="8.7109375" style="146"/>
    <col min="8932" max="8932" width="8.85546875" style="146" bestFit="1" customWidth="1"/>
    <col min="8933" max="8939" width="8.7109375" style="146"/>
    <col min="8940" max="8940" width="8.85546875" style="146" bestFit="1" customWidth="1"/>
    <col min="8941" max="8947" width="8.7109375" style="146"/>
    <col min="8948" max="8948" width="8.85546875" style="146" bestFit="1" customWidth="1"/>
    <col min="8949" max="8955" width="8.7109375" style="146"/>
    <col min="8956" max="8956" width="8.85546875" style="146" bestFit="1" customWidth="1"/>
    <col min="8957" max="8963" width="8.7109375" style="146"/>
    <col min="8964" max="8964" width="8.85546875" style="146" bestFit="1" customWidth="1"/>
    <col min="8965" max="8971" width="8.7109375" style="146"/>
    <col min="8972" max="8972" width="8.85546875" style="146" bestFit="1" customWidth="1"/>
    <col min="8973" max="8979" width="8.7109375" style="146"/>
    <col min="8980" max="8980" width="8.85546875" style="146" bestFit="1" customWidth="1"/>
    <col min="8981" max="8987" width="8.7109375" style="146"/>
    <col min="8988" max="8988" width="8.85546875" style="146" bestFit="1" customWidth="1"/>
    <col min="8989" max="8995" width="8.7109375" style="146"/>
    <col min="8996" max="8996" width="8.85546875" style="146" bestFit="1" customWidth="1"/>
    <col min="8997" max="9003" width="8.7109375" style="146"/>
    <col min="9004" max="9004" width="8.85546875" style="146" bestFit="1" customWidth="1"/>
    <col min="9005" max="9011" width="8.7109375" style="146"/>
    <col min="9012" max="9012" width="8.85546875" style="146" bestFit="1" customWidth="1"/>
    <col min="9013" max="9019" width="8.7109375" style="146"/>
    <col min="9020" max="9020" width="8.85546875" style="146" bestFit="1" customWidth="1"/>
    <col min="9021" max="9027" width="8.7109375" style="146"/>
    <col min="9028" max="9028" width="8.85546875" style="146" bestFit="1" customWidth="1"/>
    <col min="9029" max="9035" width="8.7109375" style="146"/>
    <col min="9036" max="9036" width="8.85546875" style="146" bestFit="1" customWidth="1"/>
    <col min="9037" max="9043" width="8.7109375" style="146"/>
    <col min="9044" max="9044" width="8.85546875" style="146" bestFit="1" customWidth="1"/>
    <col min="9045" max="9051" width="8.7109375" style="146"/>
    <col min="9052" max="9052" width="8.85546875" style="146" bestFit="1" customWidth="1"/>
    <col min="9053" max="9059" width="8.7109375" style="146"/>
    <col min="9060" max="9060" width="8.85546875" style="146" bestFit="1" customWidth="1"/>
    <col min="9061" max="9067" width="8.7109375" style="146"/>
    <col min="9068" max="9068" width="8.85546875" style="146" bestFit="1" customWidth="1"/>
    <col min="9069" max="9075" width="8.7109375" style="146"/>
    <col min="9076" max="9076" width="8.85546875" style="146" bestFit="1" customWidth="1"/>
    <col min="9077" max="9083" width="8.7109375" style="146"/>
    <col min="9084" max="9084" width="8.85546875" style="146" bestFit="1" customWidth="1"/>
    <col min="9085" max="9091" width="8.7109375" style="146"/>
    <col min="9092" max="9092" width="8.85546875" style="146" bestFit="1" customWidth="1"/>
    <col min="9093" max="9099" width="8.7109375" style="146"/>
    <col min="9100" max="9100" width="8.85546875" style="146" bestFit="1" customWidth="1"/>
    <col min="9101" max="9107" width="8.7109375" style="146"/>
    <col min="9108" max="9108" width="8.85546875" style="146" bestFit="1" customWidth="1"/>
    <col min="9109" max="9115" width="8.7109375" style="146"/>
    <col min="9116" max="9116" width="8.85546875" style="146" bestFit="1" customWidth="1"/>
    <col min="9117" max="9123" width="8.7109375" style="146"/>
    <col min="9124" max="9124" width="8.85546875" style="146" bestFit="1" customWidth="1"/>
    <col min="9125" max="9131" width="8.7109375" style="146"/>
    <col min="9132" max="9132" width="8.85546875" style="146" bestFit="1" customWidth="1"/>
    <col min="9133" max="9139" width="8.7109375" style="146"/>
    <col min="9140" max="9140" width="8.85546875" style="146" bestFit="1" customWidth="1"/>
    <col min="9141" max="9147" width="8.7109375" style="146"/>
    <col min="9148" max="9148" width="8.85546875" style="146" bestFit="1" customWidth="1"/>
    <col min="9149" max="9155" width="8.7109375" style="146"/>
    <col min="9156" max="9156" width="8.85546875" style="146" bestFit="1" customWidth="1"/>
    <col min="9157" max="9163" width="8.7109375" style="146"/>
    <col min="9164" max="9164" width="8.85546875" style="146" bestFit="1" customWidth="1"/>
    <col min="9165" max="9171" width="8.7109375" style="146"/>
    <col min="9172" max="9172" width="8.85546875" style="146" bestFit="1" customWidth="1"/>
    <col min="9173" max="9179" width="8.7109375" style="146"/>
    <col min="9180" max="9180" width="8.85546875" style="146" bestFit="1" customWidth="1"/>
    <col min="9181" max="9187" width="8.7109375" style="146"/>
    <col min="9188" max="9188" width="8.85546875" style="146" bestFit="1" customWidth="1"/>
    <col min="9189" max="9195" width="8.7109375" style="146"/>
    <col min="9196" max="9196" width="8.85546875" style="146" bestFit="1" customWidth="1"/>
    <col min="9197" max="9203" width="8.7109375" style="146"/>
    <col min="9204" max="9204" width="8.85546875" style="146" bestFit="1" customWidth="1"/>
    <col min="9205" max="9211" width="8.7109375" style="146"/>
    <col min="9212" max="9212" width="8.85546875" style="146" bestFit="1" customWidth="1"/>
    <col min="9213" max="9219" width="8.7109375" style="146"/>
    <col min="9220" max="9220" width="8.85546875" style="146" bestFit="1" customWidth="1"/>
    <col min="9221" max="9227" width="8.7109375" style="146"/>
    <col min="9228" max="9228" width="8.85546875" style="146" bestFit="1" customWidth="1"/>
    <col min="9229" max="9235" width="8.7109375" style="146"/>
    <col min="9236" max="9236" width="8.85546875" style="146" bestFit="1" customWidth="1"/>
    <col min="9237" max="9243" width="8.7109375" style="146"/>
    <col min="9244" max="9244" width="8.85546875" style="146" bestFit="1" customWidth="1"/>
    <col min="9245" max="9251" width="8.7109375" style="146"/>
    <col min="9252" max="9252" width="8.85546875" style="146" bestFit="1" customWidth="1"/>
    <col min="9253" max="9259" width="8.7109375" style="146"/>
    <col min="9260" max="9260" width="8.85546875" style="146" bestFit="1" customWidth="1"/>
    <col min="9261" max="9267" width="8.7109375" style="146"/>
    <col min="9268" max="9268" width="8.85546875" style="146" bestFit="1" customWidth="1"/>
    <col min="9269" max="9275" width="8.7109375" style="146"/>
    <col min="9276" max="9276" width="8.85546875" style="146" bestFit="1" customWidth="1"/>
    <col min="9277" max="9283" width="8.7109375" style="146"/>
    <col min="9284" max="9284" width="8.85546875" style="146" bestFit="1" customWidth="1"/>
    <col min="9285" max="9291" width="8.7109375" style="146"/>
    <col min="9292" max="9292" width="8.85546875" style="146" bestFit="1" customWidth="1"/>
    <col min="9293" max="9299" width="8.7109375" style="146"/>
    <col min="9300" max="9300" width="8.85546875" style="146" bestFit="1" customWidth="1"/>
    <col min="9301" max="9307" width="8.7109375" style="146"/>
    <col min="9308" max="9308" width="8.85546875" style="146" bestFit="1" customWidth="1"/>
    <col min="9309" max="9315" width="8.7109375" style="146"/>
    <col min="9316" max="9316" width="8.85546875" style="146" bestFit="1" customWidth="1"/>
    <col min="9317" max="9323" width="8.7109375" style="146"/>
    <col min="9324" max="9324" width="8.85546875" style="146" bestFit="1" customWidth="1"/>
    <col min="9325" max="9331" width="8.7109375" style="146"/>
    <col min="9332" max="9332" width="8.85546875" style="146" bestFit="1" customWidth="1"/>
    <col min="9333" max="9339" width="8.7109375" style="146"/>
    <col min="9340" max="9340" width="8.85546875" style="146" bestFit="1" customWidth="1"/>
    <col min="9341" max="9347" width="8.7109375" style="146"/>
    <col min="9348" max="9348" width="8.85546875" style="146" bestFit="1" customWidth="1"/>
    <col min="9349" max="9355" width="8.7109375" style="146"/>
    <col min="9356" max="9356" width="8.85546875" style="146" bestFit="1" customWidth="1"/>
    <col min="9357" max="9363" width="8.7109375" style="146"/>
    <col min="9364" max="9364" width="8.85546875" style="146" bestFit="1" customWidth="1"/>
    <col min="9365" max="9371" width="8.7109375" style="146"/>
    <col min="9372" max="9372" width="8.85546875" style="146" bestFit="1" customWidth="1"/>
    <col min="9373" max="9379" width="8.7109375" style="146"/>
    <col min="9380" max="9380" width="8.85546875" style="146" bestFit="1" customWidth="1"/>
    <col min="9381" max="9387" width="8.7109375" style="146"/>
    <col min="9388" max="9388" width="8.85546875" style="146" bestFit="1" customWidth="1"/>
    <col min="9389" max="9395" width="8.7109375" style="146"/>
    <col min="9396" max="9396" width="8.85546875" style="146" bestFit="1" customWidth="1"/>
    <col min="9397" max="9403" width="8.7109375" style="146"/>
    <col min="9404" max="9404" width="8.85546875" style="146" bestFit="1" customWidth="1"/>
    <col min="9405" max="9411" width="8.7109375" style="146"/>
    <col min="9412" max="9412" width="8.85546875" style="146" bestFit="1" customWidth="1"/>
    <col min="9413" max="9419" width="8.7109375" style="146"/>
    <col min="9420" max="9420" width="8.85546875" style="146" bestFit="1" customWidth="1"/>
    <col min="9421" max="9427" width="8.7109375" style="146"/>
    <col min="9428" max="9428" width="8.85546875" style="146" bestFit="1" customWidth="1"/>
    <col min="9429" max="9435" width="8.7109375" style="146"/>
    <col min="9436" max="9436" width="8.85546875" style="146" bestFit="1" customWidth="1"/>
    <col min="9437" max="9443" width="8.7109375" style="146"/>
    <col min="9444" max="9444" width="8.85546875" style="146" bestFit="1" customWidth="1"/>
    <col min="9445" max="9451" width="8.7109375" style="146"/>
    <col min="9452" max="9452" width="8.85546875" style="146" bestFit="1" customWidth="1"/>
    <col min="9453" max="9459" width="8.7109375" style="146"/>
    <col min="9460" max="9460" width="8.85546875" style="146" bestFit="1" customWidth="1"/>
    <col min="9461" max="9467" width="8.7109375" style="146"/>
    <col min="9468" max="9468" width="8.85546875" style="146" bestFit="1" customWidth="1"/>
    <col min="9469" max="9475" width="8.7109375" style="146"/>
    <col min="9476" max="9476" width="8.85546875" style="146" bestFit="1" customWidth="1"/>
    <col min="9477" max="9483" width="8.7109375" style="146"/>
    <col min="9484" max="9484" width="8.85546875" style="146" bestFit="1" customWidth="1"/>
    <col min="9485" max="9491" width="8.7109375" style="146"/>
    <col min="9492" max="9492" width="8.85546875" style="146" bestFit="1" customWidth="1"/>
    <col min="9493" max="9499" width="8.7109375" style="146"/>
    <col min="9500" max="9500" width="8.85546875" style="146" bestFit="1" customWidth="1"/>
    <col min="9501" max="9507" width="8.7109375" style="146"/>
    <col min="9508" max="9508" width="8.85546875" style="146" bestFit="1" customWidth="1"/>
    <col min="9509" max="9515" width="8.7109375" style="146"/>
    <col min="9516" max="9516" width="8.85546875" style="146" bestFit="1" customWidth="1"/>
    <col min="9517" max="9523" width="8.7109375" style="146"/>
    <col min="9524" max="9524" width="8.85546875" style="146" bestFit="1" customWidth="1"/>
    <col min="9525" max="9531" width="8.7109375" style="146"/>
    <col min="9532" max="9532" width="8.85546875" style="146" bestFit="1" customWidth="1"/>
    <col min="9533" max="9539" width="8.7109375" style="146"/>
    <col min="9540" max="9540" width="8.85546875" style="146" bestFit="1" customWidth="1"/>
    <col min="9541" max="9547" width="8.7109375" style="146"/>
    <col min="9548" max="9548" width="8.85546875" style="146" bestFit="1" customWidth="1"/>
    <col min="9549" max="9555" width="8.7109375" style="146"/>
    <col min="9556" max="9556" width="8.85546875" style="146" bestFit="1" customWidth="1"/>
    <col min="9557" max="9563" width="8.7109375" style="146"/>
    <col min="9564" max="9564" width="8.85546875" style="146" bestFit="1" customWidth="1"/>
    <col min="9565" max="9571" width="8.7109375" style="146"/>
    <col min="9572" max="9572" width="8.85546875" style="146" bestFit="1" customWidth="1"/>
    <col min="9573" max="9579" width="8.7109375" style="146"/>
    <col min="9580" max="9580" width="8.85546875" style="146" bestFit="1" customWidth="1"/>
    <col min="9581" max="9587" width="8.7109375" style="146"/>
    <col min="9588" max="9588" width="8.85546875" style="146" bestFit="1" customWidth="1"/>
    <col min="9589" max="9595" width="8.7109375" style="146"/>
    <col min="9596" max="9596" width="8.85546875" style="146" bestFit="1" customWidth="1"/>
    <col min="9597" max="9603" width="8.7109375" style="146"/>
    <col min="9604" max="9604" width="8.85546875" style="146" bestFit="1" customWidth="1"/>
    <col min="9605" max="9611" width="8.7109375" style="146"/>
    <col min="9612" max="9612" width="8.85546875" style="146" bestFit="1" customWidth="1"/>
    <col min="9613" max="9619" width="8.7109375" style="146"/>
    <col min="9620" max="9620" width="8.85546875" style="146" bestFit="1" customWidth="1"/>
    <col min="9621" max="9627" width="8.7109375" style="146"/>
    <col min="9628" max="9628" width="8.85546875" style="146" bestFit="1" customWidth="1"/>
    <col min="9629" max="9635" width="8.7109375" style="146"/>
    <col min="9636" max="9636" width="8.85546875" style="146" bestFit="1" customWidth="1"/>
    <col min="9637" max="9643" width="8.7109375" style="146"/>
    <col min="9644" max="9644" width="8.85546875" style="146" bestFit="1" customWidth="1"/>
    <col min="9645" max="9651" width="8.7109375" style="146"/>
    <col min="9652" max="9652" width="8.85546875" style="146" bestFit="1" customWidth="1"/>
    <col min="9653" max="9659" width="8.7109375" style="146"/>
    <col min="9660" max="9660" width="8.85546875" style="146" bestFit="1" customWidth="1"/>
    <col min="9661" max="9667" width="8.7109375" style="146"/>
    <col min="9668" max="9668" width="8.85546875" style="146" bestFit="1" customWidth="1"/>
    <col min="9669" max="9675" width="8.7109375" style="146"/>
    <col min="9676" max="9676" width="8.85546875" style="146" bestFit="1" customWidth="1"/>
    <col min="9677" max="9683" width="8.7109375" style="146"/>
    <col min="9684" max="9684" width="8.85546875" style="146" bestFit="1" customWidth="1"/>
    <col min="9685" max="9691" width="8.7109375" style="146"/>
    <col min="9692" max="9692" width="8.85546875" style="146" bestFit="1" customWidth="1"/>
    <col min="9693" max="9699" width="8.7109375" style="146"/>
    <col min="9700" max="9700" width="8.85546875" style="146" bestFit="1" customWidth="1"/>
    <col min="9701" max="9707" width="8.7109375" style="146"/>
    <col min="9708" max="9708" width="8.85546875" style="146" bestFit="1" customWidth="1"/>
    <col min="9709" max="9715" width="8.7109375" style="146"/>
    <col min="9716" max="9716" width="8.85546875" style="146" bestFit="1" customWidth="1"/>
    <col min="9717" max="9723" width="8.7109375" style="146"/>
    <col min="9724" max="9724" width="8.85546875" style="146" bestFit="1" customWidth="1"/>
    <col min="9725" max="9731" width="8.7109375" style="146"/>
    <col min="9732" max="9732" width="8.85546875" style="146" bestFit="1" customWidth="1"/>
    <col min="9733" max="9739" width="8.7109375" style="146"/>
    <col min="9740" max="9740" width="8.85546875" style="146" bestFit="1" customWidth="1"/>
    <col min="9741" max="9747" width="8.7109375" style="146"/>
    <col min="9748" max="9748" width="8.85546875" style="146" bestFit="1" customWidth="1"/>
    <col min="9749" max="9755" width="8.7109375" style="146"/>
    <col min="9756" max="9756" width="8.85546875" style="146" bestFit="1" customWidth="1"/>
    <col min="9757" max="9763" width="8.7109375" style="146"/>
    <col min="9764" max="9764" width="8.85546875" style="146" bestFit="1" customWidth="1"/>
    <col min="9765" max="9771" width="8.7109375" style="146"/>
    <col min="9772" max="9772" width="8.85546875" style="146" bestFit="1" customWidth="1"/>
    <col min="9773" max="9779" width="8.7109375" style="146"/>
    <col min="9780" max="9780" width="8.85546875" style="146" bestFit="1" customWidth="1"/>
    <col min="9781" max="9787" width="8.7109375" style="146"/>
    <col min="9788" max="9788" width="8.85546875" style="146" bestFit="1" customWidth="1"/>
    <col min="9789" max="9795" width="8.7109375" style="146"/>
    <col min="9796" max="9796" width="8.85546875" style="146" bestFit="1" customWidth="1"/>
    <col min="9797" max="9803" width="8.7109375" style="146"/>
    <col min="9804" max="9804" width="8.85546875" style="146" bestFit="1" customWidth="1"/>
    <col min="9805" max="9811" width="8.7109375" style="146"/>
    <col min="9812" max="9812" width="8.85546875" style="146" bestFit="1" customWidth="1"/>
    <col min="9813" max="9819" width="8.7109375" style="146"/>
    <col min="9820" max="9820" width="8.85546875" style="146" bestFit="1" customWidth="1"/>
    <col min="9821" max="9827" width="8.7109375" style="146"/>
    <col min="9828" max="9828" width="8.85546875" style="146" bestFit="1" customWidth="1"/>
    <col min="9829" max="9835" width="8.7109375" style="146"/>
    <col min="9836" max="9836" width="8.85546875" style="146" bestFit="1" customWidth="1"/>
    <col min="9837" max="9843" width="8.7109375" style="146"/>
    <col min="9844" max="9844" width="8.85546875" style="146" bestFit="1" customWidth="1"/>
    <col min="9845" max="9851" width="8.7109375" style="146"/>
    <col min="9852" max="9852" width="8.85546875" style="146" bestFit="1" customWidth="1"/>
    <col min="9853" max="9859" width="8.7109375" style="146"/>
    <col min="9860" max="9860" width="8.85546875" style="146" bestFit="1" customWidth="1"/>
    <col min="9861" max="9867" width="8.7109375" style="146"/>
    <col min="9868" max="9868" width="8.85546875" style="146" bestFit="1" customWidth="1"/>
    <col min="9869" max="9875" width="8.7109375" style="146"/>
    <col min="9876" max="9876" width="8.85546875" style="146" bestFit="1" customWidth="1"/>
    <col min="9877" max="9883" width="8.7109375" style="146"/>
    <col min="9884" max="9884" width="8.85546875" style="146" bestFit="1" customWidth="1"/>
    <col min="9885" max="9891" width="8.7109375" style="146"/>
    <col min="9892" max="9892" width="8.85546875" style="146" bestFit="1" customWidth="1"/>
    <col min="9893" max="9899" width="8.7109375" style="146"/>
    <col min="9900" max="9900" width="8.85546875" style="146" bestFit="1" customWidth="1"/>
    <col min="9901" max="9907" width="8.7109375" style="146"/>
    <col min="9908" max="9908" width="8.85546875" style="146" bestFit="1" customWidth="1"/>
    <col min="9909" max="9915" width="8.7109375" style="146"/>
    <col min="9916" max="9916" width="8.85546875" style="146" bestFit="1" customWidth="1"/>
    <col min="9917" max="9923" width="8.7109375" style="146"/>
    <col min="9924" max="9924" width="8.85546875" style="146" bestFit="1" customWidth="1"/>
    <col min="9925" max="9931" width="8.7109375" style="146"/>
    <col min="9932" max="9932" width="8.85546875" style="146" bestFit="1" customWidth="1"/>
    <col min="9933" max="9939" width="8.7109375" style="146"/>
    <col min="9940" max="9940" width="8.85546875" style="146" bestFit="1" customWidth="1"/>
    <col min="9941" max="9947" width="8.7109375" style="146"/>
    <col min="9948" max="9948" width="8.85546875" style="146" bestFit="1" customWidth="1"/>
    <col min="9949" max="9955" width="8.7109375" style="146"/>
    <col min="9956" max="9956" width="8.85546875" style="146" bestFit="1" customWidth="1"/>
    <col min="9957" max="9963" width="8.7109375" style="146"/>
    <col min="9964" max="9964" width="8.85546875" style="146" bestFit="1" customWidth="1"/>
    <col min="9965" max="9971" width="8.7109375" style="146"/>
    <col min="9972" max="9972" width="8.85546875" style="146" bestFit="1" customWidth="1"/>
    <col min="9973" max="9979" width="8.7109375" style="146"/>
    <col min="9980" max="9980" width="8.85546875" style="146" bestFit="1" customWidth="1"/>
    <col min="9981" max="9987" width="8.7109375" style="146"/>
    <col min="9988" max="9988" width="8.85546875" style="146" bestFit="1" customWidth="1"/>
    <col min="9989" max="9995" width="8.7109375" style="146"/>
    <col min="9996" max="9996" width="8.85546875" style="146" bestFit="1" customWidth="1"/>
    <col min="9997" max="10003" width="8.7109375" style="146"/>
    <col min="10004" max="10004" width="8.85546875" style="146" bestFit="1" customWidth="1"/>
    <col min="10005" max="10011" width="8.7109375" style="146"/>
    <col min="10012" max="10012" width="8.85546875" style="146" bestFit="1" customWidth="1"/>
    <col min="10013" max="10019" width="8.7109375" style="146"/>
    <col min="10020" max="10020" width="8.85546875" style="146" bestFit="1" customWidth="1"/>
    <col min="10021" max="10027" width="8.7109375" style="146"/>
    <col min="10028" max="10028" width="8.85546875" style="146" bestFit="1" customWidth="1"/>
    <col min="10029" max="10035" width="8.7109375" style="146"/>
    <col min="10036" max="10036" width="8.85546875" style="146" bestFit="1" customWidth="1"/>
    <col min="10037" max="10043" width="8.7109375" style="146"/>
    <col min="10044" max="10044" width="8.85546875" style="146" bestFit="1" customWidth="1"/>
    <col min="10045" max="10051" width="8.7109375" style="146"/>
    <col min="10052" max="10052" width="8.85546875" style="146" bestFit="1" customWidth="1"/>
    <col min="10053" max="10059" width="8.7109375" style="146"/>
    <col min="10060" max="10060" width="8.85546875" style="146" bestFit="1" customWidth="1"/>
    <col min="10061" max="10067" width="8.7109375" style="146"/>
    <col min="10068" max="10068" width="8.85546875" style="146" bestFit="1" customWidth="1"/>
    <col min="10069" max="10075" width="8.7109375" style="146"/>
    <col min="10076" max="10076" width="8.85546875" style="146" bestFit="1" customWidth="1"/>
    <col min="10077" max="10083" width="8.7109375" style="146"/>
    <col min="10084" max="10084" width="8.85546875" style="146" bestFit="1" customWidth="1"/>
    <col min="10085" max="10091" width="8.7109375" style="146"/>
    <col min="10092" max="10092" width="8.85546875" style="146" bestFit="1" customWidth="1"/>
    <col min="10093" max="10099" width="8.7109375" style="146"/>
    <col min="10100" max="10100" width="8.85546875" style="146" bestFit="1" customWidth="1"/>
    <col min="10101" max="10107" width="8.7109375" style="146"/>
    <col min="10108" max="10108" width="8.85546875" style="146" bestFit="1" customWidth="1"/>
    <col min="10109" max="10115" width="8.7109375" style="146"/>
    <col min="10116" max="10116" width="8.85546875" style="146" bestFit="1" customWidth="1"/>
    <col min="10117" max="10123" width="8.7109375" style="146"/>
    <col min="10124" max="10124" width="8.85546875" style="146" bestFit="1" customWidth="1"/>
    <col min="10125" max="10131" width="8.7109375" style="146"/>
    <col min="10132" max="10132" width="8.85546875" style="146" bestFit="1" customWidth="1"/>
    <col min="10133" max="10139" width="8.7109375" style="146"/>
    <col min="10140" max="10140" width="8.85546875" style="146" bestFit="1" customWidth="1"/>
    <col min="10141" max="10147" width="8.7109375" style="146"/>
    <col min="10148" max="10148" width="8.85546875" style="146" bestFit="1" customWidth="1"/>
    <col min="10149" max="10155" width="8.7109375" style="146"/>
    <col min="10156" max="10156" width="8.85546875" style="146" bestFit="1" customWidth="1"/>
    <col min="10157" max="10163" width="8.7109375" style="146"/>
    <col min="10164" max="10164" width="8.85546875" style="146" bestFit="1" customWidth="1"/>
    <col min="10165" max="10171" width="8.7109375" style="146"/>
    <col min="10172" max="10172" width="8.85546875" style="146" bestFit="1" customWidth="1"/>
    <col min="10173" max="10179" width="8.7109375" style="146"/>
    <col min="10180" max="10180" width="8.85546875" style="146" bestFit="1" customWidth="1"/>
    <col min="10181" max="10187" width="8.7109375" style="146"/>
    <col min="10188" max="10188" width="8.85546875" style="146" bestFit="1" customWidth="1"/>
    <col min="10189" max="10195" width="8.7109375" style="146"/>
    <col min="10196" max="10196" width="8.85546875" style="146" bestFit="1" customWidth="1"/>
    <col min="10197" max="10203" width="8.7109375" style="146"/>
    <col min="10204" max="10204" width="8.85546875" style="146" bestFit="1" customWidth="1"/>
    <col min="10205" max="10211" width="8.7109375" style="146"/>
    <col min="10212" max="10212" width="8.85546875" style="146" bestFit="1" customWidth="1"/>
    <col min="10213" max="10219" width="8.7109375" style="146"/>
    <col min="10220" max="10220" width="8.85546875" style="146" bestFit="1" customWidth="1"/>
    <col min="10221" max="10227" width="8.7109375" style="146"/>
    <col min="10228" max="10228" width="8.85546875" style="146" bestFit="1" customWidth="1"/>
    <col min="10229" max="10235" width="8.7109375" style="146"/>
    <col min="10236" max="10236" width="8.85546875" style="146" bestFit="1" customWidth="1"/>
    <col min="10237" max="10243" width="8.7109375" style="146"/>
    <col min="10244" max="10244" width="8.85546875" style="146" bestFit="1" customWidth="1"/>
    <col min="10245" max="10251" width="8.7109375" style="146"/>
    <col min="10252" max="10252" width="8.85546875" style="146" bestFit="1" customWidth="1"/>
    <col min="10253" max="10259" width="8.7109375" style="146"/>
    <col min="10260" max="10260" width="8.85546875" style="146" bestFit="1" customWidth="1"/>
    <col min="10261" max="10267" width="8.7109375" style="146"/>
    <col min="10268" max="10268" width="8.85546875" style="146" bestFit="1" customWidth="1"/>
    <col min="10269" max="10275" width="8.7109375" style="146"/>
    <col min="10276" max="10276" width="8.85546875" style="146" bestFit="1" customWidth="1"/>
    <col min="10277" max="10283" width="8.7109375" style="146"/>
    <col min="10284" max="10284" width="8.85546875" style="146" bestFit="1" customWidth="1"/>
    <col min="10285" max="10291" width="8.7109375" style="146"/>
    <col min="10292" max="10292" width="8.85546875" style="146" bestFit="1" customWidth="1"/>
    <col min="10293" max="10299" width="8.7109375" style="146"/>
    <col min="10300" max="10300" width="8.85546875" style="146" bestFit="1" customWidth="1"/>
    <col min="10301" max="10307" width="8.7109375" style="146"/>
    <col min="10308" max="10308" width="8.85546875" style="146" bestFit="1" customWidth="1"/>
    <col min="10309" max="10315" width="8.7109375" style="146"/>
    <col min="10316" max="10316" width="8.85546875" style="146" bestFit="1" customWidth="1"/>
    <col min="10317" max="10323" width="8.7109375" style="146"/>
    <col min="10324" max="10324" width="8.85546875" style="146" bestFit="1" customWidth="1"/>
    <col min="10325" max="10331" width="8.7109375" style="146"/>
    <col min="10332" max="10332" width="8.85546875" style="146" bestFit="1" customWidth="1"/>
    <col min="10333" max="10339" width="8.7109375" style="146"/>
    <col min="10340" max="10340" width="8.85546875" style="146" bestFit="1" customWidth="1"/>
    <col min="10341" max="10347" width="8.7109375" style="146"/>
    <col min="10348" max="10348" width="8.85546875" style="146" bestFit="1" customWidth="1"/>
    <col min="10349" max="10355" width="8.7109375" style="146"/>
    <col min="10356" max="10356" width="8.85546875" style="146" bestFit="1" customWidth="1"/>
    <col min="10357" max="10363" width="8.7109375" style="146"/>
    <col min="10364" max="10364" width="8.85546875" style="146" bestFit="1" customWidth="1"/>
    <col min="10365" max="10371" width="8.7109375" style="146"/>
    <col min="10372" max="10372" width="8.85546875" style="146" bestFit="1" customWidth="1"/>
    <col min="10373" max="10379" width="8.7109375" style="146"/>
    <col min="10380" max="10380" width="8.85546875" style="146" bestFit="1" customWidth="1"/>
    <col min="10381" max="10387" width="8.7109375" style="146"/>
    <col min="10388" max="10388" width="8.85546875" style="146" bestFit="1" customWidth="1"/>
    <col min="10389" max="10395" width="8.7109375" style="146"/>
    <col min="10396" max="10396" width="8.85546875" style="146" bestFit="1" customWidth="1"/>
    <col min="10397" max="10403" width="8.7109375" style="146"/>
    <col min="10404" max="10404" width="8.85546875" style="146" bestFit="1" customWidth="1"/>
    <col min="10405" max="10411" width="8.7109375" style="146"/>
    <col min="10412" max="10412" width="8.85546875" style="146" bestFit="1" customWidth="1"/>
    <col min="10413" max="10419" width="8.7109375" style="146"/>
    <col min="10420" max="10420" width="8.85546875" style="146" bestFit="1" customWidth="1"/>
    <col min="10421" max="10427" width="8.7109375" style="146"/>
    <col min="10428" max="10428" width="8.85546875" style="146" bestFit="1" customWidth="1"/>
    <col min="10429" max="10435" width="8.7109375" style="146"/>
    <col min="10436" max="10436" width="8.85546875" style="146" bestFit="1" customWidth="1"/>
    <col min="10437" max="10443" width="8.7109375" style="146"/>
    <col min="10444" max="10444" width="8.85546875" style="146" bestFit="1" customWidth="1"/>
    <col min="10445" max="10451" width="8.7109375" style="146"/>
    <col min="10452" max="10452" width="8.85546875" style="146" bestFit="1" customWidth="1"/>
    <col min="10453" max="10459" width="8.7109375" style="146"/>
    <col min="10460" max="10460" width="8.85546875" style="146" bestFit="1" customWidth="1"/>
    <col min="10461" max="10467" width="8.7109375" style="146"/>
    <col min="10468" max="10468" width="8.85546875" style="146" bestFit="1" customWidth="1"/>
    <col min="10469" max="10475" width="8.7109375" style="146"/>
    <col min="10476" max="10476" width="8.85546875" style="146" bestFit="1" customWidth="1"/>
    <col min="10477" max="10483" width="8.7109375" style="146"/>
    <col min="10484" max="10484" width="8.85546875" style="146" bestFit="1" customWidth="1"/>
    <col min="10485" max="10491" width="8.7109375" style="146"/>
    <col min="10492" max="10492" width="8.85546875" style="146" bestFit="1" customWidth="1"/>
    <col min="10493" max="10499" width="8.7109375" style="146"/>
    <col min="10500" max="10500" width="8.85546875" style="146" bestFit="1" customWidth="1"/>
    <col min="10501" max="10507" width="8.7109375" style="146"/>
    <col min="10508" max="10508" width="8.85546875" style="146" bestFit="1" customWidth="1"/>
    <col min="10509" max="10515" width="8.7109375" style="146"/>
    <col min="10516" max="10516" width="8.85546875" style="146" bestFit="1" customWidth="1"/>
    <col min="10517" max="10523" width="8.7109375" style="146"/>
    <col min="10524" max="10524" width="8.85546875" style="146" bestFit="1" customWidth="1"/>
    <col min="10525" max="10531" width="8.7109375" style="146"/>
    <col min="10532" max="10532" width="8.85546875" style="146" bestFit="1" customWidth="1"/>
    <col min="10533" max="10539" width="8.7109375" style="146"/>
    <col min="10540" max="10540" width="8.85546875" style="146" bestFit="1" customWidth="1"/>
    <col min="10541" max="10547" width="8.7109375" style="146"/>
    <col min="10548" max="10548" width="8.85546875" style="146" bestFit="1" customWidth="1"/>
    <col min="10549" max="10555" width="8.7109375" style="146"/>
    <col min="10556" max="10556" width="8.85546875" style="146" bestFit="1" customWidth="1"/>
    <col min="10557" max="10563" width="8.7109375" style="146"/>
    <col min="10564" max="10564" width="8.85546875" style="146" bestFit="1" customWidth="1"/>
    <col min="10565" max="10571" width="8.7109375" style="146"/>
    <col min="10572" max="10572" width="8.85546875" style="146" bestFit="1" customWidth="1"/>
    <col min="10573" max="10579" width="8.7109375" style="146"/>
    <col min="10580" max="10580" width="8.85546875" style="146" bestFit="1" customWidth="1"/>
    <col min="10581" max="10587" width="8.7109375" style="146"/>
    <col min="10588" max="10588" width="8.85546875" style="146" bestFit="1" customWidth="1"/>
    <col min="10589" max="10595" width="8.7109375" style="146"/>
    <col min="10596" max="10596" width="8.85546875" style="146" bestFit="1" customWidth="1"/>
    <col min="10597" max="10603" width="8.7109375" style="146"/>
    <col min="10604" max="10604" width="8.85546875" style="146" bestFit="1" customWidth="1"/>
    <col min="10605" max="10611" width="8.7109375" style="146"/>
    <col min="10612" max="10612" width="8.85546875" style="146" bestFit="1" customWidth="1"/>
    <col min="10613" max="10619" width="8.7109375" style="146"/>
    <col min="10620" max="10620" width="8.85546875" style="146" bestFit="1" customWidth="1"/>
    <col min="10621" max="10627" width="8.7109375" style="146"/>
    <col min="10628" max="10628" width="8.85546875" style="146" bestFit="1" customWidth="1"/>
    <col min="10629" max="10635" width="8.7109375" style="146"/>
    <col min="10636" max="10636" width="8.85546875" style="146" bestFit="1" customWidth="1"/>
    <col min="10637" max="10643" width="8.7109375" style="146"/>
    <col min="10644" max="10644" width="8.85546875" style="146" bestFit="1" customWidth="1"/>
    <col min="10645" max="10651" width="8.7109375" style="146"/>
    <col min="10652" max="10652" width="8.85546875" style="146" bestFit="1" customWidth="1"/>
    <col min="10653" max="10659" width="8.7109375" style="146"/>
    <col min="10660" max="10660" width="8.85546875" style="146" bestFit="1" customWidth="1"/>
    <col min="10661" max="10667" width="8.7109375" style="146"/>
    <col min="10668" max="10668" width="8.85546875" style="146" bestFit="1" customWidth="1"/>
    <col min="10669" max="10675" width="8.7109375" style="146"/>
    <col min="10676" max="10676" width="8.85546875" style="146" bestFit="1" customWidth="1"/>
    <col min="10677" max="10683" width="8.7109375" style="146"/>
    <col min="10684" max="10684" width="8.85546875" style="146" bestFit="1" customWidth="1"/>
    <col min="10685" max="10691" width="8.7109375" style="146"/>
    <col min="10692" max="10692" width="8.85546875" style="146" bestFit="1" customWidth="1"/>
    <col min="10693" max="10699" width="8.7109375" style="146"/>
    <col min="10700" max="10700" width="8.85546875" style="146" bestFit="1" customWidth="1"/>
    <col min="10701" max="10707" width="8.7109375" style="146"/>
    <col min="10708" max="10708" width="8.85546875" style="146" bestFit="1" customWidth="1"/>
    <col min="10709" max="10715" width="8.7109375" style="146"/>
    <col min="10716" max="10716" width="8.85546875" style="146" bestFit="1" customWidth="1"/>
    <col min="10717" max="10723" width="8.7109375" style="146"/>
    <col min="10724" max="10724" width="8.85546875" style="146" bestFit="1" customWidth="1"/>
    <col min="10725" max="10731" width="8.7109375" style="146"/>
    <col min="10732" max="10732" width="8.85546875" style="146" bestFit="1" customWidth="1"/>
    <col min="10733" max="10739" width="8.7109375" style="146"/>
    <col min="10740" max="10740" width="8.85546875" style="146" bestFit="1" customWidth="1"/>
    <col min="10741" max="10747" width="8.7109375" style="146"/>
    <col min="10748" max="10748" width="8.85546875" style="146" bestFit="1" customWidth="1"/>
    <col min="10749" max="10755" width="8.7109375" style="146"/>
    <col min="10756" max="10756" width="8.85546875" style="146" bestFit="1" customWidth="1"/>
    <col min="10757" max="10763" width="8.7109375" style="146"/>
    <col min="10764" max="10764" width="8.85546875" style="146" bestFit="1" customWidth="1"/>
    <col min="10765" max="10771" width="8.7109375" style="146"/>
    <col min="10772" max="10772" width="8.85546875" style="146" bestFit="1" customWidth="1"/>
    <col min="10773" max="10779" width="8.7109375" style="146"/>
    <col min="10780" max="10780" width="8.85546875" style="146" bestFit="1" customWidth="1"/>
    <col min="10781" max="10787" width="8.7109375" style="146"/>
    <col min="10788" max="10788" width="8.85546875" style="146" bestFit="1" customWidth="1"/>
    <col min="10789" max="10795" width="8.7109375" style="146"/>
    <col min="10796" max="10796" width="8.85546875" style="146" bestFit="1" customWidth="1"/>
    <col min="10797" max="10803" width="8.7109375" style="146"/>
    <col min="10804" max="10804" width="8.85546875" style="146" bestFit="1" customWidth="1"/>
    <col min="10805" max="10811" width="8.7109375" style="146"/>
    <col min="10812" max="10812" width="8.85546875" style="146" bestFit="1" customWidth="1"/>
    <col min="10813" max="10819" width="8.7109375" style="146"/>
    <col min="10820" max="10820" width="8.85546875" style="146" bestFit="1" customWidth="1"/>
    <col min="10821" max="10827" width="8.7109375" style="146"/>
    <col min="10828" max="10828" width="8.85546875" style="146" bestFit="1" customWidth="1"/>
    <col min="10829" max="10835" width="8.7109375" style="146"/>
    <col min="10836" max="10836" width="8.85546875" style="146" bestFit="1" customWidth="1"/>
    <col min="10837" max="10843" width="8.7109375" style="146"/>
    <col min="10844" max="10844" width="8.85546875" style="146" bestFit="1" customWidth="1"/>
    <col min="10845" max="10851" width="8.7109375" style="146"/>
    <col min="10852" max="10852" width="8.85546875" style="146" bestFit="1" customWidth="1"/>
    <col min="10853" max="10859" width="8.7109375" style="146"/>
    <col min="10860" max="10860" width="8.85546875" style="146" bestFit="1" customWidth="1"/>
    <col min="10861" max="10867" width="8.7109375" style="146"/>
    <col min="10868" max="10868" width="8.85546875" style="146" bestFit="1" customWidth="1"/>
    <col min="10869" max="10875" width="8.7109375" style="146"/>
    <col min="10876" max="10876" width="8.85546875" style="146" bestFit="1" customWidth="1"/>
    <col min="10877" max="10883" width="8.7109375" style="146"/>
    <col min="10884" max="10884" width="8.85546875" style="146" bestFit="1" customWidth="1"/>
    <col min="10885" max="10891" width="8.7109375" style="146"/>
    <col min="10892" max="10892" width="8.85546875" style="146" bestFit="1" customWidth="1"/>
    <col min="10893" max="10899" width="8.7109375" style="146"/>
    <col min="10900" max="10900" width="8.85546875" style="146" bestFit="1" customWidth="1"/>
    <col min="10901" max="10907" width="8.7109375" style="146"/>
    <col min="10908" max="10908" width="8.85546875" style="146" bestFit="1" customWidth="1"/>
    <col min="10909" max="10915" width="8.7109375" style="146"/>
    <col min="10916" max="10916" width="8.85546875" style="146" bestFit="1" customWidth="1"/>
    <col min="10917" max="10923" width="8.7109375" style="146"/>
    <col min="10924" max="10924" width="8.85546875" style="146" bestFit="1" customWidth="1"/>
    <col min="10925" max="10931" width="8.7109375" style="146"/>
    <col min="10932" max="10932" width="8.85546875" style="146" bestFit="1" customWidth="1"/>
    <col min="10933" max="10939" width="8.7109375" style="146"/>
    <col min="10940" max="10940" width="8.85546875" style="146" bestFit="1" customWidth="1"/>
    <col min="10941" max="10947" width="8.7109375" style="146"/>
    <col min="10948" max="10948" width="8.85546875" style="146" bestFit="1" customWidth="1"/>
    <col min="10949" max="10955" width="8.7109375" style="146"/>
    <col min="10956" max="10956" width="8.85546875" style="146" bestFit="1" customWidth="1"/>
    <col min="10957" max="10963" width="8.7109375" style="146"/>
    <col min="10964" max="10964" width="8.85546875" style="146" bestFit="1" customWidth="1"/>
    <col min="10965" max="10971" width="8.7109375" style="146"/>
    <col min="10972" max="10972" width="8.85546875" style="146" bestFit="1" customWidth="1"/>
    <col min="10973" max="10979" width="8.7109375" style="146"/>
    <col min="10980" max="10980" width="8.85546875" style="146" bestFit="1" customWidth="1"/>
    <col min="10981" max="10987" width="8.7109375" style="146"/>
    <col min="10988" max="10988" width="8.85546875" style="146" bestFit="1" customWidth="1"/>
    <col min="10989" max="10995" width="8.7109375" style="146"/>
    <col min="10996" max="10996" width="8.85546875" style="146" bestFit="1" customWidth="1"/>
    <col min="10997" max="11003" width="8.7109375" style="146"/>
    <col min="11004" max="11004" width="8.85546875" style="146" bestFit="1" customWidth="1"/>
    <col min="11005" max="11011" width="8.7109375" style="146"/>
    <col min="11012" max="11012" width="8.85546875" style="146" bestFit="1" customWidth="1"/>
    <col min="11013" max="11019" width="8.7109375" style="146"/>
    <col min="11020" max="11020" width="8.85546875" style="146" bestFit="1" customWidth="1"/>
    <col min="11021" max="11027" width="8.7109375" style="146"/>
    <col min="11028" max="11028" width="8.85546875" style="146" bestFit="1" customWidth="1"/>
    <col min="11029" max="11035" width="8.7109375" style="146"/>
    <col min="11036" max="11036" width="8.85546875" style="146" bestFit="1" customWidth="1"/>
    <col min="11037" max="11043" width="8.7109375" style="146"/>
    <col min="11044" max="11044" width="8.85546875" style="146" bestFit="1" customWidth="1"/>
    <col min="11045" max="11051" width="8.7109375" style="146"/>
    <col min="11052" max="11052" width="8.85546875" style="146" bestFit="1" customWidth="1"/>
    <col min="11053" max="11059" width="8.7109375" style="146"/>
    <col min="11060" max="11060" width="8.85546875" style="146" bestFit="1" customWidth="1"/>
    <col min="11061" max="11067" width="8.7109375" style="146"/>
    <col min="11068" max="11068" width="8.85546875" style="146" bestFit="1" customWidth="1"/>
    <col min="11069" max="11075" width="8.7109375" style="146"/>
    <col min="11076" max="11076" width="8.85546875" style="146" bestFit="1" customWidth="1"/>
    <col min="11077" max="11083" width="8.7109375" style="146"/>
    <col min="11084" max="11084" width="8.85546875" style="146" bestFit="1" customWidth="1"/>
    <col min="11085" max="11091" width="8.7109375" style="146"/>
    <col min="11092" max="11092" width="8.85546875" style="146" bestFit="1" customWidth="1"/>
    <col min="11093" max="11099" width="8.7109375" style="146"/>
    <col min="11100" max="11100" width="8.85546875" style="146" bestFit="1" customWidth="1"/>
    <col min="11101" max="11107" width="8.7109375" style="146"/>
    <col min="11108" max="11108" width="8.85546875" style="146" bestFit="1" customWidth="1"/>
    <col min="11109" max="11115" width="8.7109375" style="146"/>
    <col min="11116" max="11116" width="8.85546875" style="146" bestFit="1" customWidth="1"/>
    <col min="11117" max="11123" width="8.7109375" style="146"/>
    <col min="11124" max="11124" width="8.85546875" style="146" bestFit="1" customWidth="1"/>
    <col min="11125" max="11131" width="8.7109375" style="146"/>
    <col min="11132" max="11132" width="8.85546875" style="146" bestFit="1" customWidth="1"/>
    <col min="11133" max="11139" width="8.7109375" style="146"/>
    <col min="11140" max="11140" width="8.85546875" style="146" bestFit="1" customWidth="1"/>
    <col min="11141" max="11147" width="8.7109375" style="146"/>
    <col min="11148" max="11148" width="8.85546875" style="146" bestFit="1" customWidth="1"/>
    <col min="11149" max="11155" width="8.7109375" style="146"/>
    <col min="11156" max="11156" width="8.85546875" style="146" bestFit="1" customWidth="1"/>
    <col min="11157" max="11163" width="8.7109375" style="146"/>
    <col min="11164" max="11164" width="8.85546875" style="146" bestFit="1" customWidth="1"/>
    <col min="11165" max="11171" width="8.7109375" style="146"/>
    <col min="11172" max="11172" width="8.85546875" style="146" bestFit="1" customWidth="1"/>
    <col min="11173" max="11179" width="8.7109375" style="146"/>
    <col min="11180" max="11180" width="8.85546875" style="146" bestFit="1" customWidth="1"/>
    <col min="11181" max="11187" width="8.7109375" style="146"/>
    <col min="11188" max="11188" width="8.85546875" style="146" bestFit="1" customWidth="1"/>
    <col min="11189" max="11195" width="8.7109375" style="146"/>
    <col min="11196" max="11196" width="8.85546875" style="146" bestFit="1" customWidth="1"/>
    <col min="11197" max="11203" width="8.7109375" style="146"/>
    <col min="11204" max="11204" width="8.85546875" style="146" bestFit="1" customWidth="1"/>
    <col min="11205" max="11211" width="8.7109375" style="146"/>
    <col min="11212" max="11212" width="8.85546875" style="146" bestFit="1" customWidth="1"/>
    <col min="11213" max="11219" width="8.7109375" style="146"/>
    <col min="11220" max="11220" width="8.85546875" style="146" bestFit="1" customWidth="1"/>
    <col min="11221" max="11227" width="8.7109375" style="146"/>
    <col min="11228" max="11228" width="8.85546875" style="146" bestFit="1" customWidth="1"/>
    <col min="11229" max="11235" width="8.7109375" style="146"/>
    <col min="11236" max="11236" width="8.85546875" style="146" bestFit="1" customWidth="1"/>
    <col min="11237" max="11243" width="8.7109375" style="146"/>
    <col min="11244" max="11244" width="8.85546875" style="146" bestFit="1" customWidth="1"/>
    <col min="11245" max="11251" width="8.7109375" style="146"/>
    <col min="11252" max="11252" width="8.85546875" style="146" bestFit="1" customWidth="1"/>
    <col min="11253" max="11259" width="8.7109375" style="146"/>
    <col min="11260" max="11260" width="8.85546875" style="146" bestFit="1" customWidth="1"/>
    <col min="11261" max="11267" width="8.7109375" style="146"/>
    <col min="11268" max="11268" width="8.85546875" style="146" bestFit="1" customWidth="1"/>
    <col min="11269" max="11275" width="8.7109375" style="146"/>
    <col min="11276" max="11276" width="8.85546875" style="146" bestFit="1" customWidth="1"/>
    <col min="11277" max="11283" width="8.7109375" style="146"/>
    <col min="11284" max="11284" width="8.85546875" style="146" bestFit="1" customWidth="1"/>
    <col min="11285" max="11291" width="8.7109375" style="146"/>
    <col min="11292" max="11292" width="8.85546875" style="146" bestFit="1" customWidth="1"/>
    <col min="11293" max="11299" width="8.7109375" style="146"/>
    <col min="11300" max="11300" width="8.85546875" style="146" bestFit="1" customWidth="1"/>
    <col min="11301" max="11307" width="8.7109375" style="146"/>
    <col min="11308" max="11308" width="8.85546875" style="146" bestFit="1" customWidth="1"/>
    <col min="11309" max="11315" width="8.7109375" style="146"/>
    <col min="11316" max="11316" width="8.85546875" style="146" bestFit="1" customWidth="1"/>
    <col min="11317" max="11323" width="8.7109375" style="146"/>
    <col min="11324" max="11324" width="8.85546875" style="146" bestFit="1" customWidth="1"/>
    <col min="11325" max="11331" width="8.7109375" style="146"/>
    <col min="11332" max="11332" width="8.85546875" style="146" bestFit="1" customWidth="1"/>
    <col min="11333" max="11339" width="8.7109375" style="146"/>
    <col min="11340" max="11340" width="8.85546875" style="146" bestFit="1" customWidth="1"/>
    <col min="11341" max="11347" width="8.7109375" style="146"/>
    <col min="11348" max="11348" width="8.85546875" style="146" bestFit="1" customWidth="1"/>
    <col min="11349" max="11355" width="8.7109375" style="146"/>
    <col min="11356" max="11356" width="8.85546875" style="146" bestFit="1" customWidth="1"/>
    <col min="11357" max="11363" width="8.7109375" style="146"/>
    <col min="11364" max="11364" width="8.85546875" style="146" bestFit="1" customWidth="1"/>
    <col min="11365" max="11371" width="8.7109375" style="146"/>
    <col min="11372" max="11372" width="8.85546875" style="146" bestFit="1" customWidth="1"/>
    <col min="11373" max="11379" width="8.7109375" style="146"/>
    <col min="11380" max="11380" width="8.85546875" style="146" bestFit="1" customWidth="1"/>
    <col min="11381" max="11387" width="8.7109375" style="146"/>
    <col min="11388" max="11388" width="8.85546875" style="146" bestFit="1" customWidth="1"/>
    <col min="11389" max="11395" width="8.7109375" style="146"/>
    <col min="11396" max="11396" width="8.85546875" style="146" bestFit="1" customWidth="1"/>
    <col min="11397" max="11403" width="8.7109375" style="146"/>
    <col min="11404" max="11404" width="8.85546875" style="146" bestFit="1" customWidth="1"/>
    <col min="11405" max="11411" width="8.7109375" style="146"/>
    <col min="11412" max="11412" width="8.85546875" style="146" bestFit="1" customWidth="1"/>
    <col min="11413" max="11419" width="8.7109375" style="146"/>
    <col min="11420" max="11420" width="8.85546875" style="146" bestFit="1" customWidth="1"/>
    <col min="11421" max="11427" width="8.7109375" style="146"/>
    <col min="11428" max="11428" width="8.85546875" style="146" bestFit="1" customWidth="1"/>
    <col min="11429" max="11435" width="8.7109375" style="146"/>
    <col min="11436" max="11436" width="8.85546875" style="146" bestFit="1" customWidth="1"/>
    <col min="11437" max="11443" width="8.7109375" style="146"/>
    <col min="11444" max="11444" width="8.85546875" style="146" bestFit="1" customWidth="1"/>
    <col min="11445" max="11451" width="8.7109375" style="146"/>
    <col min="11452" max="11452" width="8.85546875" style="146" bestFit="1" customWidth="1"/>
    <col min="11453" max="11459" width="8.7109375" style="146"/>
    <col min="11460" max="11460" width="8.85546875" style="146" bestFit="1" customWidth="1"/>
    <col min="11461" max="11467" width="8.7109375" style="146"/>
    <col min="11468" max="11468" width="8.85546875" style="146" bestFit="1" customWidth="1"/>
    <col min="11469" max="11475" width="8.7109375" style="146"/>
    <col min="11476" max="11476" width="8.85546875" style="146" bestFit="1" customWidth="1"/>
    <col min="11477" max="11483" width="8.7109375" style="146"/>
    <col min="11484" max="11484" width="8.85546875" style="146" bestFit="1" customWidth="1"/>
    <col min="11485" max="11491" width="8.7109375" style="146"/>
    <col min="11492" max="11492" width="8.85546875" style="146" bestFit="1" customWidth="1"/>
    <col min="11493" max="11499" width="8.7109375" style="146"/>
    <col min="11500" max="11500" width="8.85546875" style="146" bestFit="1" customWidth="1"/>
    <col min="11501" max="11507" width="8.7109375" style="146"/>
    <col min="11508" max="11508" width="8.85546875" style="146" bestFit="1" customWidth="1"/>
    <col min="11509" max="11515" width="8.7109375" style="146"/>
    <col min="11516" max="11516" width="8.85546875" style="146" bestFit="1" customWidth="1"/>
    <col min="11517" max="11523" width="8.7109375" style="146"/>
    <col min="11524" max="11524" width="8.85546875" style="146" bestFit="1" customWidth="1"/>
    <col min="11525" max="11531" width="8.7109375" style="146"/>
    <col min="11532" max="11532" width="8.85546875" style="146" bestFit="1" customWidth="1"/>
    <col min="11533" max="11539" width="8.7109375" style="146"/>
    <col min="11540" max="11540" width="8.85546875" style="146" bestFit="1" customWidth="1"/>
    <col min="11541" max="11547" width="8.7109375" style="146"/>
    <col min="11548" max="11548" width="8.85546875" style="146" bestFit="1" customWidth="1"/>
    <col min="11549" max="11555" width="8.7109375" style="146"/>
    <col min="11556" max="11556" width="8.85546875" style="146" bestFit="1" customWidth="1"/>
    <col min="11557" max="11563" width="8.7109375" style="146"/>
    <col min="11564" max="11564" width="8.85546875" style="146" bestFit="1" customWidth="1"/>
    <col min="11565" max="11571" width="8.7109375" style="146"/>
    <col min="11572" max="11572" width="8.85546875" style="146" bestFit="1" customWidth="1"/>
    <col min="11573" max="11579" width="8.7109375" style="146"/>
    <col min="11580" max="11580" width="8.85546875" style="146" bestFit="1" customWidth="1"/>
    <col min="11581" max="11587" width="8.7109375" style="146"/>
    <col min="11588" max="11588" width="8.85546875" style="146" bestFit="1" customWidth="1"/>
    <col min="11589" max="11595" width="8.7109375" style="146"/>
    <col min="11596" max="11596" width="8.85546875" style="146" bestFit="1" customWidth="1"/>
    <col min="11597" max="11603" width="8.7109375" style="146"/>
    <col min="11604" max="11604" width="8.85546875" style="146" bestFit="1" customWidth="1"/>
    <col min="11605" max="11611" width="8.7109375" style="146"/>
    <col min="11612" max="11612" width="8.85546875" style="146" bestFit="1" customWidth="1"/>
    <col min="11613" max="11619" width="8.7109375" style="146"/>
    <col min="11620" max="11620" width="8.85546875" style="146" bestFit="1" customWidth="1"/>
    <col min="11621" max="11627" width="8.7109375" style="146"/>
    <col min="11628" max="11628" width="8.85546875" style="146" bestFit="1" customWidth="1"/>
    <col min="11629" max="11635" width="8.7109375" style="146"/>
    <col min="11636" max="11636" width="8.85546875" style="146" bestFit="1" customWidth="1"/>
    <col min="11637" max="11643" width="8.7109375" style="146"/>
    <col min="11644" max="11644" width="8.85546875" style="146" bestFit="1" customWidth="1"/>
    <col min="11645" max="11651" width="8.7109375" style="146"/>
    <col min="11652" max="11652" width="8.85546875" style="146" bestFit="1" customWidth="1"/>
    <col min="11653" max="11659" width="8.7109375" style="146"/>
    <col min="11660" max="11660" width="8.85546875" style="146" bestFit="1" customWidth="1"/>
    <col min="11661" max="11667" width="8.7109375" style="146"/>
    <col min="11668" max="11668" width="8.85546875" style="146" bestFit="1" customWidth="1"/>
    <col min="11669" max="11675" width="8.7109375" style="146"/>
    <col min="11676" max="11676" width="8.85546875" style="146" bestFit="1" customWidth="1"/>
    <col min="11677" max="11683" width="8.7109375" style="146"/>
    <col min="11684" max="11684" width="8.85546875" style="146" bestFit="1" customWidth="1"/>
    <col min="11685" max="11691" width="8.7109375" style="146"/>
    <col min="11692" max="11692" width="8.85546875" style="146" bestFit="1" customWidth="1"/>
    <col min="11693" max="11699" width="8.7109375" style="146"/>
    <col min="11700" max="11700" width="8.85546875" style="146" bestFit="1" customWidth="1"/>
    <col min="11701" max="11707" width="8.7109375" style="146"/>
    <col min="11708" max="11708" width="8.85546875" style="146" bestFit="1" customWidth="1"/>
    <col min="11709" max="11715" width="8.7109375" style="146"/>
    <col min="11716" max="11716" width="8.85546875" style="146" bestFit="1" customWidth="1"/>
    <col min="11717" max="11723" width="8.7109375" style="146"/>
    <col min="11724" max="11724" width="8.85546875" style="146" bestFit="1" customWidth="1"/>
    <col min="11725" max="11731" width="8.7109375" style="146"/>
    <col min="11732" max="11732" width="8.85546875" style="146" bestFit="1" customWidth="1"/>
    <col min="11733" max="11739" width="8.7109375" style="146"/>
    <col min="11740" max="11740" width="8.85546875" style="146" bestFit="1" customWidth="1"/>
    <col min="11741" max="11747" width="8.7109375" style="146"/>
    <col min="11748" max="11748" width="8.85546875" style="146" bestFit="1" customWidth="1"/>
    <col min="11749" max="11755" width="8.7109375" style="146"/>
    <col min="11756" max="11756" width="8.85546875" style="146" bestFit="1" customWidth="1"/>
    <col min="11757" max="11763" width="8.7109375" style="146"/>
    <col min="11764" max="11764" width="8.85546875" style="146" bestFit="1" customWidth="1"/>
    <col min="11765" max="11771" width="8.7109375" style="146"/>
    <col min="11772" max="11772" width="8.85546875" style="146" bestFit="1" customWidth="1"/>
    <col min="11773" max="11779" width="8.7109375" style="146"/>
    <col min="11780" max="11780" width="8.85546875" style="146" bestFit="1" customWidth="1"/>
    <col min="11781" max="11787" width="8.7109375" style="146"/>
    <col min="11788" max="11788" width="8.85546875" style="146" bestFit="1" customWidth="1"/>
    <col min="11789" max="11795" width="8.7109375" style="146"/>
    <col min="11796" max="11796" width="8.85546875" style="146" bestFit="1" customWidth="1"/>
    <col min="11797" max="11803" width="8.7109375" style="146"/>
    <col min="11804" max="11804" width="8.85546875" style="146" bestFit="1" customWidth="1"/>
    <col min="11805" max="11811" width="8.7109375" style="146"/>
    <col min="11812" max="11812" width="8.85546875" style="146" bestFit="1" customWidth="1"/>
    <col min="11813" max="11819" width="8.7109375" style="146"/>
    <col min="11820" max="11820" width="8.85546875" style="146" bestFit="1" customWidth="1"/>
    <col min="11821" max="11827" width="8.7109375" style="146"/>
    <col min="11828" max="11828" width="8.85546875" style="146" bestFit="1" customWidth="1"/>
    <col min="11829" max="11835" width="8.7109375" style="146"/>
    <col min="11836" max="11836" width="8.85546875" style="146" bestFit="1" customWidth="1"/>
    <col min="11837" max="11843" width="8.7109375" style="146"/>
    <col min="11844" max="11844" width="8.85546875" style="146" bestFit="1" customWidth="1"/>
    <col min="11845" max="11851" width="8.7109375" style="146"/>
    <col min="11852" max="11852" width="8.85546875" style="146" bestFit="1" customWidth="1"/>
    <col min="11853" max="11859" width="8.7109375" style="146"/>
    <col min="11860" max="11860" width="8.85546875" style="146" bestFit="1" customWidth="1"/>
    <col min="11861" max="11867" width="8.7109375" style="146"/>
    <col min="11868" max="11868" width="8.85546875" style="146" bestFit="1" customWidth="1"/>
    <col min="11869" max="11875" width="8.7109375" style="146"/>
    <col min="11876" max="11876" width="8.85546875" style="146" bestFit="1" customWidth="1"/>
    <col min="11877" max="11883" width="8.7109375" style="146"/>
    <col min="11884" max="11884" width="8.85546875" style="146" bestFit="1" customWidth="1"/>
    <col min="11885" max="11891" width="8.7109375" style="146"/>
    <col min="11892" max="11892" width="8.85546875" style="146" bestFit="1" customWidth="1"/>
    <col min="11893" max="11899" width="8.7109375" style="146"/>
    <col min="11900" max="11900" width="8.85546875" style="146" bestFit="1" customWidth="1"/>
    <col min="11901" max="11907" width="8.7109375" style="146"/>
    <col min="11908" max="11908" width="8.85546875" style="146" bestFit="1" customWidth="1"/>
    <col min="11909" max="11915" width="8.7109375" style="146"/>
    <col min="11916" max="11916" width="8.85546875" style="146" bestFit="1" customWidth="1"/>
    <col min="11917" max="11923" width="8.7109375" style="146"/>
    <col min="11924" max="11924" width="8.85546875" style="146" bestFit="1" customWidth="1"/>
    <col min="11925" max="11931" width="8.7109375" style="146"/>
    <col min="11932" max="11932" width="8.85546875" style="146" bestFit="1" customWidth="1"/>
    <col min="11933" max="11939" width="8.7109375" style="146"/>
    <col min="11940" max="11940" width="8.85546875" style="146" bestFit="1" customWidth="1"/>
    <col min="11941" max="11947" width="8.7109375" style="146"/>
    <col min="11948" max="11948" width="8.85546875" style="146" bestFit="1" customWidth="1"/>
    <col min="11949" max="11955" width="8.7109375" style="146"/>
    <col min="11956" max="11956" width="8.85546875" style="146" bestFit="1" customWidth="1"/>
    <col min="11957" max="11963" width="8.7109375" style="146"/>
    <col min="11964" max="11964" width="8.85546875" style="146" bestFit="1" customWidth="1"/>
    <col min="11965" max="11971" width="8.7109375" style="146"/>
    <col min="11972" max="11972" width="8.85546875" style="146" bestFit="1" customWidth="1"/>
    <col min="11973" max="11979" width="8.7109375" style="146"/>
    <col min="11980" max="11980" width="8.85546875" style="146" bestFit="1" customWidth="1"/>
    <col min="11981" max="11987" width="8.7109375" style="146"/>
    <col min="11988" max="11988" width="8.85546875" style="146" bestFit="1" customWidth="1"/>
    <col min="11989" max="11995" width="8.7109375" style="146"/>
    <col min="11996" max="11996" width="8.85546875" style="146" bestFit="1" customWidth="1"/>
    <col min="11997" max="12003" width="8.7109375" style="146"/>
    <col min="12004" max="12004" width="8.85546875" style="146" bestFit="1" customWidth="1"/>
    <col min="12005" max="12011" width="8.7109375" style="146"/>
    <col min="12012" max="12012" width="8.85546875" style="146" bestFit="1" customWidth="1"/>
    <col min="12013" max="12019" width="8.7109375" style="146"/>
    <col min="12020" max="12020" width="8.85546875" style="146" bestFit="1" customWidth="1"/>
    <col min="12021" max="12027" width="8.7109375" style="146"/>
    <col min="12028" max="12028" width="8.85546875" style="146" bestFit="1" customWidth="1"/>
    <col min="12029" max="12035" width="8.7109375" style="146"/>
    <col min="12036" max="12036" width="8.85546875" style="146" bestFit="1" customWidth="1"/>
    <col min="12037" max="12043" width="8.7109375" style="146"/>
    <col min="12044" max="12044" width="8.85546875" style="146" bestFit="1" customWidth="1"/>
    <col min="12045" max="12051" width="8.7109375" style="146"/>
    <col min="12052" max="12052" width="8.85546875" style="146" bestFit="1" customWidth="1"/>
    <col min="12053" max="12059" width="8.7109375" style="146"/>
    <col min="12060" max="12060" width="8.85546875" style="146" bestFit="1" customWidth="1"/>
    <col min="12061" max="12067" width="8.7109375" style="146"/>
    <col min="12068" max="12068" width="8.85546875" style="146" bestFit="1" customWidth="1"/>
    <col min="12069" max="12075" width="8.7109375" style="146"/>
    <col min="12076" max="12076" width="8.85546875" style="146" bestFit="1" customWidth="1"/>
    <col min="12077" max="12083" width="8.7109375" style="146"/>
    <col min="12084" max="12084" width="8.85546875" style="146" bestFit="1" customWidth="1"/>
    <col min="12085" max="12091" width="8.7109375" style="146"/>
    <col min="12092" max="12092" width="8.85546875" style="146" bestFit="1" customWidth="1"/>
    <col min="12093" max="12099" width="8.7109375" style="146"/>
    <col min="12100" max="12100" width="8.85546875" style="146" bestFit="1" customWidth="1"/>
    <col min="12101" max="12107" width="8.7109375" style="146"/>
    <col min="12108" max="12108" width="8.85546875" style="146" bestFit="1" customWidth="1"/>
    <col min="12109" max="12115" width="8.7109375" style="146"/>
    <col min="12116" max="12116" width="8.85546875" style="146" bestFit="1" customWidth="1"/>
    <col min="12117" max="12123" width="8.7109375" style="146"/>
    <col min="12124" max="12124" width="8.85546875" style="146" bestFit="1" customWidth="1"/>
    <col min="12125" max="12131" width="8.7109375" style="146"/>
    <col min="12132" max="12132" width="8.85546875" style="146" bestFit="1" customWidth="1"/>
    <col min="12133" max="12139" width="8.7109375" style="146"/>
    <col min="12140" max="12140" width="8.85546875" style="146" bestFit="1" customWidth="1"/>
    <col min="12141" max="12147" width="8.7109375" style="146"/>
    <col min="12148" max="12148" width="8.85546875" style="146" bestFit="1" customWidth="1"/>
    <col min="12149" max="12155" width="8.7109375" style="146"/>
    <col min="12156" max="12156" width="8.85546875" style="146" bestFit="1" customWidth="1"/>
    <col min="12157" max="12163" width="8.7109375" style="146"/>
    <col min="12164" max="12164" width="8.85546875" style="146" bestFit="1" customWidth="1"/>
    <col min="12165" max="12171" width="8.7109375" style="146"/>
    <col min="12172" max="12172" width="8.85546875" style="146" bestFit="1" customWidth="1"/>
    <col min="12173" max="12179" width="8.7109375" style="146"/>
    <col min="12180" max="12180" width="8.85546875" style="146" bestFit="1" customWidth="1"/>
    <col min="12181" max="12187" width="8.7109375" style="146"/>
    <col min="12188" max="12188" width="8.85546875" style="146" bestFit="1" customWidth="1"/>
    <col min="12189" max="12195" width="8.7109375" style="146"/>
    <col min="12196" max="12196" width="8.85546875" style="146" bestFit="1" customWidth="1"/>
    <col min="12197" max="12203" width="8.7109375" style="146"/>
    <col min="12204" max="12204" width="8.85546875" style="146" bestFit="1" customWidth="1"/>
    <col min="12205" max="12211" width="8.7109375" style="146"/>
    <col min="12212" max="12212" width="8.85546875" style="146" bestFit="1" customWidth="1"/>
    <col min="12213" max="12219" width="8.7109375" style="146"/>
    <col min="12220" max="12220" width="8.85546875" style="146" bestFit="1" customWidth="1"/>
    <col min="12221" max="12227" width="8.7109375" style="146"/>
    <col min="12228" max="12228" width="8.85546875" style="146" bestFit="1" customWidth="1"/>
    <col min="12229" max="12235" width="8.7109375" style="146"/>
    <col min="12236" max="12236" width="8.85546875" style="146" bestFit="1" customWidth="1"/>
    <col min="12237" max="12243" width="8.7109375" style="146"/>
    <col min="12244" max="12244" width="8.85546875" style="146" bestFit="1" customWidth="1"/>
    <col min="12245" max="12251" width="8.7109375" style="146"/>
    <col min="12252" max="12252" width="8.85546875" style="146" bestFit="1" customWidth="1"/>
    <col min="12253" max="12259" width="8.7109375" style="146"/>
    <col min="12260" max="12260" width="8.85546875" style="146" bestFit="1" customWidth="1"/>
    <col min="12261" max="12267" width="8.7109375" style="146"/>
    <col min="12268" max="12268" width="8.85546875" style="146" bestFit="1" customWidth="1"/>
    <col min="12269" max="12275" width="8.7109375" style="146"/>
    <col min="12276" max="12276" width="8.85546875" style="146" bestFit="1" customWidth="1"/>
    <col min="12277" max="12283" width="8.7109375" style="146"/>
    <col min="12284" max="12284" width="8.85546875" style="146" bestFit="1" customWidth="1"/>
    <col min="12285" max="12291" width="8.7109375" style="146"/>
    <col min="12292" max="12292" width="8.85546875" style="146" bestFit="1" customWidth="1"/>
    <col min="12293" max="12299" width="8.7109375" style="146"/>
    <col min="12300" max="12300" width="8.85546875" style="146" bestFit="1" customWidth="1"/>
    <col min="12301" max="12307" width="8.7109375" style="146"/>
    <col min="12308" max="12308" width="8.85546875" style="146" bestFit="1" customWidth="1"/>
    <col min="12309" max="12315" width="8.7109375" style="146"/>
    <col min="12316" max="12316" width="8.85546875" style="146" bestFit="1" customWidth="1"/>
    <col min="12317" max="12323" width="8.7109375" style="146"/>
    <col min="12324" max="12324" width="8.85546875" style="146" bestFit="1" customWidth="1"/>
    <col min="12325" max="12331" width="8.7109375" style="146"/>
    <col min="12332" max="12332" width="8.85546875" style="146" bestFit="1" customWidth="1"/>
    <col min="12333" max="12339" width="8.7109375" style="146"/>
    <col min="12340" max="12340" width="8.85546875" style="146" bestFit="1" customWidth="1"/>
    <col min="12341" max="12347" width="8.7109375" style="146"/>
    <col min="12348" max="12348" width="8.85546875" style="146" bestFit="1" customWidth="1"/>
    <col min="12349" max="12355" width="8.7109375" style="146"/>
    <col min="12356" max="12356" width="8.85546875" style="146" bestFit="1" customWidth="1"/>
    <col min="12357" max="12363" width="8.7109375" style="146"/>
    <col min="12364" max="12364" width="8.85546875" style="146" bestFit="1" customWidth="1"/>
    <col min="12365" max="12371" width="8.7109375" style="146"/>
    <col min="12372" max="12372" width="8.85546875" style="146" bestFit="1" customWidth="1"/>
    <col min="12373" max="12379" width="8.7109375" style="146"/>
    <col min="12380" max="12380" width="8.85546875" style="146" bestFit="1" customWidth="1"/>
    <col min="12381" max="12387" width="8.7109375" style="146"/>
    <col min="12388" max="12388" width="8.85546875" style="146" bestFit="1" customWidth="1"/>
    <col min="12389" max="12395" width="8.7109375" style="146"/>
    <col min="12396" max="12396" width="8.85546875" style="146" bestFit="1" customWidth="1"/>
    <col min="12397" max="12403" width="8.7109375" style="146"/>
    <col min="12404" max="12404" width="8.85546875" style="146" bestFit="1" customWidth="1"/>
    <col min="12405" max="12411" width="8.7109375" style="146"/>
    <col min="12412" max="12412" width="8.85546875" style="146" bestFit="1" customWidth="1"/>
    <col min="12413" max="12419" width="8.7109375" style="146"/>
    <col min="12420" max="12420" width="8.85546875" style="146" bestFit="1" customWidth="1"/>
    <col min="12421" max="12427" width="8.7109375" style="146"/>
    <col min="12428" max="12428" width="8.85546875" style="146" bestFit="1" customWidth="1"/>
    <col min="12429" max="12435" width="8.7109375" style="146"/>
    <col min="12436" max="12436" width="8.85546875" style="146" bestFit="1" customWidth="1"/>
    <col min="12437" max="12443" width="8.7109375" style="146"/>
    <col min="12444" max="12444" width="8.85546875" style="146" bestFit="1" customWidth="1"/>
    <col min="12445" max="12451" width="8.7109375" style="146"/>
    <col min="12452" max="12452" width="8.85546875" style="146" bestFit="1" customWidth="1"/>
    <col min="12453" max="12459" width="8.7109375" style="146"/>
    <col min="12460" max="12460" width="8.85546875" style="146" bestFit="1" customWidth="1"/>
    <col min="12461" max="12467" width="8.7109375" style="146"/>
    <col min="12468" max="12468" width="8.85546875" style="146" bestFit="1" customWidth="1"/>
    <col min="12469" max="12475" width="8.7109375" style="146"/>
    <col min="12476" max="12476" width="8.85546875" style="146" bestFit="1" customWidth="1"/>
    <col min="12477" max="12483" width="8.7109375" style="146"/>
    <col min="12484" max="12484" width="8.85546875" style="146" bestFit="1" customWidth="1"/>
    <col min="12485" max="12491" width="8.7109375" style="146"/>
    <col min="12492" max="12492" width="8.85546875" style="146" bestFit="1" customWidth="1"/>
    <col min="12493" max="12499" width="8.7109375" style="146"/>
    <col min="12500" max="12500" width="8.85546875" style="146" bestFit="1" customWidth="1"/>
    <col min="12501" max="12507" width="8.7109375" style="146"/>
    <col min="12508" max="12508" width="8.85546875" style="146" bestFit="1" customWidth="1"/>
    <col min="12509" max="12515" width="8.7109375" style="146"/>
    <col min="12516" max="12516" width="8.85546875" style="146" bestFit="1" customWidth="1"/>
    <col min="12517" max="12523" width="8.7109375" style="146"/>
    <col min="12524" max="12524" width="8.85546875" style="146" bestFit="1" customWidth="1"/>
    <col min="12525" max="12531" width="8.7109375" style="146"/>
    <col min="12532" max="12532" width="8.85546875" style="146" bestFit="1" customWidth="1"/>
    <col min="12533" max="12539" width="8.7109375" style="146"/>
    <col min="12540" max="12540" width="8.85546875" style="146" bestFit="1" customWidth="1"/>
    <col min="12541" max="12547" width="8.7109375" style="146"/>
    <col min="12548" max="12548" width="8.85546875" style="146" bestFit="1" customWidth="1"/>
    <col min="12549" max="12555" width="8.7109375" style="146"/>
    <col min="12556" max="12556" width="8.85546875" style="146" bestFit="1" customWidth="1"/>
    <col min="12557" max="12563" width="8.7109375" style="146"/>
    <col min="12564" max="12564" width="8.85546875" style="146" bestFit="1" customWidth="1"/>
    <col min="12565" max="12571" width="8.7109375" style="146"/>
    <col min="12572" max="12572" width="8.85546875" style="146" bestFit="1" customWidth="1"/>
    <col min="12573" max="12579" width="8.7109375" style="146"/>
    <col min="12580" max="12580" width="8.85546875" style="146" bestFit="1" customWidth="1"/>
    <col min="12581" max="12587" width="8.7109375" style="146"/>
    <col min="12588" max="12588" width="8.85546875" style="146" bestFit="1" customWidth="1"/>
    <col min="12589" max="12595" width="8.7109375" style="146"/>
    <col min="12596" max="12596" width="8.85546875" style="146" bestFit="1" customWidth="1"/>
    <col min="12597" max="12603" width="8.7109375" style="146"/>
    <col min="12604" max="12604" width="8.85546875" style="146" bestFit="1" customWidth="1"/>
    <col min="12605" max="12611" width="8.7109375" style="146"/>
    <col min="12612" max="12612" width="8.85546875" style="146" bestFit="1" customWidth="1"/>
    <col min="12613" max="12619" width="8.7109375" style="146"/>
    <col min="12620" max="12620" width="8.85546875" style="146" bestFit="1" customWidth="1"/>
    <col min="12621" max="12627" width="8.7109375" style="146"/>
    <col min="12628" max="12628" width="8.85546875" style="146" bestFit="1" customWidth="1"/>
    <col min="12629" max="12635" width="8.7109375" style="146"/>
    <col min="12636" max="12636" width="8.85546875" style="146" bestFit="1" customWidth="1"/>
    <col min="12637" max="12643" width="8.7109375" style="146"/>
    <col min="12644" max="12644" width="8.85546875" style="146" bestFit="1" customWidth="1"/>
    <col min="12645" max="12651" width="8.7109375" style="146"/>
    <col min="12652" max="12652" width="8.85546875" style="146" bestFit="1" customWidth="1"/>
    <col min="12653" max="12659" width="8.7109375" style="146"/>
    <col min="12660" max="12660" width="8.85546875" style="146" bestFit="1" customWidth="1"/>
    <col min="12661" max="12667" width="8.7109375" style="146"/>
    <col min="12668" max="12668" width="8.85546875" style="146" bestFit="1" customWidth="1"/>
    <col min="12669" max="12675" width="8.7109375" style="146"/>
    <col min="12676" max="12676" width="8.85546875" style="146" bestFit="1" customWidth="1"/>
    <col min="12677" max="12683" width="8.7109375" style="146"/>
    <col min="12684" max="12684" width="8.85546875" style="146" bestFit="1" customWidth="1"/>
    <col min="12685" max="12691" width="8.7109375" style="146"/>
    <col min="12692" max="12692" width="8.85546875" style="146" bestFit="1" customWidth="1"/>
    <col min="12693" max="12699" width="8.7109375" style="146"/>
    <col min="12700" max="12700" width="8.85546875" style="146" bestFit="1" customWidth="1"/>
    <col min="12701" max="12707" width="8.7109375" style="146"/>
    <col min="12708" max="12708" width="8.85546875" style="146" bestFit="1" customWidth="1"/>
    <col min="12709" max="12715" width="8.7109375" style="146"/>
    <col min="12716" max="12716" width="8.85546875" style="146" bestFit="1" customWidth="1"/>
    <col min="12717" max="12723" width="8.7109375" style="146"/>
    <col min="12724" max="12724" width="8.85546875" style="146" bestFit="1" customWidth="1"/>
    <col min="12725" max="12731" width="8.7109375" style="146"/>
    <col min="12732" max="12732" width="8.85546875" style="146" bestFit="1" customWidth="1"/>
    <col min="12733" max="12739" width="8.7109375" style="146"/>
    <col min="12740" max="12740" width="8.85546875" style="146" bestFit="1" customWidth="1"/>
    <col min="12741" max="12747" width="8.7109375" style="146"/>
    <col min="12748" max="12748" width="8.85546875" style="146" bestFit="1" customWidth="1"/>
    <col min="12749" max="12755" width="8.7109375" style="146"/>
    <col min="12756" max="12756" width="8.85546875" style="146" bestFit="1" customWidth="1"/>
    <col min="12757" max="12763" width="8.7109375" style="146"/>
    <col min="12764" max="12764" width="8.85546875" style="146" bestFit="1" customWidth="1"/>
    <col min="12765" max="12771" width="8.7109375" style="146"/>
    <col min="12772" max="12772" width="8.85546875" style="146" bestFit="1" customWidth="1"/>
    <col min="12773" max="12779" width="8.7109375" style="146"/>
    <col min="12780" max="12780" width="8.85546875" style="146" bestFit="1" customWidth="1"/>
    <col min="12781" max="12787" width="8.7109375" style="146"/>
    <col min="12788" max="12788" width="8.85546875" style="146" bestFit="1" customWidth="1"/>
    <col min="12789" max="12795" width="8.7109375" style="146"/>
    <col min="12796" max="12796" width="8.85546875" style="146" bestFit="1" customWidth="1"/>
    <col min="12797" max="12803" width="8.7109375" style="146"/>
    <col min="12804" max="12804" width="8.85546875" style="146" bestFit="1" customWidth="1"/>
    <col min="12805" max="12811" width="8.7109375" style="146"/>
    <col min="12812" max="12812" width="8.85546875" style="146" bestFit="1" customWidth="1"/>
    <col min="12813" max="12819" width="8.7109375" style="146"/>
    <col min="12820" max="12820" width="8.85546875" style="146" bestFit="1" customWidth="1"/>
    <col min="12821" max="12827" width="8.7109375" style="146"/>
    <col min="12828" max="12828" width="8.85546875" style="146" bestFit="1" customWidth="1"/>
    <col min="12829" max="12835" width="8.7109375" style="146"/>
    <col min="12836" max="12836" width="8.85546875" style="146" bestFit="1" customWidth="1"/>
    <col min="12837" max="12843" width="8.7109375" style="146"/>
    <col min="12844" max="12844" width="8.85546875" style="146" bestFit="1" customWidth="1"/>
    <col min="12845" max="12851" width="8.7109375" style="146"/>
    <col min="12852" max="12852" width="8.85546875" style="146" bestFit="1" customWidth="1"/>
    <col min="12853" max="12859" width="8.7109375" style="146"/>
    <col min="12860" max="12860" width="8.85546875" style="146" bestFit="1" customWidth="1"/>
    <col min="12861" max="12867" width="8.7109375" style="146"/>
    <col min="12868" max="12868" width="8.85546875" style="146" bestFit="1" customWidth="1"/>
    <col min="12869" max="12875" width="8.7109375" style="146"/>
    <col min="12876" max="12876" width="8.85546875" style="146" bestFit="1" customWidth="1"/>
    <col min="12877" max="12883" width="8.7109375" style="146"/>
    <col min="12884" max="12884" width="8.85546875" style="146" bestFit="1" customWidth="1"/>
    <col min="12885" max="12891" width="8.7109375" style="146"/>
    <col min="12892" max="12892" width="8.85546875" style="146" bestFit="1" customWidth="1"/>
    <col min="12893" max="12899" width="8.7109375" style="146"/>
    <col min="12900" max="12900" width="8.85546875" style="146" bestFit="1" customWidth="1"/>
    <col min="12901" max="12907" width="8.7109375" style="146"/>
    <col min="12908" max="12908" width="8.85546875" style="146" bestFit="1" customWidth="1"/>
    <col min="12909" max="12915" width="8.7109375" style="146"/>
    <col min="12916" max="12916" width="8.85546875" style="146" bestFit="1" customWidth="1"/>
    <col min="12917" max="12923" width="8.7109375" style="146"/>
    <col min="12924" max="12924" width="8.85546875" style="146" bestFit="1" customWidth="1"/>
    <col min="12925" max="12931" width="8.7109375" style="146"/>
    <col min="12932" max="12932" width="8.85546875" style="146" bestFit="1" customWidth="1"/>
    <col min="12933" max="12939" width="8.7109375" style="146"/>
    <col min="12940" max="12940" width="8.85546875" style="146" bestFit="1" customWidth="1"/>
    <col min="12941" max="12947" width="8.7109375" style="146"/>
    <col min="12948" max="12948" width="8.85546875" style="146" bestFit="1" customWidth="1"/>
    <col min="12949" max="12955" width="8.7109375" style="146"/>
    <col min="12956" max="12956" width="8.85546875" style="146" bestFit="1" customWidth="1"/>
    <col min="12957" max="12963" width="8.7109375" style="146"/>
    <col min="12964" max="12964" width="8.85546875" style="146" bestFit="1" customWidth="1"/>
    <col min="12965" max="12971" width="8.7109375" style="146"/>
    <col min="12972" max="12972" width="8.85546875" style="146" bestFit="1" customWidth="1"/>
    <col min="12973" max="12979" width="8.7109375" style="146"/>
    <col min="12980" max="12980" width="8.85546875" style="146" bestFit="1" customWidth="1"/>
    <col min="12981" max="12987" width="8.7109375" style="146"/>
    <col min="12988" max="12988" width="8.85546875" style="146" bestFit="1" customWidth="1"/>
    <col min="12989" max="12995" width="8.7109375" style="146"/>
    <col min="12996" max="12996" width="8.85546875" style="146" bestFit="1" customWidth="1"/>
    <col min="12997" max="13003" width="8.7109375" style="146"/>
    <col min="13004" max="13004" width="8.85546875" style="146" bestFit="1" customWidth="1"/>
    <col min="13005" max="13011" width="8.7109375" style="146"/>
    <col min="13012" max="13012" width="8.85546875" style="146" bestFit="1" customWidth="1"/>
    <col min="13013" max="13019" width="8.7109375" style="146"/>
    <col min="13020" max="13020" width="8.85546875" style="146" bestFit="1" customWidth="1"/>
    <col min="13021" max="13027" width="8.7109375" style="146"/>
    <col min="13028" max="13028" width="8.85546875" style="146" bestFit="1" customWidth="1"/>
    <col min="13029" max="13035" width="8.7109375" style="146"/>
    <col min="13036" max="13036" width="8.85546875" style="146" bestFit="1" customWidth="1"/>
    <col min="13037" max="13043" width="8.7109375" style="146"/>
    <col min="13044" max="13044" width="8.85546875" style="146" bestFit="1" customWidth="1"/>
    <col min="13045" max="13051" width="8.7109375" style="146"/>
    <col min="13052" max="13052" width="8.85546875" style="146" bestFit="1" customWidth="1"/>
    <col min="13053" max="13059" width="8.7109375" style="146"/>
    <col min="13060" max="13060" width="8.85546875" style="146" bestFit="1" customWidth="1"/>
    <col min="13061" max="13067" width="8.7109375" style="146"/>
    <col min="13068" max="13068" width="8.85546875" style="146" bestFit="1" customWidth="1"/>
    <col min="13069" max="13075" width="8.7109375" style="146"/>
    <col min="13076" max="13076" width="8.85546875" style="146" bestFit="1" customWidth="1"/>
    <col min="13077" max="13083" width="8.7109375" style="146"/>
    <col min="13084" max="13084" width="8.85546875" style="146" bestFit="1" customWidth="1"/>
    <col min="13085" max="13091" width="8.7109375" style="146"/>
    <col min="13092" max="13092" width="8.85546875" style="146" bestFit="1" customWidth="1"/>
    <col min="13093" max="13099" width="8.7109375" style="146"/>
    <col min="13100" max="13100" width="8.85546875" style="146" bestFit="1" customWidth="1"/>
    <col min="13101" max="13107" width="8.7109375" style="146"/>
    <col min="13108" max="13108" width="8.85546875" style="146" bestFit="1" customWidth="1"/>
    <col min="13109" max="13115" width="8.7109375" style="146"/>
    <col min="13116" max="13116" width="8.85546875" style="146" bestFit="1" customWidth="1"/>
    <col min="13117" max="13123" width="8.7109375" style="146"/>
    <col min="13124" max="13124" width="8.85546875" style="146" bestFit="1" customWidth="1"/>
    <col min="13125" max="13131" width="8.7109375" style="146"/>
    <col min="13132" max="13132" width="8.85546875" style="146" bestFit="1" customWidth="1"/>
    <col min="13133" max="13139" width="8.7109375" style="146"/>
    <col min="13140" max="13140" width="8.85546875" style="146" bestFit="1" customWidth="1"/>
    <col min="13141" max="13147" width="8.7109375" style="146"/>
    <col min="13148" max="13148" width="8.85546875" style="146" bestFit="1" customWidth="1"/>
    <col min="13149" max="13155" width="8.7109375" style="146"/>
    <col min="13156" max="13156" width="8.85546875" style="146" bestFit="1" customWidth="1"/>
    <col min="13157" max="13163" width="8.7109375" style="146"/>
    <col min="13164" max="13164" width="8.85546875" style="146" bestFit="1" customWidth="1"/>
    <col min="13165" max="13171" width="8.7109375" style="146"/>
    <col min="13172" max="13172" width="8.85546875" style="146" bestFit="1" customWidth="1"/>
    <col min="13173" max="13179" width="8.7109375" style="146"/>
    <col min="13180" max="13180" width="8.85546875" style="146" bestFit="1" customWidth="1"/>
    <col min="13181" max="13187" width="8.7109375" style="146"/>
    <col min="13188" max="13188" width="8.85546875" style="146" bestFit="1" customWidth="1"/>
    <col min="13189" max="13195" width="8.7109375" style="146"/>
    <col min="13196" max="13196" width="8.85546875" style="146" bestFit="1" customWidth="1"/>
    <col min="13197" max="13203" width="8.7109375" style="146"/>
    <col min="13204" max="13204" width="8.85546875" style="146" bestFit="1" customWidth="1"/>
    <col min="13205" max="13211" width="8.7109375" style="146"/>
    <col min="13212" max="13212" width="8.85546875" style="146" bestFit="1" customWidth="1"/>
    <col min="13213" max="13219" width="8.7109375" style="146"/>
    <col min="13220" max="13220" width="8.85546875" style="146" bestFit="1" customWidth="1"/>
    <col min="13221" max="13227" width="8.7109375" style="146"/>
    <col min="13228" max="13228" width="8.85546875" style="146" bestFit="1" customWidth="1"/>
    <col min="13229" max="13235" width="8.7109375" style="146"/>
    <col min="13236" max="13236" width="8.85546875" style="146" bestFit="1" customWidth="1"/>
    <col min="13237" max="13243" width="8.7109375" style="146"/>
    <col min="13244" max="13244" width="8.85546875" style="146" bestFit="1" customWidth="1"/>
    <col min="13245" max="13251" width="8.7109375" style="146"/>
    <col min="13252" max="13252" width="8.85546875" style="146" bestFit="1" customWidth="1"/>
    <col min="13253" max="13259" width="8.7109375" style="146"/>
    <col min="13260" max="13260" width="8.85546875" style="146" bestFit="1" customWidth="1"/>
    <col min="13261" max="13267" width="8.7109375" style="146"/>
    <col min="13268" max="13268" width="8.85546875" style="146" bestFit="1" customWidth="1"/>
    <col min="13269" max="13275" width="8.7109375" style="146"/>
    <col min="13276" max="13276" width="8.85546875" style="146" bestFit="1" customWidth="1"/>
    <col min="13277" max="13283" width="8.7109375" style="146"/>
    <col min="13284" max="13284" width="8.85546875" style="146" bestFit="1" customWidth="1"/>
    <col min="13285" max="13291" width="8.7109375" style="146"/>
    <col min="13292" max="13292" width="8.85546875" style="146" bestFit="1" customWidth="1"/>
    <col min="13293" max="13299" width="8.7109375" style="146"/>
    <col min="13300" max="13300" width="8.85546875" style="146" bestFit="1" customWidth="1"/>
    <col min="13301" max="13307" width="8.7109375" style="146"/>
    <col min="13308" max="13308" width="8.85546875" style="146" bestFit="1" customWidth="1"/>
    <col min="13309" max="13315" width="8.7109375" style="146"/>
    <col min="13316" max="13316" width="8.85546875" style="146" bestFit="1" customWidth="1"/>
    <col min="13317" max="13323" width="8.7109375" style="146"/>
    <col min="13324" max="13324" width="8.85546875" style="146" bestFit="1" customWidth="1"/>
    <col min="13325" max="13331" width="8.7109375" style="146"/>
    <col min="13332" max="13332" width="8.85546875" style="146" bestFit="1" customWidth="1"/>
    <col min="13333" max="13339" width="8.7109375" style="146"/>
    <col min="13340" max="13340" width="8.85546875" style="146" bestFit="1" customWidth="1"/>
    <col min="13341" max="13347" width="8.7109375" style="146"/>
    <col min="13348" max="13348" width="8.85546875" style="146" bestFit="1" customWidth="1"/>
    <col min="13349" max="13355" width="8.7109375" style="146"/>
    <col min="13356" max="13356" width="8.85546875" style="146" bestFit="1" customWidth="1"/>
    <col min="13357" max="13363" width="8.7109375" style="146"/>
    <col min="13364" max="13364" width="8.85546875" style="146" bestFit="1" customWidth="1"/>
    <col min="13365" max="13371" width="8.7109375" style="146"/>
    <col min="13372" max="13372" width="8.85546875" style="146" bestFit="1" customWidth="1"/>
    <col min="13373" max="13379" width="8.7109375" style="146"/>
    <col min="13380" max="13380" width="8.85546875" style="146" bestFit="1" customWidth="1"/>
    <col min="13381" max="13387" width="8.7109375" style="146"/>
    <col min="13388" max="13388" width="8.85546875" style="146" bestFit="1" customWidth="1"/>
    <col min="13389" max="13395" width="8.7109375" style="146"/>
    <col min="13396" max="13396" width="8.85546875" style="146" bestFit="1" customWidth="1"/>
    <col min="13397" max="13403" width="8.7109375" style="146"/>
    <col min="13404" max="13404" width="8.85546875" style="146" bestFit="1" customWidth="1"/>
    <col min="13405" max="13411" width="8.7109375" style="146"/>
    <col min="13412" max="13412" width="8.85546875" style="146" bestFit="1" customWidth="1"/>
    <col min="13413" max="13419" width="8.7109375" style="146"/>
    <col min="13420" max="13420" width="8.85546875" style="146" bestFit="1" customWidth="1"/>
    <col min="13421" max="13427" width="8.7109375" style="146"/>
    <col min="13428" max="13428" width="8.85546875" style="146" bestFit="1" customWidth="1"/>
    <col min="13429" max="13435" width="8.7109375" style="146"/>
    <col min="13436" max="13436" width="8.85546875" style="146" bestFit="1" customWidth="1"/>
    <col min="13437" max="13443" width="8.7109375" style="146"/>
    <col min="13444" max="13444" width="8.85546875" style="146" bestFit="1" customWidth="1"/>
    <col min="13445" max="13451" width="8.7109375" style="146"/>
    <col min="13452" max="13452" width="8.85546875" style="146" bestFit="1" customWidth="1"/>
    <col min="13453" max="13459" width="8.7109375" style="146"/>
    <col min="13460" max="13460" width="8.85546875" style="146" bestFit="1" customWidth="1"/>
    <col min="13461" max="13467" width="8.7109375" style="146"/>
    <col min="13468" max="13468" width="8.85546875" style="146" bestFit="1" customWidth="1"/>
    <col min="13469" max="13475" width="8.7109375" style="146"/>
    <col min="13476" max="13476" width="8.85546875" style="146" bestFit="1" customWidth="1"/>
    <col min="13477" max="13483" width="8.7109375" style="146"/>
    <col min="13484" max="13484" width="8.85546875" style="146" bestFit="1" customWidth="1"/>
    <col min="13485" max="13491" width="8.7109375" style="146"/>
    <col min="13492" max="13492" width="8.85546875" style="146" bestFit="1" customWidth="1"/>
    <col min="13493" max="13499" width="8.7109375" style="146"/>
    <col min="13500" max="13500" width="8.85546875" style="146" bestFit="1" customWidth="1"/>
    <col min="13501" max="13507" width="8.7109375" style="146"/>
    <col min="13508" max="13508" width="8.85546875" style="146" bestFit="1" customWidth="1"/>
    <col min="13509" max="13515" width="8.7109375" style="146"/>
    <col min="13516" max="13516" width="8.85546875" style="146" bestFit="1" customWidth="1"/>
    <col min="13517" max="13523" width="8.7109375" style="146"/>
    <col min="13524" max="13524" width="8.85546875" style="146" bestFit="1" customWidth="1"/>
    <col min="13525" max="13531" width="8.7109375" style="146"/>
    <col min="13532" max="13532" width="8.85546875" style="146" bestFit="1" customWidth="1"/>
    <col min="13533" max="13539" width="8.7109375" style="146"/>
    <col min="13540" max="13540" width="8.85546875" style="146" bestFit="1" customWidth="1"/>
    <col min="13541" max="13547" width="8.7109375" style="146"/>
    <col min="13548" max="13548" width="8.85546875" style="146" bestFit="1" customWidth="1"/>
    <col min="13549" max="13555" width="8.7109375" style="146"/>
    <col min="13556" max="13556" width="8.85546875" style="146" bestFit="1" customWidth="1"/>
    <col min="13557" max="13563" width="8.7109375" style="146"/>
    <col min="13564" max="13564" width="8.85546875" style="146" bestFit="1" customWidth="1"/>
    <col min="13565" max="13571" width="8.7109375" style="146"/>
    <col min="13572" max="13572" width="8.85546875" style="146" bestFit="1" customWidth="1"/>
    <col min="13573" max="13579" width="8.7109375" style="146"/>
    <col min="13580" max="13580" width="8.85546875" style="146" bestFit="1" customWidth="1"/>
    <col min="13581" max="13587" width="8.7109375" style="146"/>
    <col min="13588" max="13588" width="8.85546875" style="146" bestFit="1" customWidth="1"/>
    <col min="13589" max="13595" width="8.7109375" style="146"/>
    <col min="13596" max="13596" width="8.85546875" style="146" bestFit="1" customWidth="1"/>
    <col min="13597" max="13603" width="8.7109375" style="146"/>
    <col min="13604" max="13604" width="8.85546875" style="146" bestFit="1" customWidth="1"/>
    <col min="13605" max="13611" width="8.7109375" style="146"/>
    <col min="13612" max="13612" width="8.85546875" style="146" bestFit="1" customWidth="1"/>
    <col min="13613" max="13619" width="8.7109375" style="146"/>
    <col min="13620" max="13620" width="8.85546875" style="146" bestFit="1" customWidth="1"/>
    <col min="13621" max="13627" width="8.7109375" style="146"/>
    <col min="13628" max="13628" width="8.85546875" style="146" bestFit="1" customWidth="1"/>
    <col min="13629" max="13635" width="8.7109375" style="146"/>
    <col min="13636" max="13636" width="8.85546875" style="146" bestFit="1" customWidth="1"/>
    <col min="13637" max="13643" width="8.7109375" style="146"/>
    <col min="13644" max="13644" width="8.85546875" style="146" bestFit="1" customWidth="1"/>
    <col min="13645" max="13651" width="8.7109375" style="146"/>
    <col min="13652" max="13652" width="8.85546875" style="146" bestFit="1" customWidth="1"/>
    <col min="13653" max="13659" width="8.7109375" style="146"/>
    <col min="13660" max="13660" width="8.85546875" style="146" bestFit="1" customWidth="1"/>
    <col min="13661" max="13667" width="8.7109375" style="146"/>
    <col min="13668" max="13668" width="8.85546875" style="146" bestFit="1" customWidth="1"/>
    <col min="13669" max="13675" width="8.7109375" style="146"/>
    <col min="13676" max="13676" width="8.85546875" style="146" bestFit="1" customWidth="1"/>
    <col min="13677" max="13683" width="8.7109375" style="146"/>
    <col min="13684" max="13684" width="8.85546875" style="146" bestFit="1" customWidth="1"/>
    <col min="13685" max="13691" width="8.7109375" style="146"/>
    <col min="13692" max="13692" width="8.85546875" style="146" bestFit="1" customWidth="1"/>
    <col min="13693" max="13699" width="8.7109375" style="146"/>
    <col min="13700" max="13700" width="8.85546875" style="146" bestFit="1" customWidth="1"/>
    <col min="13701" max="13707" width="8.7109375" style="146"/>
    <col min="13708" max="13708" width="8.85546875" style="146" bestFit="1" customWidth="1"/>
    <col min="13709" max="13715" width="8.7109375" style="146"/>
    <col min="13716" max="13716" width="8.85546875" style="146" bestFit="1" customWidth="1"/>
    <col min="13717" max="13723" width="8.7109375" style="146"/>
    <col min="13724" max="13724" width="8.85546875" style="146" bestFit="1" customWidth="1"/>
    <col min="13725" max="13731" width="8.7109375" style="146"/>
    <col min="13732" max="13732" width="8.85546875" style="146" bestFit="1" customWidth="1"/>
    <col min="13733" max="13739" width="8.7109375" style="146"/>
    <col min="13740" max="13740" width="8.85546875" style="146" bestFit="1" customWidth="1"/>
    <col min="13741" max="13747" width="8.7109375" style="146"/>
    <col min="13748" max="13748" width="8.85546875" style="146" bestFit="1" customWidth="1"/>
    <col min="13749" max="13755" width="8.7109375" style="146"/>
    <col min="13756" max="13756" width="8.85546875" style="146" bestFit="1" customWidth="1"/>
    <col min="13757" max="13763" width="8.7109375" style="146"/>
    <col min="13764" max="13764" width="8.85546875" style="146" bestFit="1" customWidth="1"/>
    <col min="13765" max="13771" width="8.7109375" style="146"/>
    <col min="13772" max="13772" width="8.85546875" style="146" bestFit="1" customWidth="1"/>
    <col min="13773" max="13779" width="8.7109375" style="146"/>
    <col min="13780" max="13780" width="8.85546875" style="146" bestFit="1" customWidth="1"/>
    <col min="13781" max="13787" width="8.7109375" style="146"/>
    <col min="13788" max="13788" width="8.85546875" style="146" bestFit="1" customWidth="1"/>
    <col min="13789" max="13795" width="8.7109375" style="146"/>
    <col min="13796" max="13796" width="8.85546875" style="146" bestFit="1" customWidth="1"/>
    <col min="13797" max="13803" width="8.7109375" style="146"/>
    <col min="13804" max="13804" width="8.85546875" style="146" bestFit="1" customWidth="1"/>
    <col min="13805" max="13811" width="8.7109375" style="146"/>
    <col min="13812" max="13812" width="8.85546875" style="146" bestFit="1" customWidth="1"/>
    <col min="13813" max="13819" width="8.7109375" style="146"/>
    <col min="13820" max="13820" width="8.85546875" style="146" bestFit="1" customWidth="1"/>
    <col min="13821" max="13827" width="8.7109375" style="146"/>
    <col min="13828" max="13828" width="8.85546875" style="146" bestFit="1" customWidth="1"/>
    <col min="13829" max="13835" width="8.7109375" style="146"/>
    <col min="13836" max="13836" width="8.85546875" style="146" bestFit="1" customWidth="1"/>
    <col min="13837" max="13843" width="8.7109375" style="146"/>
    <col min="13844" max="13844" width="8.85546875" style="146" bestFit="1" customWidth="1"/>
    <col min="13845" max="13851" width="8.7109375" style="146"/>
    <col min="13852" max="13852" width="8.85546875" style="146" bestFit="1" customWidth="1"/>
    <col min="13853" max="13859" width="8.7109375" style="146"/>
    <col min="13860" max="13860" width="8.85546875" style="146" bestFit="1" customWidth="1"/>
    <col min="13861" max="13867" width="8.7109375" style="146"/>
    <col min="13868" max="13868" width="8.85546875" style="146" bestFit="1" customWidth="1"/>
    <col min="13869" max="13875" width="8.7109375" style="146"/>
    <col min="13876" max="13876" width="8.85546875" style="146" bestFit="1" customWidth="1"/>
    <col min="13877" max="13883" width="8.7109375" style="146"/>
    <col min="13884" max="13884" width="8.85546875" style="146" bestFit="1" customWidth="1"/>
    <col min="13885" max="13891" width="8.7109375" style="146"/>
    <col min="13892" max="13892" width="8.85546875" style="146" bestFit="1" customWidth="1"/>
    <col min="13893" max="13899" width="8.7109375" style="146"/>
    <col min="13900" max="13900" width="8.85546875" style="146" bestFit="1" customWidth="1"/>
    <col min="13901" max="13907" width="8.7109375" style="146"/>
    <col min="13908" max="13908" width="8.85546875" style="146" bestFit="1" customWidth="1"/>
    <col min="13909" max="13915" width="8.7109375" style="146"/>
    <col min="13916" max="13916" width="8.85546875" style="146" bestFit="1" customWidth="1"/>
    <col min="13917" max="13923" width="8.7109375" style="146"/>
    <col min="13924" max="13924" width="8.85546875" style="146" bestFit="1" customWidth="1"/>
    <col min="13925" max="13931" width="8.7109375" style="146"/>
    <col min="13932" max="13932" width="8.85546875" style="146" bestFit="1" customWidth="1"/>
    <col min="13933" max="13939" width="8.7109375" style="146"/>
    <col min="13940" max="13940" width="8.85546875" style="146" bestFit="1" customWidth="1"/>
    <col min="13941" max="13947" width="8.7109375" style="146"/>
    <col min="13948" max="13948" width="8.85546875" style="146" bestFit="1" customWidth="1"/>
    <col min="13949" max="13955" width="8.7109375" style="146"/>
    <col min="13956" max="13956" width="8.85546875" style="146" bestFit="1" customWidth="1"/>
    <col min="13957" max="13963" width="8.7109375" style="146"/>
    <col min="13964" max="13964" width="8.85546875" style="146" bestFit="1" customWidth="1"/>
    <col min="13965" max="13971" width="8.7109375" style="146"/>
    <col min="13972" max="13972" width="8.85546875" style="146" bestFit="1" customWidth="1"/>
    <col min="13973" max="13979" width="8.7109375" style="146"/>
    <col min="13980" max="13980" width="8.85546875" style="146" bestFit="1" customWidth="1"/>
    <col min="13981" max="13987" width="8.7109375" style="146"/>
    <col min="13988" max="13988" width="8.85546875" style="146" bestFit="1" customWidth="1"/>
    <col min="13989" max="13995" width="8.7109375" style="146"/>
    <col min="13996" max="13996" width="8.85546875" style="146" bestFit="1" customWidth="1"/>
    <col min="13997" max="14003" width="8.7109375" style="146"/>
    <col min="14004" max="14004" width="8.85546875" style="146" bestFit="1" customWidth="1"/>
    <col min="14005" max="14011" width="8.7109375" style="146"/>
    <col min="14012" max="14012" width="8.85546875" style="146" bestFit="1" customWidth="1"/>
    <col min="14013" max="14019" width="8.7109375" style="146"/>
    <col min="14020" max="14020" width="8.85546875" style="146" bestFit="1" customWidth="1"/>
    <col min="14021" max="14027" width="8.7109375" style="146"/>
    <col min="14028" max="14028" width="8.85546875" style="146" bestFit="1" customWidth="1"/>
    <col min="14029" max="14035" width="8.7109375" style="146"/>
    <col min="14036" max="14036" width="8.85546875" style="146" bestFit="1" customWidth="1"/>
    <col min="14037" max="14043" width="8.7109375" style="146"/>
    <col min="14044" max="14044" width="8.85546875" style="146" bestFit="1" customWidth="1"/>
    <col min="14045" max="14051" width="8.7109375" style="146"/>
    <col min="14052" max="14052" width="8.85546875" style="146" bestFit="1" customWidth="1"/>
    <col min="14053" max="14059" width="8.7109375" style="146"/>
    <col min="14060" max="14060" width="8.85546875" style="146" bestFit="1" customWidth="1"/>
    <col min="14061" max="14067" width="8.7109375" style="146"/>
    <col min="14068" max="14068" width="8.85546875" style="146" bestFit="1" customWidth="1"/>
    <col min="14069" max="14075" width="8.7109375" style="146"/>
    <col min="14076" max="14076" width="8.85546875" style="146" bestFit="1" customWidth="1"/>
    <col min="14077" max="14083" width="8.7109375" style="146"/>
    <col min="14084" max="14084" width="8.85546875" style="146" bestFit="1" customWidth="1"/>
    <col min="14085" max="14091" width="8.7109375" style="146"/>
    <col min="14092" max="14092" width="8.85546875" style="146" bestFit="1" customWidth="1"/>
    <col min="14093" max="14099" width="8.7109375" style="146"/>
    <col min="14100" max="14100" width="8.85546875" style="146" bestFit="1" customWidth="1"/>
    <col min="14101" max="14107" width="8.7109375" style="146"/>
    <col min="14108" max="14108" width="8.85546875" style="146" bestFit="1" customWidth="1"/>
    <col min="14109" max="14115" width="8.7109375" style="146"/>
    <col min="14116" max="14116" width="8.85546875" style="146" bestFit="1" customWidth="1"/>
    <col min="14117" max="14123" width="8.7109375" style="146"/>
    <col min="14124" max="14124" width="8.85546875" style="146" bestFit="1" customWidth="1"/>
    <col min="14125" max="14131" width="8.7109375" style="146"/>
    <col min="14132" max="14132" width="8.85546875" style="146" bestFit="1" customWidth="1"/>
    <col min="14133" max="14139" width="8.7109375" style="146"/>
    <col min="14140" max="14140" width="8.85546875" style="146" bestFit="1" customWidth="1"/>
    <col min="14141" max="14147" width="8.7109375" style="146"/>
    <col min="14148" max="14148" width="8.85546875" style="146" bestFit="1" customWidth="1"/>
    <col min="14149" max="14155" width="8.7109375" style="146"/>
    <col min="14156" max="14156" width="8.85546875" style="146" bestFit="1" customWidth="1"/>
    <col min="14157" max="14163" width="8.7109375" style="146"/>
    <col min="14164" max="14164" width="8.85546875" style="146" bestFit="1" customWidth="1"/>
    <col min="14165" max="14171" width="8.7109375" style="146"/>
    <col min="14172" max="14172" width="8.85546875" style="146" bestFit="1" customWidth="1"/>
    <col min="14173" max="14179" width="8.7109375" style="146"/>
    <col min="14180" max="14180" width="8.85546875" style="146" bestFit="1" customWidth="1"/>
    <col min="14181" max="14187" width="8.7109375" style="146"/>
    <col min="14188" max="14188" width="8.85546875" style="146" bestFit="1" customWidth="1"/>
    <col min="14189" max="14195" width="8.7109375" style="146"/>
    <col min="14196" max="14196" width="8.85546875" style="146" bestFit="1" customWidth="1"/>
    <col min="14197" max="14203" width="8.7109375" style="146"/>
    <col min="14204" max="14204" width="8.85546875" style="146" bestFit="1" customWidth="1"/>
    <col min="14205" max="14211" width="8.7109375" style="146"/>
    <col min="14212" max="14212" width="8.85546875" style="146" bestFit="1" customWidth="1"/>
    <col min="14213" max="14219" width="8.7109375" style="146"/>
    <col min="14220" max="14220" width="8.85546875" style="146" bestFit="1" customWidth="1"/>
    <col min="14221" max="14227" width="8.7109375" style="146"/>
    <col min="14228" max="14228" width="8.85546875" style="146" bestFit="1" customWidth="1"/>
    <col min="14229" max="14235" width="8.7109375" style="146"/>
    <col min="14236" max="14236" width="8.85546875" style="146" bestFit="1" customWidth="1"/>
    <col min="14237" max="14243" width="8.7109375" style="146"/>
    <col min="14244" max="14244" width="8.85546875" style="146" bestFit="1" customWidth="1"/>
    <col min="14245" max="14251" width="8.7109375" style="146"/>
    <col min="14252" max="14252" width="8.85546875" style="146" bestFit="1" customWidth="1"/>
    <col min="14253" max="14259" width="8.7109375" style="146"/>
    <col min="14260" max="14260" width="8.85546875" style="146" bestFit="1" customWidth="1"/>
    <col min="14261" max="14267" width="8.7109375" style="146"/>
    <col min="14268" max="14268" width="8.85546875" style="146" bestFit="1" customWidth="1"/>
    <col min="14269" max="14275" width="8.7109375" style="146"/>
    <col min="14276" max="14276" width="8.85546875" style="146" bestFit="1" customWidth="1"/>
    <col min="14277" max="14283" width="8.7109375" style="146"/>
    <col min="14284" max="14284" width="8.85546875" style="146" bestFit="1" customWidth="1"/>
    <col min="14285" max="14291" width="8.7109375" style="146"/>
    <col min="14292" max="14292" width="8.85546875" style="146" bestFit="1" customWidth="1"/>
    <col min="14293" max="14299" width="8.7109375" style="146"/>
    <col min="14300" max="14300" width="8.85546875" style="146" bestFit="1" customWidth="1"/>
    <col min="14301" max="14307" width="8.7109375" style="146"/>
    <col min="14308" max="14308" width="8.85546875" style="146" bestFit="1" customWidth="1"/>
    <col min="14309" max="14315" width="8.7109375" style="146"/>
    <col min="14316" max="14316" width="8.85546875" style="146" bestFit="1" customWidth="1"/>
    <col min="14317" max="14323" width="8.7109375" style="146"/>
    <col min="14324" max="14324" width="8.85546875" style="146" bestFit="1" customWidth="1"/>
    <col min="14325" max="14331" width="8.7109375" style="146"/>
    <col min="14332" max="14332" width="8.85546875" style="146" bestFit="1" customWidth="1"/>
    <col min="14333" max="14339" width="8.7109375" style="146"/>
    <col min="14340" max="14340" width="8.85546875" style="146" bestFit="1" customWidth="1"/>
    <col min="14341" max="14347" width="8.7109375" style="146"/>
    <col min="14348" max="14348" width="8.85546875" style="146" bestFit="1" customWidth="1"/>
    <col min="14349" max="14355" width="8.7109375" style="146"/>
    <col min="14356" max="14356" width="8.85546875" style="146" bestFit="1" customWidth="1"/>
    <col min="14357" max="14363" width="8.7109375" style="146"/>
    <col min="14364" max="14364" width="8.85546875" style="146" bestFit="1" customWidth="1"/>
    <col min="14365" max="14371" width="8.7109375" style="146"/>
    <col min="14372" max="14372" width="8.85546875" style="146" bestFit="1" customWidth="1"/>
    <col min="14373" max="14379" width="8.7109375" style="146"/>
    <col min="14380" max="14380" width="8.85546875" style="146" bestFit="1" customWidth="1"/>
    <col min="14381" max="14387" width="8.7109375" style="146"/>
    <col min="14388" max="14388" width="8.85546875" style="146" bestFit="1" customWidth="1"/>
    <col min="14389" max="14395" width="8.7109375" style="146"/>
    <col min="14396" max="14396" width="8.85546875" style="146" bestFit="1" customWidth="1"/>
    <col min="14397" max="14403" width="8.7109375" style="146"/>
    <col min="14404" max="14404" width="8.85546875" style="146" bestFit="1" customWidth="1"/>
    <col min="14405" max="14411" width="8.7109375" style="146"/>
    <col min="14412" max="14412" width="8.85546875" style="146" bestFit="1" customWidth="1"/>
    <col min="14413" max="14419" width="8.7109375" style="146"/>
    <col min="14420" max="14420" width="8.85546875" style="146" bestFit="1" customWidth="1"/>
    <col min="14421" max="14427" width="8.7109375" style="146"/>
    <col min="14428" max="14428" width="8.85546875" style="146" bestFit="1" customWidth="1"/>
    <col min="14429" max="14435" width="8.7109375" style="146"/>
    <col min="14436" max="14436" width="8.85546875" style="146" bestFit="1" customWidth="1"/>
    <col min="14437" max="14443" width="8.7109375" style="146"/>
    <col min="14444" max="14444" width="8.85546875" style="146" bestFit="1" customWidth="1"/>
    <col min="14445" max="14451" width="8.7109375" style="146"/>
    <col min="14452" max="14452" width="8.85546875" style="146" bestFit="1" customWidth="1"/>
    <col min="14453" max="14459" width="8.7109375" style="146"/>
    <col min="14460" max="14460" width="8.85546875" style="146" bestFit="1" customWidth="1"/>
    <col min="14461" max="14467" width="8.7109375" style="146"/>
    <col min="14468" max="14468" width="8.85546875" style="146" bestFit="1" customWidth="1"/>
    <col min="14469" max="14475" width="8.7109375" style="146"/>
    <col min="14476" max="14476" width="8.85546875" style="146" bestFit="1" customWidth="1"/>
    <col min="14477" max="14483" width="8.7109375" style="146"/>
    <col min="14484" max="14484" width="8.85546875" style="146" bestFit="1" customWidth="1"/>
    <col min="14485" max="14491" width="8.7109375" style="146"/>
    <col min="14492" max="14492" width="8.85546875" style="146" bestFit="1" customWidth="1"/>
    <col min="14493" max="14499" width="8.7109375" style="146"/>
    <col min="14500" max="14500" width="8.85546875" style="146" bestFit="1" customWidth="1"/>
    <col min="14501" max="14507" width="8.7109375" style="146"/>
    <col min="14508" max="14508" width="8.85546875" style="146" bestFit="1" customWidth="1"/>
    <col min="14509" max="14515" width="8.7109375" style="146"/>
    <col min="14516" max="14516" width="8.85546875" style="146" bestFit="1" customWidth="1"/>
    <col min="14517" max="14523" width="8.7109375" style="146"/>
    <col min="14524" max="14524" width="8.85546875" style="146" bestFit="1" customWidth="1"/>
    <col min="14525" max="14531" width="8.7109375" style="146"/>
    <col min="14532" max="14532" width="8.85546875" style="146" bestFit="1" customWidth="1"/>
    <col min="14533" max="14539" width="8.7109375" style="146"/>
    <col min="14540" max="14540" width="8.85546875" style="146" bestFit="1" customWidth="1"/>
    <col min="14541" max="14547" width="8.7109375" style="146"/>
    <col min="14548" max="14548" width="8.85546875" style="146" bestFit="1" customWidth="1"/>
    <col min="14549" max="14555" width="8.7109375" style="146"/>
    <col min="14556" max="14556" width="8.85546875" style="146" bestFit="1" customWidth="1"/>
    <col min="14557" max="14563" width="8.7109375" style="146"/>
    <col min="14564" max="14564" width="8.85546875" style="146" bestFit="1" customWidth="1"/>
    <col min="14565" max="14571" width="8.7109375" style="146"/>
    <col min="14572" max="14572" width="8.85546875" style="146" bestFit="1" customWidth="1"/>
    <col min="14573" max="14579" width="8.7109375" style="146"/>
    <col min="14580" max="14580" width="8.85546875" style="146" bestFit="1" customWidth="1"/>
    <col min="14581" max="14587" width="8.7109375" style="146"/>
    <col min="14588" max="14588" width="8.85546875" style="146" bestFit="1" customWidth="1"/>
    <col min="14589" max="14595" width="8.7109375" style="146"/>
    <col min="14596" max="14596" width="8.85546875" style="146" bestFit="1" customWidth="1"/>
    <col min="14597" max="14603" width="8.7109375" style="146"/>
    <col min="14604" max="14604" width="8.85546875" style="146" bestFit="1" customWidth="1"/>
    <col min="14605" max="14611" width="8.7109375" style="146"/>
    <col min="14612" max="14612" width="8.85546875" style="146" bestFit="1" customWidth="1"/>
    <col min="14613" max="14619" width="8.7109375" style="146"/>
    <col min="14620" max="14620" width="8.85546875" style="146" bestFit="1" customWidth="1"/>
    <col min="14621" max="14627" width="8.7109375" style="146"/>
    <col min="14628" max="14628" width="8.85546875" style="146" bestFit="1" customWidth="1"/>
    <col min="14629" max="14635" width="8.7109375" style="146"/>
    <col min="14636" max="14636" width="8.85546875" style="146" bestFit="1" customWidth="1"/>
    <col min="14637" max="14643" width="8.7109375" style="146"/>
    <col min="14644" max="14644" width="8.85546875" style="146" bestFit="1" customWidth="1"/>
    <col min="14645" max="14651" width="8.7109375" style="146"/>
    <col min="14652" max="14652" width="8.85546875" style="146" bestFit="1" customWidth="1"/>
    <col min="14653" max="14659" width="8.7109375" style="146"/>
    <col min="14660" max="14660" width="8.85546875" style="146" bestFit="1" customWidth="1"/>
    <col min="14661" max="14667" width="8.7109375" style="146"/>
    <col min="14668" max="14668" width="8.85546875" style="146" bestFit="1" customWidth="1"/>
    <col min="14669" max="14675" width="8.7109375" style="146"/>
    <col min="14676" max="14676" width="8.85546875" style="146" bestFit="1" customWidth="1"/>
    <col min="14677" max="14683" width="8.7109375" style="146"/>
    <col min="14684" max="14684" width="8.85546875" style="146" bestFit="1" customWidth="1"/>
    <col min="14685" max="14691" width="8.7109375" style="146"/>
    <col min="14692" max="14692" width="8.85546875" style="146" bestFit="1" customWidth="1"/>
    <col min="14693" max="14699" width="8.7109375" style="146"/>
    <col min="14700" max="14700" width="8.85546875" style="146" bestFit="1" customWidth="1"/>
    <col min="14701" max="14707" width="8.7109375" style="146"/>
    <col min="14708" max="14708" width="8.85546875" style="146" bestFit="1" customWidth="1"/>
    <col min="14709" max="14715" width="8.7109375" style="146"/>
    <col min="14716" max="14716" width="8.85546875" style="146" bestFit="1" customWidth="1"/>
    <col min="14717" max="14723" width="8.7109375" style="146"/>
    <col min="14724" max="14724" width="8.85546875" style="146" bestFit="1" customWidth="1"/>
    <col min="14725" max="14731" width="8.7109375" style="146"/>
    <col min="14732" max="14732" width="8.85546875" style="146" bestFit="1" customWidth="1"/>
    <col min="14733" max="14739" width="8.7109375" style="146"/>
    <col min="14740" max="14740" width="8.85546875" style="146" bestFit="1" customWidth="1"/>
    <col min="14741" max="14747" width="8.7109375" style="146"/>
    <col min="14748" max="14748" width="8.85546875" style="146" bestFit="1" customWidth="1"/>
    <col min="14749" max="14755" width="8.7109375" style="146"/>
    <col min="14756" max="14756" width="8.85546875" style="146" bestFit="1" customWidth="1"/>
    <col min="14757" max="14763" width="8.7109375" style="146"/>
    <col min="14764" max="14764" width="8.85546875" style="146" bestFit="1" customWidth="1"/>
    <col min="14765" max="14771" width="8.7109375" style="146"/>
    <col min="14772" max="14772" width="8.85546875" style="146" bestFit="1" customWidth="1"/>
    <col min="14773" max="14779" width="8.7109375" style="146"/>
    <col min="14780" max="14780" width="8.85546875" style="146" bestFit="1" customWidth="1"/>
    <col min="14781" max="14787" width="8.7109375" style="146"/>
    <col min="14788" max="14788" width="8.85546875" style="146" bestFit="1" customWidth="1"/>
    <col min="14789" max="14795" width="8.7109375" style="146"/>
    <col min="14796" max="14796" width="8.85546875" style="146" bestFit="1" customWidth="1"/>
    <col min="14797" max="14803" width="8.7109375" style="146"/>
    <col min="14804" max="14804" width="8.85546875" style="146" bestFit="1" customWidth="1"/>
    <col min="14805" max="14811" width="8.7109375" style="146"/>
    <col min="14812" max="14812" width="8.85546875" style="146" bestFit="1" customWidth="1"/>
    <col min="14813" max="14819" width="8.7109375" style="146"/>
    <col min="14820" max="14820" width="8.85546875" style="146" bestFit="1" customWidth="1"/>
    <col min="14821" max="14827" width="8.7109375" style="146"/>
    <col min="14828" max="14828" width="8.85546875" style="146" bestFit="1" customWidth="1"/>
    <col min="14829" max="14835" width="8.7109375" style="146"/>
    <col min="14836" max="14836" width="8.85546875" style="146" bestFit="1" customWidth="1"/>
    <col min="14837" max="14843" width="8.7109375" style="146"/>
    <col min="14844" max="14844" width="8.85546875" style="146" bestFit="1" customWidth="1"/>
    <col min="14845" max="14851" width="8.7109375" style="146"/>
    <col min="14852" max="14852" width="8.85546875" style="146" bestFit="1" customWidth="1"/>
    <col min="14853" max="14859" width="8.7109375" style="146"/>
    <col min="14860" max="14860" width="8.85546875" style="146" bestFit="1" customWidth="1"/>
    <col min="14861" max="14867" width="8.7109375" style="146"/>
    <col min="14868" max="14868" width="8.85546875" style="146" bestFit="1" customWidth="1"/>
    <col min="14869" max="14875" width="8.7109375" style="146"/>
    <col min="14876" max="14876" width="8.85546875" style="146" bestFit="1" customWidth="1"/>
    <col min="14877" max="14883" width="8.7109375" style="146"/>
    <col min="14884" max="14884" width="8.85546875" style="146" bestFit="1" customWidth="1"/>
    <col min="14885" max="14891" width="8.7109375" style="146"/>
    <col min="14892" max="14892" width="8.85546875" style="146" bestFit="1" customWidth="1"/>
    <col min="14893" max="14899" width="8.7109375" style="146"/>
    <col min="14900" max="14900" width="8.85546875" style="146" bestFit="1" customWidth="1"/>
    <col min="14901" max="14907" width="8.7109375" style="146"/>
    <col min="14908" max="14908" width="8.85546875" style="146" bestFit="1" customWidth="1"/>
    <col min="14909" max="14915" width="8.7109375" style="146"/>
    <col min="14916" max="14916" width="8.85546875" style="146" bestFit="1" customWidth="1"/>
    <col min="14917" max="14923" width="8.7109375" style="146"/>
    <col min="14924" max="14924" width="8.85546875" style="146" bestFit="1" customWidth="1"/>
    <col min="14925" max="14931" width="8.7109375" style="146"/>
    <col min="14932" max="14932" width="8.85546875" style="146" bestFit="1" customWidth="1"/>
    <col min="14933" max="14939" width="8.7109375" style="146"/>
    <col min="14940" max="14940" width="8.85546875" style="146" bestFit="1" customWidth="1"/>
    <col min="14941" max="14947" width="8.7109375" style="146"/>
    <col min="14948" max="14948" width="8.85546875" style="146" bestFit="1" customWidth="1"/>
    <col min="14949" max="14955" width="8.7109375" style="146"/>
    <col min="14956" max="14956" width="8.85546875" style="146" bestFit="1" customWidth="1"/>
    <col min="14957" max="14963" width="8.7109375" style="146"/>
    <col min="14964" max="14964" width="8.85546875" style="146" bestFit="1" customWidth="1"/>
    <col min="14965" max="14971" width="8.7109375" style="146"/>
    <col min="14972" max="14972" width="8.85546875" style="146" bestFit="1" customWidth="1"/>
    <col min="14973" max="14979" width="8.7109375" style="146"/>
    <col min="14980" max="14980" width="8.85546875" style="146" bestFit="1" customWidth="1"/>
    <col min="14981" max="14987" width="8.7109375" style="146"/>
    <col min="14988" max="14988" width="8.85546875" style="146" bestFit="1" customWidth="1"/>
    <col min="14989" max="14995" width="8.7109375" style="146"/>
    <col min="14996" max="14996" width="8.85546875" style="146" bestFit="1" customWidth="1"/>
    <col min="14997" max="15003" width="8.7109375" style="146"/>
    <col min="15004" max="15004" width="8.85546875" style="146" bestFit="1" customWidth="1"/>
    <col min="15005" max="15011" width="8.7109375" style="146"/>
    <col min="15012" max="15012" width="8.85546875" style="146" bestFit="1" customWidth="1"/>
    <col min="15013" max="15019" width="8.7109375" style="146"/>
    <col min="15020" max="15020" width="8.85546875" style="146" bestFit="1" customWidth="1"/>
    <col min="15021" max="15027" width="8.7109375" style="146"/>
    <col min="15028" max="15028" width="8.85546875" style="146" bestFit="1" customWidth="1"/>
    <col min="15029" max="15035" width="8.7109375" style="146"/>
    <col min="15036" max="15036" width="8.85546875" style="146" bestFit="1" customWidth="1"/>
    <col min="15037" max="15043" width="8.7109375" style="146"/>
    <col min="15044" max="15044" width="8.85546875" style="146" bestFit="1" customWidth="1"/>
    <col min="15045" max="15051" width="8.7109375" style="146"/>
    <col min="15052" max="15052" width="8.85546875" style="146" bestFit="1" customWidth="1"/>
    <col min="15053" max="15059" width="8.7109375" style="146"/>
    <col min="15060" max="15060" width="8.85546875" style="146" bestFit="1" customWidth="1"/>
    <col min="15061" max="15067" width="8.7109375" style="146"/>
    <col min="15068" max="15068" width="8.85546875" style="146" bestFit="1" customWidth="1"/>
    <col min="15069" max="15075" width="8.7109375" style="146"/>
    <col min="15076" max="15076" width="8.85546875" style="146" bestFit="1" customWidth="1"/>
    <col min="15077" max="15083" width="8.7109375" style="146"/>
    <col min="15084" max="15084" width="8.85546875" style="146" bestFit="1" customWidth="1"/>
    <col min="15085" max="15091" width="8.7109375" style="146"/>
    <col min="15092" max="15092" width="8.85546875" style="146" bestFit="1" customWidth="1"/>
    <col min="15093" max="15099" width="8.7109375" style="146"/>
    <col min="15100" max="15100" width="8.85546875" style="146" bestFit="1" customWidth="1"/>
    <col min="15101" max="15107" width="8.7109375" style="146"/>
    <col min="15108" max="15108" width="8.85546875" style="146" bestFit="1" customWidth="1"/>
    <col min="15109" max="15115" width="8.7109375" style="146"/>
    <col min="15116" max="15116" width="8.85546875" style="146" bestFit="1" customWidth="1"/>
    <col min="15117" max="15123" width="8.7109375" style="146"/>
    <col min="15124" max="15124" width="8.85546875" style="146" bestFit="1" customWidth="1"/>
    <col min="15125" max="15131" width="8.7109375" style="146"/>
    <col min="15132" max="15132" width="8.85546875" style="146" bestFit="1" customWidth="1"/>
    <col min="15133" max="15139" width="8.7109375" style="146"/>
    <col min="15140" max="15140" width="8.85546875" style="146" bestFit="1" customWidth="1"/>
    <col min="15141" max="15147" width="8.7109375" style="146"/>
    <col min="15148" max="15148" width="8.85546875" style="146" bestFit="1" customWidth="1"/>
    <col min="15149" max="15155" width="8.7109375" style="146"/>
    <col min="15156" max="15156" width="8.85546875" style="146" bestFit="1" customWidth="1"/>
    <col min="15157" max="15163" width="8.7109375" style="146"/>
    <col min="15164" max="15164" width="8.85546875" style="146" bestFit="1" customWidth="1"/>
    <col min="15165" max="15171" width="8.7109375" style="146"/>
    <col min="15172" max="15172" width="8.85546875" style="146" bestFit="1" customWidth="1"/>
    <col min="15173" max="15179" width="8.7109375" style="146"/>
    <col min="15180" max="15180" width="8.85546875" style="146" bestFit="1" customWidth="1"/>
    <col min="15181" max="15187" width="8.7109375" style="146"/>
    <col min="15188" max="15188" width="8.85546875" style="146" bestFit="1" customWidth="1"/>
    <col min="15189" max="15195" width="8.7109375" style="146"/>
    <col min="15196" max="15196" width="8.85546875" style="146" bestFit="1" customWidth="1"/>
    <col min="15197" max="15203" width="8.7109375" style="146"/>
    <col min="15204" max="15204" width="8.85546875" style="146" bestFit="1" customWidth="1"/>
    <col min="15205" max="15211" width="8.7109375" style="146"/>
    <col min="15212" max="15212" width="8.85546875" style="146" bestFit="1" customWidth="1"/>
    <col min="15213" max="15219" width="8.7109375" style="146"/>
    <col min="15220" max="15220" width="8.85546875" style="146" bestFit="1" customWidth="1"/>
    <col min="15221" max="15227" width="8.7109375" style="146"/>
    <col min="15228" max="15228" width="8.85546875" style="146" bestFit="1" customWidth="1"/>
    <col min="15229" max="15235" width="8.7109375" style="146"/>
    <col min="15236" max="15236" width="8.85546875" style="146" bestFit="1" customWidth="1"/>
    <col min="15237" max="15243" width="8.7109375" style="146"/>
    <col min="15244" max="15244" width="8.85546875" style="146" bestFit="1" customWidth="1"/>
    <col min="15245" max="15251" width="8.7109375" style="146"/>
    <col min="15252" max="15252" width="8.85546875" style="146" bestFit="1" customWidth="1"/>
    <col min="15253" max="15259" width="8.7109375" style="146"/>
    <col min="15260" max="15260" width="8.85546875" style="146" bestFit="1" customWidth="1"/>
    <col min="15261" max="15267" width="8.7109375" style="146"/>
    <col min="15268" max="15268" width="8.85546875" style="146" bestFit="1" customWidth="1"/>
    <col min="15269" max="15275" width="8.7109375" style="146"/>
    <col min="15276" max="15276" width="8.85546875" style="146" bestFit="1" customWidth="1"/>
    <col min="15277" max="15283" width="8.7109375" style="146"/>
    <col min="15284" max="15284" width="8.85546875" style="146" bestFit="1" customWidth="1"/>
    <col min="15285" max="15291" width="8.7109375" style="146"/>
    <col min="15292" max="15292" width="8.85546875" style="146" bestFit="1" customWidth="1"/>
    <col min="15293" max="15299" width="8.7109375" style="146"/>
    <col min="15300" max="15300" width="8.85546875" style="146" bestFit="1" customWidth="1"/>
    <col min="15301" max="15307" width="8.7109375" style="146"/>
    <col min="15308" max="15308" width="8.85546875" style="146" bestFit="1" customWidth="1"/>
    <col min="15309" max="15315" width="8.7109375" style="146"/>
    <col min="15316" max="15316" width="8.85546875" style="146" bestFit="1" customWidth="1"/>
    <col min="15317" max="15323" width="8.7109375" style="146"/>
    <col min="15324" max="15324" width="8.85546875" style="146" bestFit="1" customWidth="1"/>
    <col min="15325" max="15331" width="8.7109375" style="146"/>
    <col min="15332" max="15332" width="8.85546875" style="146" bestFit="1" customWidth="1"/>
    <col min="15333" max="15339" width="8.7109375" style="146"/>
    <col min="15340" max="15340" width="8.85546875" style="146" bestFit="1" customWidth="1"/>
    <col min="15341" max="15347" width="8.7109375" style="146"/>
    <col min="15348" max="15348" width="8.85546875" style="146" bestFit="1" customWidth="1"/>
    <col min="15349" max="15355" width="8.7109375" style="146"/>
    <col min="15356" max="15356" width="8.85546875" style="146" bestFit="1" customWidth="1"/>
    <col min="15357" max="15363" width="8.7109375" style="146"/>
    <col min="15364" max="15364" width="8.85546875" style="146" bestFit="1" customWidth="1"/>
    <col min="15365" max="15371" width="8.7109375" style="146"/>
    <col min="15372" max="15372" width="8.85546875" style="146" bestFit="1" customWidth="1"/>
    <col min="15373" max="15379" width="8.7109375" style="146"/>
    <col min="15380" max="15380" width="8.85546875" style="146" bestFit="1" customWidth="1"/>
    <col min="15381" max="15387" width="8.7109375" style="146"/>
    <col min="15388" max="15388" width="8.85546875" style="146" bestFit="1" customWidth="1"/>
    <col min="15389" max="15395" width="8.7109375" style="146"/>
    <col min="15396" max="15396" width="8.85546875" style="146" bestFit="1" customWidth="1"/>
    <col min="15397" max="15403" width="8.7109375" style="146"/>
    <col min="15404" max="15404" width="8.85546875" style="146" bestFit="1" customWidth="1"/>
    <col min="15405" max="15411" width="8.7109375" style="146"/>
    <col min="15412" max="15412" width="8.85546875" style="146" bestFit="1" customWidth="1"/>
    <col min="15413" max="15419" width="8.7109375" style="146"/>
    <col min="15420" max="15420" width="8.85546875" style="146" bestFit="1" customWidth="1"/>
    <col min="15421" max="15427" width="8.7109375" style="146"/>
    <col min="15428" max="15428" width="8.85546875" style="146" bestFit="1" customWidth="1"/>
    <col min="15429" max="15435" width="8.7109375" style="146"/>
    <col min="15436" max="15436" width="8.85546875" style="146" bestFit="1" customWidth="1"/>
    <col min="15437" max="15443" width="8.7109375" style="146"/>
    <col min="15444" max="15444" width="8.85546875" style="146" bestFit="1" customWidth="1"/>
    <col min="15445" max="15451" width="8.7109375" style="146"/>
    <col min="15452" max="15452" width="8.85546875" style="146" bestFit="1" customWidth="1"/>
    <col min="15453" max="15459" width="8.7109375" style="146"/>
    <col min="15460" max="15460" width="8.85546875" style="146" bestFit="1" customWidth="1"/>
    <col min="15461" max="15467" width="8.7109375" style="146"/>
    <col min="15468" max="15468" width="8.85546875" style="146" bestFit="1" customWidth="1"/>
    <col min="15469" max="15475" width="8.7109375" style="146"/>
    <col min="15476" max="15476" width="8.85546875" style="146" bestFit="1" customWidth="1"/>
    <col min="15477" max="15483" width="8.7109375" style="146"/>
    <col min="15484" max="15484" width="8.85546875" style="146" bestFit="1" customWidth="1"/>
    <col min="15485" max="15491" width="8.7109375" style="146"/>
    <col min="15492" max="15492" width="8.85546875" style="146" bestFit="1" customWidth="1"/>
    <col min="15493" max="15499" width="8.7109375" style="146"/>
    <col min="15500" max="15500" width="8.85546875" style="146" bestFit="1" customWidth="1"/>
    <col min="15501" max="15507" width="8.7109375" style="146"/>
    <col min="15508" max="15508" width="8.85546875" style="146" bestFit="1" customWidth="1"/>
    <col min="15509" max="15515" width="8.7109375" style="146"/>
    <col min="15516" max="15516" width="8.85546875" style="146" bestFit="1" customWidth="1"/>
    <col min="15517" max="15523" width="8.7109375" style="146"/>
    <col min="15524" max="15524" width="8.85546875" style="146" bestFit="1" customWidth="1"/>
    <col min="15525" max="15531" width="8.7109375" style="146"/>
    <col min="15532" max="15532" width="8.85546875" style="146" bestFit="1" customWidth="1"/>
    <col min="15533" max="15539" width="8.7109375" style="146"/>
    <col min="15540" max="15540" width="8.85546875" style="146" bestFit="1" customWidth="1"/>
    <col min="15541" max="15547" width="8.7109375" style="146"/>
    <col min="15548" max="15548" width="8.85546875" style="146" bestFit="1" customWidth="1"/>
    <col min="15549" max="15555" width="8.7109375" style="146"/>
    <col min="15556" max="15556" width="8.85546875" style="146" bestFit="1" customWidth="1"/>
    <col min="15557" max="15563" width="8.7109375" style="146"/>
    <col min="15564" max="15564" width="8.85546875" style="146" bestFit="1" customWidth="1"/>
    <col min="15565" max="15571" width="8.7109375" style="146"/>
    <col min="15572" max="15572" width="8.85546875" style="146" bestFit="1" customWidth="1"/>
    <col min="15573" max="15579" width="8.7109375" style="146"/>
    <col min="15580" max="15580" width="8.85546875" style="146" bestFit="1" customWidth="1"/>
    <col min="15581" max="15587" width="8.7109375" style="146"/>
    <col min="15588" max="15588" width="8.85546875" style="146" bestFit="1" customWidth="1"/>
    <col min="15589" max="15595" width="8.7109375" style="146"/>
    <col min="15596" max="15596" width="8.85546875" style="146" bestFit="1" customWidth="1"/>
    <col min="15597" max="15603" width="8.7109375" style="146"/>
    <col min="15604" max="15604" width="8.85546875" style="146" bestFit="1" customWidth="1"/>
    <col min="15605" max="15611" width="8.7109375" style="146"/>
    <col min="15612" max="15612" width="8.85546875" style="146" bestFit="1" customWidth="1"/>
    <col min="15613" max="15619" width="8.7109375" style="146"/>
    <col min="15620" max="15620" width="8.85546875" style="146" bestFit="1" customWidth="1"/>
    <col min="15621" max="15627" width="8.7109375" style="146"/>
    <col min="15628" max="15628" width="8.85546875" style="146" bestFit="1" customWidth="1"/>
    <col min="15629" max="15635" width="8.7109375" style="146"/>
    <col min="15636" max="15636" width="8.85546875" style="146" bestFit="1" customWidth="1"/>
    <col min="15637" max="15643" width="8.7109375" style="146"/>
    <col min="15644" max="15644" width="8.85546875" style="146" bestFit="1" customWidth="1"/>
    <col min="15645" max="15651" width="8.7109375" style="146"/>
    <col min="15652" max="15652" width="8.85546875" style="146" bestFit="1" customWidth="1"/>
    <col min="15653" max="15659" width="8.7109375" style="146"/>
    <col min="15660" max="15660" width="8.85546875" style="146" bestFit="1" customWidth="1"/>
    <col min="15661" max="15667" width="8.7109375" style="146"/>
    <col min="15668" max="15668" width="8.85546875" style="146" bestFit="1" customWidth="1"/>
    <col min="15669" max="15675" width="8.7109375" style="146"/>
    <col min="15676" max="15676" width="8.85546875" style="146" bestFit="1" customWidth="1"/>
    <col min="15677" max="15683" width="8.7109375" style="146"/>
    <col min="15684" max="15684" width="8.85546875" style="146" bestFit="1" customWidth="1"/>
    <col min="15685" max="15691" width="8.7109375" style="146"/>
    <col min="15692" max="15692" width="8.85546875" style="146" bestFit="1" customWidth="1"/>
    <col min="15693" max="15699" width="8.7109375" style="146"/>
    <col min="15700" max="15700" width="8.85546875" style="146" bestFit="1" customWidth="1"/>
    <col min="15701" max="15707" width="8.7109375" style="146"/>
    <col min="15708" max="15708" width="8.85546875" style="146" bestFit="1" customWidth="1"/>
    <col min="15709" max="15715" width="8.7109375" style="146"/>
    <col min="15716" max="15716" width="8.85546875" style="146" bestFit="1" customWidth="1"/>
    <col min="15717" max="15723" width="8.7109375" style="146"/>
    <col min="15724" max="15724" width="8.85546875" style="146" bestFit="1" customWidth="1"/>
    <col min="15725" max="15731" width="8.7109375" style="146"/>
    <col min="15732" max="15732" width="8.85546875" style="146" bestFit="1" customWidth="1"/>
    <col min="15733" max="15739" width="8.7109375" style="146"/>
    <col min="15740" max="15740" width="8.85546875" style="146" bestFit="1" customWidth="1"/>
    <col min="15741" max="15747" width="8.7109375" style="146"/>
    <col min="15748" max="15748" width="8.85546875" style="146" bestFit="1" customWidth="1"/>
    <col min="15749" max="15755" width="8.7109375" style="146"/>
    <col min="15756" max="15756" width="8.85546875" style="146" bestFit="1" customWidth="1"/>
    <col min="15757" max="15763" width="8.7109375" style="146"/>
    <col min="15764" max="15764" width="8.85546875" style="146" bestFit="1" customWidth="1"/>
    <col min="15765" max="15771" width="8.7109375" style="146"/>
    <col min="15772" max="15772" width="8.85546875" style="146" bestFit="1" customWidth="1"/>
    <col min="15773" max="15779" width="8.7109375" style="146"/>
    <col min="15780" max="15780" width="8.85546875" style="146" bestFit="1" customWidth="1"/>
    <col min="15781" max="15787" width="8.7109375" style="146"/>
    <col min="15788" max="15788" width="8.85546875" style="146" bestFit="1" customWidth="1"/>
    <col min="15789" max="15795" width="8.7109375" style="146"/>
    <col min="15796" max="15796" width="8.85546875" style="146" bestFit="1" customWidth="1"/>
    <col min="15797" max="15803" width="8.7109375" style="146"/>
    <col min="15804" max="15804" width="8.85546875" style="146" bestFit="1" customWidth="1"/>
    <col min="15805" max="15811" width="8.7109375" style="146"/>
    <col min="15812" max="15812" width="8.85546875" style="146" bestFit="1" customWidth="1"/>
    <col min="15813" max="15819" width="8.7109375" style="146"/>
    <col min="15820" max="15820" width="8.85546875" style="146" bestFit="1" customWidth="1"/>
    <col min="15821" max="15827" width="8.7109375" style="146"/>
    <col min="15828" max="15828" width="8.85546875" style="146" bestFit="1" customWidth="1"/>
    <col min="15829" max="15835" width="8.7109375" style="146"/>
    <col min="15836" max="15836" width="8.85546875" style="146" bestFit="1" customWidth="1"/>
    <col min="15837" max="15843" width="8.7109375" style="146"/>
    <col min="15844" max="15844" width="8.85546875" style="146" bestFit="1" customWidth="1"/>
    <col min="15845" max="15851" width="8.7109375" style="146"/>
    <col min="15852" max="15852" width="8.85546875" style="146" bestFit="1" customWidth="1"/>
    <col min="15853" max="15859" width="8.7109375" style="146"/>
    <col min="15860" max="15860" width="8.85546875" style="146" bestFit="1" customWidth="1"/>
    <col min="15861" max="15867" width="8.7109375" style="146"/>
    <col min="15868" max="15868" width="8.85546875" style="146" bestFit="1" customWidth="1"/>
    <col min="15869" max="15875" width="8.7109375" style="146"/>
    <col min="15876" max="15876" width="8.85546875" style="146" bestFit="1" customWidth="1"/>
    <col min="15877" max="15883" width="8.7109375" style="146"/>
    <col min="15884" max="15884" width="8.85546875" style="146" bestFit="1" customWidth="1"/>
    <col min="15885" max="15891" width="8.7109375" style="146"/>
    <col min="15892" max="15892" width="8.85546875" style="146" bestFit="1" customWidth="1"/>
    <col min="15893" max="15899" width="8.7109375" style="146"/>
    <col min="15900" max="15900" width="8.85546875" style="146" bestFit="1" customWidth="1"/>
    <col min="15901" max="15907" width="8.7109375" style="146"/>
    <col min="15908" max="15908" width="8.85546875" style="146" bestFit="1" customWidth="1"/>
    <col min="15909" max="15915" width="8.7109375" style="146"/>
    <col min="15916" max="15916" width="8.85546875" style="146" bestFit="1" customWidth="1"/>
    <col min="15917" max="15923" width="8.7109375" style="146"/>
    <col min="15924" max="15924" width="8.85546875" style="146" bestFit="1" customWidth="1"/>
    <col min="15925" max="15931" width="8.7109375" style="146"/>
    <col min="15932" max="15932" width="8.85546875" style="146" bestFit="1" customWidth="1"/>
    <col min="15933" max="15939" width="8.7109375" style="146"/>
    <col min="15940" max="15940" width="8.85546875" style="146" bestFit="1" customWidth="1"/>
    <col min="15941" max="15947" width="8.7109375" style="146"/>
    <col min="15948" max="15948" width="8.85546875" style="146" bestFit="1" customWidth="1"/>
    <col min="15949" max="15955" width="8.7109375" style="146"/>
    <col min="15956" max="15956" width="8.85546875" style="146" bestFit="1" customWidth="1"/>
    <col min="15957" max="15963" width="8.7109375" style="146"/>
    <col min="15964" max="15964" width="8.85546875" style="146" bestFit="1" customWidth="1"/>
    <col min="15965" max="15971" width="8.7109375" style="146"/>
    <col min="15972" max="15972" width="8.85546875" style="146" bestFit="1" customWidth="1"/>
    <col min="15973" max="15979" width="8.7109375" style="146"/>
    <col min="15980" max="15980" width="8.85546875" style="146" bestFit="1" customWidth="1"/>
    <col min="15981" max="15987" width="8.7109375" style="146"/>
    <col min="15988" max="15988" width="8.85546875" style="146" bestFit="1" customWidth="1"/>
    <col min="15989" max="15995" width="8.7109375" style="146"/>
    <col min="15996" max="15996" width="8.85546875" style="146" bestFit="1" customWidth="1"/>
    <col min="15997" max="16003" width="8.7109375" style="146"/>
    <col min="16004" max="16004" width="8.85546875" style="146" bestFit="1" customWidth="1"/>
    <col min="16005" max="16011" width="8.7109375" style="146"/>
    <col min="16012" max="16012" width="8.85546875" style="146" bestFit="1" customWidth="1"/>
    <col min="16013" max="16019" width="8.7109375" style="146"/>
    <col min="16020" max="16020" width="8.85546875" style="146" bestFit="1" customWidth="1"/>
    <col min="16021" max="16027" width="8.7109375" style="146"/>
    <col min="16028" max="16028" width="8.85546875" style="146" bestFit="1" customWidth="1"/>
    <col min="16029" max="16035" width="8.7109375" style="146"/>
    <col min="16036" max="16036" width="8.85546875" style="146" bestFit="1" customWidth="1"/>
    <col min="16037" max="16043" width="8.7109375" style="146"/>
    <col min="16044" max="16044" width="8.85546875" style="146" bestFit="1" customWidth="1"/>
    <col min="16045" max="16051" width="8.7109375" style="146"/>
    <col min="16052" max="16052" width="8.85546875" style="146" bestFit="1" customWidth="1"/>
    <col min="16053" max="16059" width="8.7109375" style="146"/>
    <col min="16060" max="16060" width="8.85546875" style="146" bestFit="1" customWidth="1"/>
    <col min="16061" max="16067" width="8.7109375" style="146"/>
    <col min="16068" max="16068" width="8.85546875" style="146" bestFit="1" customWidth="1"/>
    <col min="16069" max="16075" width="8.7109375" style="146"/>
    <col min="16076" max="16076" width="8.85546875" style="146" bestFit="1" customWidth="1"/>
    <col min="16077" max="16083" width="8.7109375" style="146"/>
    <col min="16084" max="16084" width="8.85546875" style="146" bestFit="1" customWidth="1"/>
    <col min="16085" max="16091" width="8.7109375" style="146"/>
    <col min="16092" max="16092" width="8.85546875" style="146" bestFit="1" customWidth="1"/>
    <col min="16093" max="16099" width="8.7109375" style="146"/>
    <col min="16100" max="16100" width="8.85546875" style="146" bestFit="1" customWidth="1"/>
    <col min="16101" max="16107" width="8.7109375" style="146"/>
    <col min="16108" max="16108" width="8.85546875" style="146" bestFit="1" customWidth="1"/>
    <col min="16109" max="16115" width="8.7109375" style="146"/>
    <col min="16116" max="16116" width="8.85546875" style="146" bestFit="1" customWidth="1"/>
    <col min="16117" max="16123" width="8.7109375" style="146"/>
    <col min="16124" max="16124" width="8.85546875" style="146" bestFit="1" customWidth="1"/>
    <col min="16125" max="16131" width="8.7109375" style="146"/>
    <col min="16132" max="16132" width="8.85546875" style="146" bestFit="1" customWidth="1"/>
    <col min="16133" max="16139" width="8.7109375" style="146"/>
    <col min="16140" max="16140" width="8.85546875" style="146" bestFit="1" customWidth="1"/>
    <col min="16141" max="16147" width="8.7109375" style="146"/>
    <col min="16148" max="16148" width="8.85546875" style="146" bestFit="1" customWidth="1"/>
    <col min="16149" max="16155" width="8.7109375" style="146"/>
    <col min="16156" max="16156" width="8.85546875" style="146" bestFit="1" customWidth="1"/>
    <col min="16157" max="16163" width="8.7109375" style="146"/>
    <col min="16164" max="16164" width="8.85546875" style="146" bestFit="1" customWidth="1"/>
    <col min="16165" max="16171" width="8.7109375" style="146"/>
    <col min="16172" max="16172" width="8.85546875" style="146" bestFit="1" customWidth="1"/>
    <col min="16173" max="16179" width="8.7109375" style="146"/>
    <col min="16180" max="16180" width="8.85546875" style="146" bestFit="1" customWidth="1"/>
    <col min="16181" max="16187" width="8.7109375" style="146"/>
    <col min="16188" max="16188" width="8.85546875" style="146" bestFit="1" customWidth="1"/>
    <col min="16189" max="16195" width="8.7109375" style="146"/>
    <col min="16196" max="16196" width="8.85546875" style="146" bestFit="1" customWidth="1"/>
    <col min="16197" max="16203" width="8.7109375" style="146"/>
    <col min="16204" max="16204" width="8.85546875" style="146" bestFit="1" customWidth="1"/>
    <col min="16205" max="16211" width="8.7109375" style="146"/>
    <col min="16212" max="16212" width="8.85546875" style="146" bestFit="1" customWidth="1"/>
    <col min="16213" max="16219" width="8.7109375" style="146"/>
    <col min="16220" max="16220" width="8.85546875" style="146" bestFit="1" customWidth="1"/>
    <col min="16221" max="16227" width="8.7109375" style="146"/>
    <col min="16228" max="16228" width="8.85546875" style="146" bestFit="1" customWidth="1"/>
    <col min="16229" max="16235" width="8.7109375" style="146"/>
    <col min="16236" max="16236" width="8.85546875" style="146" bestFit="1" customWidth="1"/>
    <col min="16237" max="16243" width="8.7109375" style="146"/>
    <col min="16244" max="16244" width="8.85546875" style="146" bestFit="1" customWidth="1"/>
    <col min="16245" max="16251" width="8.7109375" style="146"/>
    <col min="16252" max="16252" width="8.85546875" style="146" bestFit="1" customWidth="1"/>
    <col min="16253" max="16259" width="8.7109375" style="146"/>
    <col min="16260" max="16260" width="8.85546875" style="146" bestFit="1" customWidth="1"/>
    <col min="16261" max="16267" width="8.7109375" style="146"/>
    <col min="16268" max="16268" width="8.85546875" style="146" bestFit="1" customWidth="1"/>
    <col min="16269" max="16275" width="8.7109375" style="146"/>
    <col min="16276" max="16276" width="8.85546875" style="146" bestFit="1" customWidth="1"/>
    <col min="16277" max="16283" width="8.7109375" style="146"/>
    <col min="16284" max="16284" width="8.85546875" style="146" bestFit="1" customWidth="1"/>
    <col min="16285" max="16291" width="8.7109375" style="146"/>
    <col min="16292" max="16292" width="8.85546875" style="146" bestFit="1" customWidth="1"/>
    <col min="16293" max="16299" width="8.7109375" style="146"/>
    <col min="16300" max="16300" width="8.85546875" style="146" bestFit="1" customWidth="1"/>
    <col min="16301" max="16307" width="8.7109375" style="146"/>
    <col min="16308" max="16308" width="8.85546875" style="146" bestFit="1" customWidth="1"/>
    <col min="16309" max="16315" width="8.7109375" style="146"/>
    <col min="16316" max="16316" width="8.85546875" style="146" bestFit="1" customWidth="1"/>
    <col min="16317" max="16323" width="8.7109375" style="146"/>
    <col min="16324" max="16324" width="8.85546875" style="146" bestFit="1" customWidth="1"/>
    <col min="16325" max="16331" width="8.7109375" style="146"/>
    <col min="16332" max="16332" width="8.85546875" style="146" bestFit="1" customWidth="1"/>
    <col min="16333" max="16339" width="8.7109375" style="146"/>
    <col min="16340" max="16340" width="8.85546875" style="146" bestFit="1" customWidth="1"/>
    <col min="16341" max="16347" width="8.7109375" style="146"/>
    <col min="16348" max="16348" width="8.85546875" style="146" bestFit="1" customWidth="1"/>
    <col min="16349" max="16355" width="8.7109375" style="146"/>
    <col min="16356" max="16356" width="8.85546875" style="146" bestFit="1" customWidth="1"/>
    <col min="16357" max="16363" width="8.7109375" style="146"/>
    <col min="16364" max="16364" width="8.85546875" style="146" bestFit="1" customWidth="1"/>
    <col min="16365" max="16371" width="8.7109375" style="146"/>
    <col min="16372" max="16372" width="8.85546875" style="146" bestFit="1" customWidth="1"/>
    <col min="16373" max="16379" width="8.7109375" style="146"/>
    <col min="16380" max="16380" width="8.85546875" style="146" bestFit="1" customWidth="1"/>
    <col min="16381" max="16384" width="8.7109375" style="146"/>
  </cols>
  <sheetData>
    <row r="2" spans="2:28" ht="30" x14ac:dyDescent="0.25">
      <c r="B2" s="198" t="s">
        <v>1332</v>
      </c>
    </row>
    <row r="3" spans="2:28" ht="30" x14ac:dyDescent="0.25">
      <c r="B3" s="200" t="s">
        <v>1200</v>
      </c>
      <c r="C3" s="168"/>
    </row>
    <row r="4" spans="2:28" x14ac:dyDescent="0.25">
      <c r="B4" s="201" t="s">
        <v>833</v>
      </c>
      <c r="C4" s="202" t="s">
        <v>643</v>
      </c>
    </row>
    <row r="5" spans="2:28" x14ac:dyDescent="0.25">
      <c r="B5" s="201" t="s">
        <v>882</v>
      </c>
      <c r="C5" s="203">
        <f>INDEX(FE_par_pays!$A$8:$F$242,MATCH(C4,FE_par_pays!$A$8:$A$242,0),5)</f>
        <v>230.88184773797497</v>
      </c>
      <c r="E5" s="146" t="s">
        <v>159</v>
      </c>
      <c r="G5" s="149" t="s">
        <v>834</v>
      </c>
    </row>
    <row r="8" spans="2:28" x14ac:dyDescent="0.25">
      <c r="C8" s="146" t="s">
        <v>8</v>
      </c>
      <c r="D8" s="178">
        <f>Hypothèses_projet!$C$3</f>
        <v>2021</v>
      </c>
      <c r="E8" s="178">
        <f>IF(Hypothèses_projet!$C$6&lt;=D8,"",D8+1)</f>
        <v>2022</v>
      </c>
      <c r="F8" s="178">
        <f>IF(Hypothèses_projet!$C$6&lt;=E8,"",E8+1)</f>
        <v>2023</v>
      </c>
      <c r="G8" s="178">
        <f>IF(Hypothèses_projet!$C$6&lt;=F8,"",F8+1)</f>
        <v>2024</v>
      </c>
      <c r="H8" s="178">
        <f>IF(Hypothèses_projet!$C$6&lt;=G8,"",G8+1)</f>
        <v>2025</v>
      </c>
      <c r="I8" s="178">
        <f>IF(Hypothèses_projet!$C$6&lt;=H8,"",H8+1)</f>
        <v>2026</v>
      </c>
      <c r="J8" s="178">
        <f>IF(Hypothèses_projet!$C$6&lt;=I8,"",I8+1)</f>
        <v>2027</v>
      </c>
      <c r="K8" s="178">
        <f>IF(Hypothèses_projet!$C$6&lt;=J8,"",J8+1)</f>
        <v>2028</v>
      </c>
      <c r="L8" s="178">
        <f>IF(Hypothèses_projet!$C$6&lt;=K8,"",K8+1)</f>
        <v>2029</v>
      </c>
      <c r="M8" s="178">
        <f>IF(Hypothèses_projet!$C$6&lt;=L8,"",L8+1)</f>
        <v>2030</v>
      </c>
      <c r="N8" s="178">
        <f>IF(Hypothèses_projet!$C$6&lt;=M8,"",M8+1)</f>
        <v>2031</v>
      </c>
      <c r="O8" s="178">
        <f>IF(Hypothèses_projet!$C$6&lt;=N8,"",N8+1)</f>
        <v>2032</v>
      </c>
      <c r="P8" s="178">
        <f>IF(Hypothèses_projet!$C$6&lt;=O8,"",O8+1)</f>
        <v>2033</v>
      </c>
      <c r="Q8" s="178">
        <f>IF(Hypothèses_projet!$C$6&lt;=P8,"",P8+1)</f>
        <v>2034</v>
      </c>
      <c r="R8" s="178">
        <f>IF(Hypothèses_projet!$C$6&lt;=Q8,"",Q8+1)</f>
        <v>2035</v>
      </c>
      <c r="S8" s="178">
        <f>IF(Hypothèses_projet!$C$6&lt;=R8,"",R8+1)</f>
        <v>2036</v>
      </c>
      <c r="T8" s="178">
        <f>IF(Hypothèses_projet!$C$6&lt;=S8,"",S8+1)</f>
        <v>2037</v>
      </c>
      <c r="U8" s="178">
        <f>IF(Hypothèses_projet!$C$6&lt;=T8,"",T8+1)</f>
        <v>2038</v>
      </c>
      <c r="V8" s="178">
        <f>IF(Hypothèses_projet!$C$6&lt;=U8,"",U8+1)</f>
        <v>2039</v>
      </c>
      <c r="W8" s="178">
        <f>IF(Hypothèses_projet!$C$6&lt;=V8,"",V8+1)</f>
        <v>2040</v>
      </c>
      <c r="X8" s="178" t="str">
        <f>IF(Hypothèses_projet!$C$6&lt;=W8,"",W8+1)</f>
        <v/>
      </c>
      <c r="Y8" s="178" t="str">
        <f>IF(Hypothèses_projet!$C$6&lt;=X8,"",X8+1)</f>
        <v/>
      </c>
      <c r="Z8" s="178" t="str">
        <f>IF(Hypothèses_projet!$C$6&lt;=Y8,"",Y8+1)</f>
        <v/>
      </c>
      <c r="AA8" s="178" t="str">
        <f>IF(Hypothèses_projet!$C$6&lt;=Z8,"",Z8+1)</f>
        <v/>
      </c>
      <c r="AB8" s="178" t="str">
        <f>IF(Hypothèses_projet!$C$6&lt;=AA8,"",AA8+1)</f>
        <v/>
      </c>
    </row>
    <row r="9" spans="2:28" x14ac:dyDescent="0.25">
      <c r="B9" s="244" t="str">
        <f>'Resultats généraux'!A84</f>
        <v>OUI</v>
      </c>
      <c r="C9" s="205" t="s">
        <v>865</v>
      </c>
      <c r="D9" s="206">
        <f>SUM(D12:D15)</f>
        <v>-884.88838397000052</v>
      </c>
      <c r="E9" s="206">
        <f t="shared" ref="E9:AB9" si="0">SUM(E12:E15)</f>
        <v>-884.88838397000052</v>
      </c>
      <c r="F9" s="206">
        <f t="shared" si="0"/>
        <v>-884.88838397000052</v>
      </c>
      <c r="G9" s="206">
        <f t="shared" si="0"/>
        <v>-884.88838397000052</v>
      </c>
      <c r="H9" s="206">
        <f t="shared" si="0"/>
        <v>-884.88838397000052</v>
      </c>
      <c r="I9" s="206">
        <f t="shared" si="0"/>
        <v>-884.88838397000052</v>
      </c>
      <c r="J9" s="206">
        <f t="shared" si="0"/>
        <v>-884.88838397000052</v>
      </c>
      <c r="K9" s="206">
        <f t="shared" si="0"/>
        <v>-884.88838397000052</v>
      </c>
      <c r="L9" s="206">
        <f t="shared" si="0"/>
        <v>-884.88838397000052</v>
      </c>
      <c r="M9" s="206">
        <f t="shared" si="0"/>
        <v>-884.88838397000052</v>
      </c>
      <c r="N9" s="206">
        <f t="shared" si="0"/>
        <v>-884.88838397000052</v>
      </c>
      <c r="O9" s="206">
        <f t="shared" si="0"/>
        <v>-884.88838397000052</v>
      </c>
      <c r="P9" s="206">
        <f t="shared" si="0"/>
        <v>-884.88838397000052</v>
      </c>
      <c r="Q9" s="206">
        <f t="shared" si="0"/>
        <v>-884.88838397000052</v>
      </c>
      <c r="R9" s="206">
        <f t="shared" si="0"/>
        <v>-884.88838397000052</v>
      </c>
      <c r="S9" s="206">
        <f t="shared" si="0"/>
        <v>-884.88838397000052</v>
      </c>
      <c r="T9" s="206">
        <f t="shared" si="0"/>
        <v>-884.88838397000052</v>
      </c>
      <c r="U9" s="206">
        <f t="shared" si="0"/>
        <v>-884.88838397000052</v>
      </c>
      <c r="V9" s="206">
        <f t="shared" si="0"/>
        <v>-884.88838397000052</v>
      </c>
      <c r="W9" s="206">
        <f t="shared" si="0"/>
        <v>-884.88838397000052</v>
      </c>
      <c r="X9" s="206">
        <f t="shared" si="0"/>
        <v>0</v>
      </c>
      <c r="Y9" s="206">
        <f t="shared" si="0"/>
        <v>0</v>
      </c>
      <c r="Z9" s="206">
        <f t="shared" si="0"/>
        <v>0</v>
      </c>
      <c r="AA9" s="206">
        <f t="shared" si="0"/>
        <v>0</v>
      </c>
      <c r="AB9" s="206">
        <f t="shared" si="0"/>
        <v>0</v>
      </c>
    </row>
    <row r="11" spans="2:28" x14ac:dyDescent="0.25">
      <c r="B11" s="207" t="s">
        <v>1310</v>
      </c>
    </row>
    <row r="12" spans="2:28" x14ac:dyDescent="0.25">
      <c r="B12" s="244" t="str">
        <f>'Resultats généraux'!A87</f>
        <v>OUI</v>
      </c>
      <c r="C12" s="208" t="s">
        <v>1135</v>
      </c>
      <c r="D12" s="206">
        <f>IF($B12="OUI",'Deforestation Imagerie Satellit'!C31,0)</f>
        <v>703.54213653090005</v>
      </c>
      <c r="E12" s="206">
        <f>IF($B12="OUI",'Deforestation Imagerie Satellit'!D31,0)</f>
        <v>703.54213653090005</v>
      </c>
      <c r="F12" s="206">
        <f>IF($B12="OUI",'Deforestation Imagerie Satellit'!E31,0)</f>
        <v>703.54213653090005</v>
      </c>
      <c r="G12" s="206">
        <f>IF($B12="OUI",'Deforestation Imagerie Satellit'!F31,0)</f>
        <v>703.54213653090005</v>
      </c>
      <c r="H12" s="206">
        <f>IF($B12="OUI",'Deforestation Imagerie Satellit'!G31,0)</f>
        <v>703.54213653090005</v>
      </c>
      <c r="I12" s="206">
        <f>IF($B12="OUI",'Deforestation Imagerie Satellit'!H31,0)</f>
        <v>703.54213653090005</v>
      </c>
      <c r="J12" s="206">
        <f>IF($B12="OUI",'Deforestation Imagerie Satellit'!I31,0)</f>
        <v>703.54213653090005</v>
      </c>
      <c r="K12" s="206">
        <f>IF($B12="OUI",'Deforestation Imagerie Satellit'!J31,0)</f>
        <v>703.54213653090005</v>
      </c>
      <c r="L12" s="206">
        <f>IF($B12="OUI",'Deforestation Imagerie Satellit'!K31,0)</f>
        <v>703.54213653090005</v>
      </c>
      <c r="M12" s="206">
        <f>IF($B12="OUI",'Deforestation Imagerie Satellit'!L31,0)</f>
        <v>703.54213653090005</v>
      </c>
      <c r="N12" s="206">
        <f>IF($B12="OUI",'Deforestation Imagerie Satellit'!M31,0)</f>
        <v>703.54213653090005</v>
      </c>
      <c r="O12" s="206">
        <f>IF($B12="OUI",'Deforestation Imagerie Satellit'!N31,0)</f>
        <v>703.54213653090005</v>
      </c>
      <c r="P12" s="206">
        <f>IF($B12="OUI",'Deforestation Imagerie Satellit'!O31,0)</f>
        <v>703.54213653090005</v>
      </c>
      <c r="Q12" s="206">
        <f>IF($B12="OUI",'Deforestation Imagerie Satellit'!P31,0)</f>
        <v>703.54213653090005</v>
      </c>
      <c r="R12" s="206">
        <f>IF($B12="OUI",'Deforestation Imagerie Satellit'!Q31,0)</f>
        <v>703.54213653090005</v>
      </c>
      <c r="S12" s="206">
        <f>IF($B12="OUI",'Deforestation Imagerie Satellit'!R31,0)</f>
        <v>703.54213653090005</v>
      </c>
      <c r="T12" s="206">
        <f>IF($B12="OUI",'Deforestation Imagerie Satellit'!S31,0)</f>
        <v>703.54213653090005</v>
      </c>
      <c r="U12" s="206">
        <f>IF($B12="OUI",'Deforestation Imagerie Satellit'!T31,0)</f>
        <v>703.54213653090005</v>
      </c>
      <c r="V12" s="206">
        <f>IF($B12="OUI",'Deforestation Imagerie Satellit'!U31,0)</f>
        <v>703.54213653090005</v>
      </c>
      <c r="W12" s="206">
        <f>IF($B12="OUI",'Deforestation Imagerie Satellit'!V31,0)</f>
        <v>703.54213653090005</v>
      </c>
      <c r="X12" s="206" t="str">
        <f>IF($B12="OUI",'Deforestation Imagerie Satellit'!W31,0)</f>
        <v/>
      </c>
      <c r="Y12" s="206" t="str">
        <f>IF($B12="OUI",'Deforestation Imagerie Satellit'!X31,0)</f>
        <v/>
      </c>
      <c r="Z12" s="206" t="str">
        <f>IF($B12="OUI",'Deforestation Imagerie Satellit'!Y31,0)</f>
        <v/>
      </c>
      <c r="AA12" s="206" t="str">
        <f>IF($B12="OUI",'Deforestation Imagerie Satellit'!Z31,0)</f>
        <v/>
      </c>
      <c r="AB12" s="206" t="str">
        <f>IF($B12="OUI",'Deforestation Imagerie Satellit'!AA31,0)</f>
        <v/>
      </c>
    </row>
    <row r="13" spans="2:28" x14ac:dyDescent="0.25">
      <c r="B13" s="244" t="str">
        <f>'Resultats généraux'!A88</f>
        <v>OUI</v>
      </c>
      <c r="C13" s="208" t="s">
        <v>1136</v>
      </c>
      <c r="D13" s="206">
        <f>IF($B13="OUI",'Deforestation Imagerie Satellit'!C63,0)</f>
        <v>1.0398528324148453</v>
      </c>
      <c r="E13" s="206">
        <f>IF($B13="OUI",'Deforestation Imagerie Satellit'!D63,0)</f>
        <v>1.0398528324148453</v>
      </c>
      <c r="F13" s="206">
        <f>IF($B13="OUI",'Deforestation Imagerie Satellit'!E63,0)</f>
        <v>1.0398528324148453</v>
      </c>
      <c r="G13" s="206">
        <f>IF($B13="OUI",'Deforestation Imagerie Satellit'!F63,0)</f>
        <v>1.0398528324148453</v>
      </c>
      <c r="H13" s="206">
        <f>IF($B13="OUI",'Deforestation Imagerie Satellit'!G63,0)</f>
        <v>1.0398528324148453</v>
      </c>
      <c r="I13" s="206">
        <f>IF($B13="OUI",'Deforestation Imagerie Satellit'!H63,0)</f>
        <v>1.0398528324148453</v>
      </c>
      <c r="J13" s="206">
        <f>IF($B13="OUI",'Deforestation Imagerie Satellit'!I63,0)</f>
        <v>1.0398528324148453</v>
      </c>
      <c r="K13" s="206">
        <f>IF($B13="OUI",'Deforestation Imagerie Satellit'!J63,0)</f>
        <v>1.0398528324148453</v>
      </c>
      <c r="L13" s="206">
        <f>IF($B13="OUI",'Deforestation Imagerie Satellit'!K63,0)</f>
        <v>1.0398528324148453</v>
      </c>
      <c r="M13" s="206">
        <f>IF($B13="OUI",'Deforestation Imagerie Satellit'!L63,0)</f>
        <v>1.0398528324148453</v>
      </c>
      <c r="N13" s="206">
        <f>IF($B13="OUI",'Deforestation Imagerie Satellit'!M63,0)</f>
        <v>1.0398528324148453</v>
      </c>
      <c r="O13" s="206">
        <f>IF($B13="OUI",'Deforestation Imagerie Satellit'!N63,0)</f>
        <v>1.0398528324148453</v>
      </c>
      <c r="P13" s="206">
        <f>IF($B13="OUI",'Deforestation Imagerie Satellit'!O63,0)</f>
        <v>1.0398528324148453</v>
      </c>
      <c r="Q13" s="206">
        <f>IF($B13="OUI",'Deforestation Imagerie Satellit'!P63,0)</f>
        <v>1.0398528324148453</v>
      </c>
      <c r="R13" s="206">
        <f>IF($B13="OUI",'Deforestation Imagerie Satellit'!Q63,0)</f>
        <v>1.0398528324148453</v>
      </c>
      <c r="S13" s="206">
        <f>IF($B13="OUI",'Deforestation Imagerie Satellit'!R63,0)</f>
        <v>1.0398528324148453</v>
      </c>
      <c r="T13" s="206">
        <f>IF($B13="OUI",'Deforestation Imagerie Satellit'!S63,0)</f>
        <v>1.0398528324148453</v>
      </c>
      <c r="U13" s="206">
        <f>IF($B13="OUI",'Deforestation Imagerie Satellit'!T63,0)</f>
        <v>1.0398528324148453</v>
      </c>
      <c r="V13" s="206">
        <f>IF($B13="OUI",'Deforestation Imagerie Satellit'!U63,0)</f>
        <v>1.0398528324148453</v>
      </c>
      <c r="W13" s="206">
        <f>IF($B13="OUI",'Deforestation Imagerie Satellit'!V63,0)</f>
        <v>1.0398528324148453</v>
      </c>
      <c r="X13" s="206" t="str">
        <f>IF($B13="OUI",'Deforestation Imagerie Satellit'!W63,0)</f>
        <v/>
      </c>
      <c r="Y13" s="206" t="str">
        <f>IF($B13="OUI",'Deforestation Imagerie Satellit'!X63,0)</f>
        <v/>
      </c>
      <c r="Z13" s="206" t="str">
        <f>IF($B13="OUI",'Deforestation Imagerie Satellit'!Y63,0)</f>
        <v/>
      </c>
      <c r="AA13" s="206" t="str">
        <f>IF($B13="OUI",'Deforestation Imagerie Satellit'!Z63,0)</f>
        <v/>
      </c>
      <c r="AB13" s="206" t="str">
        <f>IF($B13="OUI",'Deforestation Imagerie Satellit'!AA63,0)</f>
        <v/>
      </c>
    </row>
    <row r="14" spans="2:28" x14ac:dyDescent="0.25">
      <c r="B14" s="244" t="str">
        <f>'Resultats généraux'!A89</f>
        <v>OUI</v>
      </c>
      <c r="C14" s="208" t="s">
        <v>1137</v>
      </c>
      <c r="D14" s="206">
        <f>IF($B14="OUI",'Deforestation Imagerie Satellit'!C91,0)</f>
        <v>-1320</v>
      </c>
      <c r="E14" s="206">
        <f>IF($B14="OUI",'Deforestation Imagerie Satellit'!D91,0)</f>
        <v>-1320</v>
      </c>
      <c r="F14" s="206">
        <f>IF($B14="OUI",'Deforestation Imagerie Satellit'!E91,0)</f>
        <v>-1320</v>
      </c>
      <c r="G14" s="206">
        <f>IF($B14="OUI",'Deforestation Imagerie Satellit'!F91,0)</f>
        <v>-1320</v>
      </c>
      <c r="H14" s="206">
        <f>IF($B14="OUI",'Deforestation Imagerie Satellit'!G91,0)</f>
        <v>-1320</v>
      </c>
      <c r="I14" s="206">
        <f>IF($B14="OUI",'Deforestation Imagerie Satellit'!H91,0)</f>
        <v>-1320</v>
      </c>
      <c r="J14" s="206">
        <f>IF($B14="OUI",'Deforestation Imagerie Satellit'!I91,0)</f>
        <v>-1320</v>
      </c>
      <c r="K14" s="206">
        <f>IF($B14="OUI",'Deforestation Imagerie Satellit'!J91,0)</f>
        <v>-1320</v>
      </c>
      <c r="L14" s="206">
        <f>IF($B14="OUI",'Deforestation Imagerie Satellit'!K91,0)</f>
        <v>-1320</v>
      </c>
      <c r="M14" s="206">
        <f>IF($B14="OUI",'Deforestation Imagerie Satellit'!L91,0)</f>
        <v>-1320</v>
      </c>
      <c r="N14" s="206">
        <f>IF($B14="OUI",'Deforestation Imagerie Satellit'!M91,0)</f>
        <v>-1320</v>
      </c>
      <c r="O14" s="206">
        <f>IF($B14="OUI",'Deforestation Imagerie Satellit'!N91,0)</f>
        <v>-1320</v>
      </c>
      <c r="P14" s="206">
        <f>IF($B14="OUI",'Deforestation Imagerie Satellit'!O91,0)</f>
        <v>-1320</v>
      </c>
      <c r="Q14" s="206">
        <f>IF($B14="OUI",'Deforestation Imagerie Satellit'!P91,0)</f>
        <v>-1320</v>
      </c>
      <c r="R14" s="206">
        <f>IF($B14="OUI",'Deforestation Imagerie Satellit'!Q91,0)</f>
        <v>-1320</v>
      </c>
      <c r="S14" s="206">
        <f>IF($B14="OUI",'Deforestation Imagerie Satellit'!R91,0)</f>
        <v>-1320</v>
      </c>
      <c r="T14" s="206">
        <f>IF($B14="OUI",'Deforestation Imagerie Satellit'!S91,0)</f>
        <v>-1320</v>
      </c>
      <c r="U14" s="206">
        <f>IF($B14="OUI",'Deforestation Imagerie Satellit'!T91,0)</f>
        <v>-1320</v>
      </c>
      <c r="V14" s="206">
        <f>IF($B14="OUI",'Deforestation Imagerie Satellit'!U91,0)</f>
        <v>-1320</v>
      </c>
      <c r="W14" s="206">
        <f>IF($B14="OUI",'Deforestation Imagerie Satellit'!V91,0)</f>
        <v>-1320</v>
      </c>
      <c r="X14" s="206" t="str">
        <f>IF($B14="OUI",'Deforestation Imagerie Satellit'!W91,0)</f>
        <v/>
      </c>
      <c r="Y14" s="206" t="str">
        <f>IF($B14="OUI",'Deforestation Imagerie Satellit'!X91,0)</f>
        <v/>
      </c>
      <c r="Z14" s="206" t="str">
        <f>IF($B14="OUI",'Deforestation Imagerie Satellit'!Y91,0)</f>
        <v/>
      </c>
      <c r="AA14" s="206" t="str">
        <f>IF($B14="OUI",'Deforestation Imagerie Satellit'!Z91,0)</f>
        <v/>
      </c>
      <c r="AB14" s="206" t="str">
        <f>IF($B14="OUI",'Deforestation Imagerie Satellit'!AA91,0)</f>
        <v/>
      </c>
    </row>
    <row r="15" spans="2:28" x14ac:dyDescent="0.25">
      <c r="B15" s="244" t="str">
        <f>'Resultats généraux'!A90</f>
        <v>OUI</v>
      </c>
      <c r="C15" s="208" t="s">
        <v>1138</v>
      </c>
      <c r="D15" s="206">
        <f>IF($B15="OUI",'Deforestation Imagerie Satellit'!C109,0)</f>
        <v>-269.47037333331537</v>
      </c>
      <c r="E15" s="206">
        <f>IF($B15="OUI",'Deforestation Imagerie Satellit'!D109,0)</f>
        <v>-269.47037333331537</v>
      </c>
      <c r="F15" s="206">
        <f>IF($B15="OUI",'Deforestation Imagerie Satellit'!E109,0)</f>
        <v>-269.47037333331537</v>
      </c>
      <c r="G15" s="206">
        <f>IF($B15="OUI",'Deforestation Imagerie Satellit'!F109,0)</f>
        <v>-269.47037333331537</v>
      </c>
      <c r="H15" s="206">
        <f>IF($B15="OUI",'Deforestation Imagerie Satellit'!G109,0)</f>
        <v>-269.47037333331537</v>
      </c>
      <c r="I15" s="206">
        <f>IF($B15="OUI",'Deforestation Imagerie Satellit'!H109,0)</f>
        <v>-269.47037333331537</v>
      </c>
      <c r="J15" s="206">
        <f>IF($B15="OUI",'Deforestation Imagerie Satellit'!I109,0)</f>
        <v>-269.47037333331537</v>
      </c>
      <c r="K15" s="206">
        <f>IF($B15="OUI",'Deforestation Imagerie Satellit'!J109,0)</f>
        <v>-269.47037333331537</v>
      </c>
      <c r="L15" s="206">
        <f>IF($B15="OUI",'Deforestation Imagerie Satellit'!K109,0)</f>
        <v>-269.47037333331537</v>
      </c>
      <c r="M15" s="206">
        <f>IF($B15="OUI",'Deforestation Imagerie Satellit'!L109,0)</f>
        <v>-269.47037333331537</v>
      </c>
      <c r="N15" s="206">
        <f>IF($B15="OUI",'Deforestation Imagerie Satellit'!M109,0)</f>
        <v>-269.47037333331537</v>
      </c>
      <c r="O15" s="206">
        <f>IF($B15="OUI",'Deforestation Imagerie Satellit'!N109,0)</f>
        <v>-269.47037333331537</v>
      </c>
      <c r="P15" s="206">
        <f>IF($B15="OUI",'Deforestation Imagerie Satellit'!O109,0)</f>
        <v>-269.47037333331537</v>
      </c>
      <c r="Q15" s="206">
        <f>IF($B15="OUI",'Deforestation Imagerie Satellit'!P109,0)</f>
        <v>-269.47037333331537</v>
      </c>
      <c r="R15" s="206">
        <f>IF($B15="OUI",'Deforestation Imagerie Satellit'!Q109,0)</f>
        <v>-269.47037333331537</v>
      </c>
      <c r="S15" s="206">
        <f>IF($B15="OUI",'Deforestation Imagerie Satellit'!R109,0)</f>
        <v>-269.47037333331537</v>
      </c>
      <c r="T15" s="206">
        <f>IF($B15="OUI",'Deforestation Imagerie Satellit'!S109,0)</f>
        <v>-269.47037333331537</v>
      </c>
      <c r="U15" s="206">
        <f>IF($B15="OUI",'Deforestation Imagerie Satellit'!T109,0)</f>
        <v>-269.47037333331537</v>
      </c>
      <c r="V15" s="206">
        <f>IF($B15="OUI",'Deforestation Imagerie Satellit'!U109,0)</f>
        <v>-269.47037333331537</v>
      </c>
      <c r="W15" s="206">
        <f>IF($B15="OUI",'Deforestation Imagerie Satellit'!V109,0)</f>
        <v>-269.47037333331537</v>
      </c>
      <c r="X15" s="206" t="str">
        <f>IF($B15="OUI",'Deforestation Imagerie Satellit'!W109,0)</f>
        <v/>
      </c>
      <c r="Y15" s="206" t="str">
        <f>IF($B15="OUI",'Deforestation Imagerie Satellit'!X109,0)</f>
        <v/>
      </c>
      <c r="Z15" s="206" t="str">
        <f>IF($B15="OUI",'Deforestation Imagerie Satellit'!Y109,0)</f>
        <v/>
      </c>
      <c r="AA15" s="206" t="str">
        <f>IF($B15="OUI",'Deforestation Imagerie Satellit'!Z109,0)</f>
        <v/>
      </c>
      <c r="AB15" s="206" t="str">
        <f>IF($B15="OUI",'Deforestation Imagerie Satellit'!AA109,0)</f>
        <v/>
      </c>
    </row>
    <row r="17" spans="2:27" ht="60" x14ac:dyDescent="0.25">
      <c r="B17" s="145" t="s">
        <v>1139</v>
      </c>
    </row>
    <row r="20" spans="2:27" x14ac:dyDescent="0.25">
      <c r="B20" s="245" t="s">
        <v>1135</v>
      </c>
      <c r="C20" s="246"/>
      <c r="D20" s="246"/>
      <c r="E20" s="246"/>
      <c r="F20" s="246"/>
      <c r="G20" s="246"/>
      <c r="H20" s="245"/>
      <c r="I20" s="245"/>
    </row>
    <row r="22" spans="2:27" ht="33.950000000000003" customHeight="1" x14ac:dyDescent="0.25">
      <c r="B22" s="146" t="s">
        <v>554</v>
      </c>
      <c r="C22" s="161" t="s">
        <v>1140</v>
      </c>
      <c r="D22" s="161"/>
      <c r="E22" s="161"/>
      <c r="F22" s="161"/>
      <c r="G22" s="161"/>
    </row>
    <row r="24" spans="2:27" ht="44.45" customHeight="1" x14ac:dyDescent="0.25">
      <c r="B24" s="146" t="s">
        <v>547</v>
      </c>
      <c r="C24" s="247" t="s">
        <v>1141</v>
      </c>
      <c r="D24" s="247"/>
      <c r="E24" s="247"/>
      <c r="F24" s="247"/>
      <c r="G24" s="247"/>
    </row>
    <row r="26" spans="2:27" x14ac:dyDescent="0.25">
      <c r="B26" s="237" t="s">
        <v>29</v>
      </c>
      <c r="C26" s="237"/>
      <c r="D26" s="237"/>
      <c r="E26" s="237"/>
      <c r="F26" s="237"/>
      <c r="G26" s="237"/>
      <c r="H26" s="237"/>
      <c r="I26" s="237"/>
      <c r="J26" s="237"/>
      <c r="K26" s="237"/>
      <c r="L26" s="237"/>
    </row>
    <row r="27" spans="2:27" x14ac:dyDescent="0.25">
      <c r="B27" s="238" t="s">
        <v>89</v>
      </c>
      <c r="C27" s="239"/>
      <c r="D27" s="239"/>
      <c r="E27" s="239"/>
      <c r="F27" s="239"/>
      <c r="G27" s="239"/>
      <c r="H27" s="239"/>
      <c r="I27" s="239"/>
      <c r="J27" s="239"/>
      <c r="K27" s="239"/>
      <c r="L27" s="239"/>
    </row>
    <row r="28" spans="2:27" x14ac:dyDescent="0.25">
      <c r="B28" s="240" t="s">
        <v>26</v>
      </c>
      <c r="C28" s="240">
        <f>D$8</f>
        <v>2021</v>
      </c>
      <c r="D28" s="240">
        <f t="shared" ref="D28:AA28" si="1">E$8</f>
        <v>2022</v>
      </c>
      <c r="E28" s="240">
        <f t="shared" si="1"/>
        <v>2023</v>
      </c>
      <c r="F28" s="240">
        <f t="shared" si="1"/>
        <v>2024</v>
      </c>
      <c r="G28" s="240">
        <f t="shared" si="1"/>
        <v>2025</v>
      </c>
      <c r="H28" s="240">
        <f t="shared" si="1"/>
        <v>2026</v>
      </c>
      <c r="I28" s="240">
        <f t="shared" si="1"/>
        <v>2027</v>
      </c>
      <c r="J28" s="240">
        <f t="shared" si="1"/>
        <v>2028</v>
      </c>
      <c r="K28" s="240">
        <f t="shared" si="1"/>
        <v>2029</v>
      </c>
      <c r="L28" s="240">
        <f t="shared" si="1"/>
        <v>2030</v>
      </c>
      <c r="M28" s="240">
        <f t="shared" si="1"/>
        <v>2031</v>
      </c>
      <c r="N28" s="240">
        <f t="shared" si="1"/>
        <v>2032</v>
      </c>
      <c r="O28" s="240">
        <f t="shared" si="1"/>
        <v>2033</v>
      </c>
      <c r="P28" s="240">
        <f t="shared" si="1"/>
        <v>2034</v>
      </c>
      <c r="Q28" s="240">
        <f t="shared" si="1"/>
        <v>2035</v>
      </c>
      <c r="R28" s="240">
        <f t="shared" si="1"/>
        <v>2036</v>
      </c>
      <c r="S28" s="240">
        <f t="shared" si="1"/>
        <v>2037</v>
      </c>
      <c r="T28" s="240">
        <f t="shared" si="1"/>
        <v>2038</v>
      </c>
      <c r="U28" s="240">
        <f t="shared" si="1"/>
        <v>2039</v>
      </c>
      <c r="V28" s="240">
        <f t="shared" si="1"/>
        <v>2040</v>
      </c>
      <c r="W28" s="240" t="str">
        <f t="shared" si="1"/>
        <v/>
      </c>
      <c r="X28" s="240" t="str">
        <f t="shared" si="1"/>
        <v/>
      </c>
      <c r="Y28" s="240" t="str">
        <f t="shared" si="1"/>
        <v/>
      </c>
      <c r="Z28" s="240" t="str">
        <f t="shared" si="1"/>
        <v/>
      </c>
      <c r="AA28" s="240" t="str">
        <f t="shared" si="1"/>
        <v/>
      </c>
    </row>
    <row r="29" spans="2:27" x14ac:dyDescent="0.25">
      <c r="B29" s="248" t="s">
        <v>153</v>
      </c>
      <c r="C29" s="215">
        <f>IF(C28="","",0)</f>
        <v>0</v>
      </c>
      <c r="D29" s="215">
        <f t="shared" ref="D29:AA29" si="2">IF(D28="","",0)</f>
        <v>0</v>
      </c>
      <c r="E29" s="215">
        <f t="shared" si="2"/>
        <v>0</v>
      </c>
      <c r="F29" s="215">
        <f t="shared" si="2"/>
        <v>0</v>
      </c>
      <c r="G29" s="215">
        <f t="shared" si="2"/>
        <v>0</v>
      </c>
      <c r="H29" s="215">
        <f t="shared" si="2"/>
        <v>0</v>
      </c>
      <c r="I29" s="215">
        <f t="shared" si="2"/>
        <v>0</v>
      </c>
      <c r="J29" s="215">
        <f t="shared" si="2"/>
        <v>0</v>
      </c>
      <c r="K29" s="215">
        <f t="shared" si="2"/>
        <v>0</v>
      </c>
      <c r="L29" s="215">
        <f t="shared" si="2"/>
        <v>0</v>
      </c>
      <c r="M29" s="215">
        <f t="shared" si="2"/>
        <v>0</v>
      </c>
      <c r="N29" s="215">
        <f t="shared" si="2"/>
        <v>0</v>
      </c>
      <c r="O29" s="215">
        <f t="shared" si="2"/>
        <v>0</v>
      </c>
      <c r="P29" s="215">
        <f t="shared" si="2"/>
        <v>0</v>
      </c>
      <c r="Q29" s="215">
        <f t="shared" si="2"/>
        <v>0</v>
      </c>
      <c r="R29" s="215">
        <f t="shared" si="2"/>
        <v>0</v>
      </c>
      <c r="S29" s="215">
        <f t="shared" si="2"/>
        <v>0</v>
      </c>
      <c r="T29" s="215">
        <f t="shared" si="2"/>
        <v>0</v>
      </c>
      <c r="U29" s="215">
        <f t="shared" si="2"/>
        <v>0</v>
      </c>
      <c r="V29" s="215">
        <f t="shared" si="2"/>
        <v>0</v>
      </c>
      <c r="W29" s="215" t="str">
        <f t="shared" si="2"/>
        <v/>
      </c>
      <c r="X29" s="215" t="str">
        <f t="shared" si="2"/>
        <v/>
      </c>
      <c r="Y29" s="215" t="str">
        <f t="shared" si="2"/>
        <v/>
      </c>
      <c r="Z29" s="215" t="str">
        <f t="shared" si="2"/>
        <v/>
      </c>
      <c r="AA29" s="215" t="str">
        <f t="shared" si="2"/>
        <v/>
      </c>
    </row>
    <row r="30" spans="2:27" x14ac:dyDescent="0.25">
      <c r="B30" s="248" t="s">
        <v>154</v>
      </c>
      <c r="C30" s="215">
        <f>IF(C28="","",$C$39*($C$40+$C$42*$C$43)/$C$48+$C$39*$C$45*$C$46/1000)</f>
        <v>703.54213653090005</v>
      </c>
      <c r="D30" s="215">
        <f t="shared" ref="D30:AA30" si="3">IF(D28="","",$C$39*($C$40+$C$42*$C$43)/$C$48+$C$39*$C$45*$C$46/1000)</f>
        <v>703.54213653090005</v>
      </c>
      <c r="E30" s="215">
        <f t="shared" si="3"/>
        <v>703.54213653090005</v>
      </c>
      <c r="F30" s="215">
        <f t="shared" si="3"/>
        <v>703.54213653090005</v>
      </c>
      <c r="G30" s="215">
        <f t="shared" si="3"/>
        <v>703.54213653090005</v>
      </c>
      <c r="H30" s="215">
        <f t="shared" si="3"/>
        <v>703.54213653090005</v>
      </c>
      <c r="I30" s="215">
        <f t="shared" si="3"/>
        <v>703.54213653090005</v>
      </c>
      <c r="J30" s="215">
        <f t="shared" si="3"/>
        <v>703.54213653090005</v>
      </c>
      <c r="K30" s="215">
        <f t="shared" si="3"/>
        <v>703.54213653090005</v>
      </c>
      <c r="L30" s="215">
        <f t="shared" si="3"/>
        <v>703.54213653090005</v>
      </c>
      <c r="M30" s="215">
        <f t="shared" si="3"/>
        <v>703.54213653090005</v>
      </c>
      <c r="N30" s="215">
        <f t="shared" si="3"/>
        <v>703.54213653090005</v>
      </c>
      <c r="O30" s="215">
        <f t="shared" si="3"/>
        <v>703.54213653090005</v>
      </c>
      <c r="P30" s="215">
        <f t="shared" si="3"/>
        <v>703.54213653090005</v>
      </c>
      <c r="Q30" s="215">
        <f t="shared" si="3"/>
        <v>703.54213653090005</v>
      </c>
      <c r="R30" s="215">
        <f t="shared" si="3"/>
        <v>703.54213653090005</v>
      </c>
      <c r="S30" s="215">
        <f t="shared" si="3"/>
        <v>703.54213653090005</v>
      </c>
      <c r="T30" s="215">
        <f t="shared" si="3"/>
        <v>703.54213653090005</v>
      </c>
      <c r="U30" s="215">
        <f t="shared" si="3"/>
        <v>703.54213653090005</v>
      </c>
      <c r="V30" s="215">
        <f t="shared" si="3"/>
        <v>703.54213653090005</v>
      </c>
      <c r="W30" s="215" t="str">
        <f t="shared" si="3"/>
        <v/>
      </c>
      <c r="X30" s="215" t="str">
        <f t="shared" si="3"/>
        <v/>
      </c>
      <c r="Y30" s="215" t="str">
        <f t="shared" si="3"/>
        <v/>
      </c>
      <c r="Z30" s="215" t="str">
        <f t="shared" si="3"/>
        <v/>
      </c>
      <c r="AA30" s="215" t="str">
        <f t="shared" si="3"/>
        <v/>
      </c>
    </row>
    <row r="31" spans="2:27" x14ac:dyDescent="0.25">
      <c r="B31" s="248" t="s">
        <v>150</v>
      </c>
      <c r="C31" s="215">
        <f>IF(C28="","",C30-C29)</f>
        <v>703.54213653090005</v>
      </c>
      <c r="D31" s="215">
        <f t="shared" ref="D31:AA31" si="4">IF(D28="","",D30-D29)</f>
        <v>703.54213653090005</v>
      </c>
      <c r="E31" s="215">
        <f t="shared" si="4"/>
        <v>703.54213653090005</v>
      </c>
      <c r="F31" s="215">
        <f t="shared" si="4"/>
        <v>703.54213653090005</v>
      </c>
      <c r="G31" s="215">
        <f t="shared" si="4"/>
        <v>703.54213653090005</v>
      </c>
      <c r="H31" s="215">
        <f t="shared" si="4"/>
        <v>703.54213653090005</v>
      </c>
      <c r="I31" s="215">
        <f t="shared" si="4"/>
        <v>703.54213653090005</v>
      </c>
      <c r="J31" s="215">
        <f t="shared" si="4"/>
        <v>703.54213653090005</v>
      </c>
      <c r="K31" s="215">
        <f t="shared" si="4"/>
        <v>703.54213653090005</v>
      </c>
      <c r="L31" s="215">
        <f t="shared" si="4"/>
        <v>703.54213653090005</v>
      </c>
      <c r="M31" s="215">
        <f t="shared" si="4"/>
        <v>703.54213653090005</v>
      </c>
      <c r="N31" s="215">
        <f t="shared" si="4"/>
        <v>703.54213653090005</v>
      </c>
      <c r="O31" s="215">
        <f t="shared" si="4"/>
        <v>703.54213653090005</v>
      </c>
      <c r="P31" s="215">
        <f t="shared" si="4"/>
        <v>703.54213653090005</v>
      </c>
      <c r="Q31" s="215">
        <f t="shared" si="4"/>
        <v>703.54213653090005</v>
      </c>
      <c r="R31" s="215">
        <f t="shared" si="4"/>
        <v>703.54213653090005</v>
      </c>
      <c r="S31" s="215">
        <f t="shared" si="4"/>
        <v>703.54213653090005</v>
      </c>
      <c r="T31" s="215">
        <f t="shared" si="4"/>
        <v>703.54213653090005</v>
      </c>
      <c r="U31" s="215">
        <f t="shared" si="4"/>
        <v>703.54213653090005</v>
      </c>
      <c r="V31" s="215">
        <f t="shared" si="4"/>
        <v>703.54213653090005</v>
      </c>
      <c r="W31" s="215" t="str">
        <f t="shared" si="4"/>
        <v/>
      </c>
      <c r="X31" s="215" t="str">
        <f t="shared" si="4"/>
        <v/>
      </c>
      <c r="Y31" s="215" t="str">
        <f t="shared" si="4"/>
        <v/>
      </c>
      <c r="Z31" s="215" t="str">
        <f t="shared" si="4"/>
        <v/>
      </c>
      <c r="AA31" s="215" t="str">
        <f t="shared" si="4"/>
        <v/>
      </c>
    </row>
    <row r="34" spans="2:9" x14ac:dyDescent="0.25">
      <c r="B34" s="249"/>
      <c r="C34" s="249" t="s">
        <v>19</v>
      </c>
      <c r="D34" s="205"/>
      <c r="E34" s="249" t="s">
        <v>4</v>
      </c>
      <c r="F34" s="205"/>
      <c r="G34" s="249" t="s">
        <v>83</v>
      </c>
      <c r="H34" s="249"/>
      <c r="I34" s="249"/>
    </row>
    <row r="35" spans="2:9" hidden="1" x14ac:dyDescent="0.25"/>
    <row r="36" spans="2:9" hidden="1" x14ac:dyDescent="0.25">
      <c r="B36" s="146" t="s">
        <v>1142</v>
      </c>
      <c r="C36" s="250">
        <v>3372</v>
      </c>
      <c r="E36" s="146" t="s">
        <v>1006</v>
      </c>
      <c r="G36" s="180" t="s">
        <v>1143</v>
      </c>
    </row>
    <row r="37" spans="2:9" hidden="1" x14ac:dyDescent="0.25">
      <c r="B37" s="251" t="s">
        <v>1144</v>
      </c>
    </row>
    <row r="39" spans="2:9" x14ac:dyDescent="0.25">
      <c r="B39" s="146" t="s">
        <v>1065</v>
      </c>
      <c r="C39" s="91">
        <v>30</v>
      </c>
      <c r="E39" s="146" t="s">
        <v>1006</v>
      </c>
    </row>
    <row r="40" spans="2:9" x14ac:dyDescent="0.25">
      <c r="B40" s="252" t="s">
        <v>101</v>
      </c>
      <c r="C40" s="253">
        <f>0.514</f>
        <v>0.51400000000000001</v>
      </c>
      <c r="D40" s="254"/>
      <c r="E40" s="255" t="s">
        <v>185</v>
      </c>
      <c r="F40" s="193"/>
      <c r="G40" s="193" t="s">
        <v>184</v>
      </c>
      <c r="H40" s="193"/>
      <c r="I40" s="193"/>
    </row>
    <row r="41" spans="2:9" ht="18" x14ac:dyDescent="0.25">
      <c r="B41" s="252" t="s">
        <v>959</v>
      </c>
      <c r="C41" s="253">
        <f>169/1000</f>
        <v>0.16900000000000001</v>
      </c>
      <c r="D41" s="254"/>
      <c r="E41" s="255" t="s">
        <v>1328</v>
      </c>
      <c r="F41" s="254"/>
      <c r="G41" s="256" t="s">
        <v>35</v>
      </c>
      <c r="H41" s="254"/>
      <c r="I41" s="255" t="s">
        <v>957</v>
      </c>
    </row>
    <row r="42" spans="2:9" ht="18" x14ac:dyDescent="0.25">
      <c r="B42" s="252" t="s">
        <v>48</v>
      </c>
      <c r="C42" s="257">
        <f>(21.3538+8.9864)/2000</f>
        <v>1.5170099999999999E-2</v>
      </c>
      <c r="D42" s="254"/>
      <c r="E42" s="255" t="s">
        <v>1331</v>
      </c>
      <c r="F42" s="258"/>
      <c r="G42" s="259" t="s">
        <v>38</v>
      </c>
      <c r="H42" s="254"/>
      <c r="I42" s="255" t="s">
        <v>958</v>
      </c>
    </row>
    <row r="43" spans="2:9" x14ac:dyDescent="0.25">
      <c r="B43" s="252" t="s">
        <v>49</v>
      </c>
      <c r="C43" s="257">
        <f>3/1000</f>
        <v>3.0000000000000001E-3</v>
      </c>
      <c r="D43" s="254"/>
      <c r="E43" s="255" t="s">
        <v>50</v>
      </c>
      <c r="F43" s="258"/>
      <c r="G43" s="259" t="s">
        <v>51</v>
      </c>
      <c r="H43" s="254"/>
      <c r="I43" s="255" t="s">
        <v>958</v>
      </c>
    </row>
    <row r="45" spans="2:9" x14ac:dyDescent="0.25">
      <c r="B45" s="146" t="s">
        <v>92</v>
      </c>
      <c r="C45" s="146">
        <v>78</v>
      </c>
      <c r="E45" s="146" t="s">
        <v>1145</v>
      </c>
      <c r="G45" s="146" t="s">
        <v>1146</v>
      </c>
    </row>
    <row r="46" spans="2:9" x14ac:dyDescent="0.25">
      <c r="B46" s="260" t="s">
        <v>1147</v>
      </c>
      <c r="C46" s="250">
        <v>300</v>
      </c>
      <c r="D46" s="260"/>
      <c r="E46" s="260" t="s">
        <v>69</v>
      </c>
      <c r="F46" s="260"/>
      <c r="G46" s="212" t="s">
        <v>166</v>
      </c>
    </row>
    <row r="48" spans="2:9" x14ac:dyDescent="0.25">
      <c r="B48" s="146" t="s">
        <v>1148</v>
      </c>
      <c r="C48" s="146">
        <v>10</v>
      </c>
      <c r="E48" s="146" t="s">
        <v>43</v>
      </c>
    </row>
    <row r="52" spans="2:27" x14ac:dyDescent="0.25">
      <c r="B52" s="245" t="s">
        <v>1136</v>
      </c>
      <c r="C52" s="245"/>
      <c r="D52" s="245"/>
      <c r="E52" s="245"/>
      <c r="F52" s="245"/>
      <c r="G52" s="245"/>
      <c r="H52" s="245"/>
      <c r="I52" s="245"/>
    </row>
    <row r="54" spans="2:27" ht="60.95" customHeight="1" x14ac:dyDescent="0.25">
      <c r="B54" s="146" t="s">
        <v>554</v>
      </c>
      <c r="C54" s="247" t="s">
        <v>1149</v>
      </c>
      <c r="D54" s="247"/>
      <c r="E54" s="247"/>
      <c r="F54" s="247"/>
      <c r="G54" s="247"/>
    </row>
    <row r="55" spans="2:27" x14ac:dyDescent="0.25">
      <c r="B55" s="261"/>
      <c r="C55" s="261"/>
      <c r="D55" s="261"/>
      <c r="E55" s="261"/>
      <c r="F55" s="261"/>
      <c r="G55" s="261"/>
    </row>
    <row r="56" spans="2:27" ht="96.95" customHeight="1" x14ac:dyDescent="0.25">
      <c r="B56" s="146" t="s">
        <v>547</v>
      </c>
      <c r="C56" s="247" t="s">
        <v>1150</v>
      </c>
      <c r="D56" s="247"/>
      <c r="E56" s="247"/>
      <c r="F56" s="247"/>
      <c r="G56" s="247"/>
    </row>
    <row r="58" spans="2:27" x14ac:dyDescent="0.25">
      <c r="B58" s="237" t="s">
        <v>29</v>
      </c>
      <c r="C58" s="237"/>
      <c r="D58" s="237"/>
      <c r="E58" s="237"/>
      <c r="F58" s="237"/>
      <c r="G58" s="237"/>
      <c r="H58" s="237"/>
      <c r="I58" s="237"/>
      <c r="J58" s="237"/>
      <c r="K58" s="237"/>
      <c r="L58" s="237"/>
    </row>
    <row r="59" spans="2:27" x14ac:dyDescent="0.25">
      <c r="B59" s="238" t="s">
        <v>89</v>
      </c>
      <c r="C59" s="239"/>
      <c r="D59" s="239"/>
      <c r="E59" s="239"/>
      <c r="F59" s="239"/>
      <c r="G59" s="239"/>
      <c r="H59" s="239"/>
      <c r="I59" s="239"/>
      <c r="J59" s="239"/>
      <c r="K59" s="239"/>
      <c r="L59" s="239"/>
    </row>
    <row r="60" spans="2:27" x14ac:dyDescent="0.25">
      <c r="B60" s="240" t="s">
        <v>26</v>
      </c>
      <c r="C60" s="240">
        <f>D$8</f>
        <v>2021</v>
      </c>
      <c r="D60" s="240">
        <f t="shared" ref="D60:AA60" si="5">E$8</f>
        <v>2022</v>
      </c>
      <c r="E60" s="240">
        <f t="shared" si="5"/>
        <v>2023</v>
      </c>
      <c r="F60" s="240">
        <f t="shared" si="5"/>
        <v>2024</v>
      </c>
      <c r="G60" s="240">
        <f t="shared" si="5"/>
        <v>2025</v>
      </c>
      <c r="H60" s="240">
        <f t="shared" si="5"/>
        <v>2026</v>
      </c>
      <c r="I60" s="240">
        <f t="shared" si="5"/>
        <v>2027</v>
      </c>
      <c r="J60" s="240">
        <f t="shared" si="5"/>
        <v>2028</v>
      </c>
      <c r="K60" s="240">
        <f t="shared" si="5"/>
        <v>2029</v>
      </c>
      <c r="L60" s="240">
        <f t="shared" si="5"/>
        <v>2030</v>
      </c>
      <c r="M60" s="240">
        <f t="shared" si="5"/>
        <v>2031</v>
      </c>
      <c r="N60" s="240">
        <f t="shared" si="5"/>
        <v>2032</v>
      </c>
      <c r="O60" s="240">
        <f t="shared" si="5"/>
        <v>2033</v>
      </c>
      <c r="P60" s="240">
        <f t="shared" si="5"/>
        <v>2034</v>
      </c>
      <c r="Q60" s="240">
        <f t="shared" si="5"/>
        <v>2035</v>
      </c>
      <c r="R60" s="240">
        <f t="shared" si="5"/>
        <v>2036</v>
      </c>
      <c r="S60" s="240">
        <f t="shared" si="5"/>
        <v>2037</v>
      </c>
      <c r="T60" s="240">
        <f t="shared" si="5"/>
        <v>2038</v>
      </c>
      <c r="U60" s="240">
        <f t="shared" si="5"/>
        <v>2039</v>
      </c>
      <c r="V60" s="240">
        <f t="shared" si="5"/>
        <v>2040</v>
      </c>
      <c r="W60" s="240" t="str">
        <f t="shared" si="5"/>
        <v/>
      </c>
      <c r="X60" s="240" t="str">
        <f t="shared" si="5"/>
        <v/>
      </c>
      <c r="Y60" s="240" t="str">
        <f t="shared" si="5"/>
        <v/>
      </c>
      <c r="Z60" s="240" t="str">
        <f t="shared" si="5"/>
        <v/>
      </c>
      <c r="AA60" s="240" t="str">
        <f t="shared" si="5"/>
        <v/>
      </c>
    </row>
    <row r="61" spans="2:27" x14ac:dyDescent="0.25">
      <c r="B61" s="248" t="s">
        <v>153</v>
      </c>
      <c r="C61" s="215">
        <f>IF(C60="","",0)</f>
        <v>0</v>
      </c>
      <c r="D61" s="215">
        <f t="shared" ref="D61:AA61" si="6">IF(D60="","",0)</f>
        <v>0</v>
      </c>
      <c r="E61" s="215">
        <f t="shared" si="6"/>
        <v>0</v>
      </c>
      <c r="F61" s="215">
        <f t="shared" si="6"/>
        <v>0</v>
      </c>
      <c r="G61" s="215">
        <f t="shared" si="6"/>
        <v>0</v>
      </c>
      <c r="H61" s="215">
        <f t="shared" si="6"/>
        <v>0</v>
      </c>
      <c r="I61" s="215">
        <f t="shared" si="6"/>
        <v>0</v>
      </c>
      <c r="J61" s="215">
        <f t="shared" si="6"/>
        <v>0</v>
      </c>
      <c r="K61" s="215">
        <f t="shared" si="6"/>
        <v>0</v>
      </c>
      <c r="L61" s="215">
        <f t="shared" si="6"/>
        <v>0</v>
      </c>
      <c r="M61" s="215">
        <f t="shared" si="6"/>
        <v>0</v>
      </c>
      <c r="N61" s="215">
        <f t="shared" si="6"/>
        <v>0</v>
      </c>
      <c r="O61" s="215">
        <f t="shared" si="6"/>
        <v>0</v>
      </c>
      <c r="P61" s="215">
        <f t="shared" si="6"/>
        <v>0</v>
      </c>
      <c r="Q61" s="215">
        <f t="shared" si="6"/>
        <v>0</v>
      </c>
      <c r="R61" s="215">
        <f t="shared" si="6"/>
        <v>0</v>
      </c>
      <c r="S61" s="215">
        <f t="shared" si="6"/>
        <v>0</v>
      </c>
      <c r="T61" s="215">
        <f t="shared" si="6"/>
        <v>0</v>
      </c>
      <c r="U61" s="215">
        <f t="shared" si="6"/>
        <v>0</v>
      </c>
      <c r="V61" s="215">
        <f t="shared" si="6"/>
        <v>0</v>
      </c>
      <c r="W61" s="215" t="str">
        <f t="shared" si="6"/>
        <v/>
      </c>
      <c r="X61" s="215" t="str">
        <f t="shared" si="6"/>
        <v/>
      </c>
      <c r="Y61" s="215" t="str">
        <f t="shared" si="6"/>
        <v/>
      </c>
      <c r="Z61" s="215" t="str">
        <f t="shared" si="6"/>
        <v/>
      </c>
      <c r="AA61" s="215" t="str">
        <f t="shared" si="6"/>
        <v/>
      </c>
    </row>
    <row r="62" spans="2:27" x14ac:dyDescent="0.25">
      <c r="B62" s="248" t="s">
        <v>154</v>
      </c>
      <c r="C62" s="215">
        <f>IF(C60="","",(($C$68/$C$71)*$C$72*($C$74+$C$73)*$C$5/1000000)*$C$69+$C$77*$C$39*$C$5/1000000)</f>
        <v>1.0398528324148453</v>
      </c>
      <c r="D62" s="215">
        <f t="shared" ref="D62:Z62" si="7">IF(D60="","",(($C$68/$C$71)*$C$72*($C$74+$C$73)*$C$5/1000000)*$C$69+$C$77*$C$39*$C$5/1000000)</f>
        <v>1.0398528324148453</v>
      </c>
      <c r="E62" s="215">
        <f t="shared" si="7"/>
        <v>1.0398528324148453</v>
      </c>
      <c r="F62" s="215">
        <f t="shared" si="7"/>
        <v>1.0398528324148453</v>
      </c>
      <c r="G62" s="215">
        <f t="shared" si="7"/>
        <v>1.0398528324148453</v>
      </c>
      <c r="H62" s="215">
        <f t="shared" si="7"/>
        <v>1.0398528324148453</v>
      </c>
      <c r="I62" s="215">
        <f t="shared" si="7"/>
        <v>1.0398528324148453</v>
      </c>
      <c r="J62" s="215">
        <f t="shared" si="7"/>
        <v>1.0398528324148453</v>
      </c>
      <c r="K62" s="215">
        <f t="shared" si="7"/>
        <v>1.0398528324148453</v>
      </c>
      <c r="L62" s="215">
        <f t="shared" si="7"/>
        <v>1.0398528324148453</v>
      </c>
      <c r="M62" s="215">
        <f t="shared" si="7"/>
        <v>1.0398528324148453</v>
      </c>
      <c r="N62" s="215">
        <f t="shared" si="7"/>
        <v>1.0398528324148453</v>
      </c>
      <c r="O62" s="215">
        <f t="shared" si="7"/>
        <v>1.0398528324148453</v>
      </c>
      <c r="P62" s="215">
        <f t="shared" si="7"/>
        <v>1.0398528324148453</v>
      </c>
      <c r="Q62" s="215">
        <f t="shared" si="7"/>
        <v>1.0398528324148453</v>
      </c>
      <c r="R62" s="215">
        <f t="shared" si="7"/>
        <v>1.0398528324148453</v>
      </c>
      <c r="S62" s="215">
        <f t="shared" si="7"/>
        <v>1.0398528324148453</v>
      </c>
      <c r="T62" s="215">
        <f t="shared" si="7"/>
        <v>1.0398528324148453</v>
      </c>
      <c r="U62" s="215">
        <f t="shared" si="7"/>
        <v>1.0398528324148453</v>
      </c>
      <c r="V62" s="215">
        <f t="shared" si="7"/>
        <v>1.0398528324148453</v>
      </c>
      <c r="W62" s="215" t="str">
        <f t="shared" si="7"/>
        <v/>
      </c>
      <c r="X62" s="215" t="str">
        <f t="shared" si="7"/>
        <v/>
      </c>
      <c r="Y62" s="215" t="str">
        <f t="shared" si="7"/>
        <v/>
      </c>
      <c r="Z62" s="215" t="str">
        <f t="shared" si="7"/>
        <v/>
      </c>
      <c r="AA62" s="215" t="str">
        <f t="shared" ref="AA62" si="8">IF(AA60="","",(($C$68/$C$71)*$C$72*($C$74+$C$73)*$C$5/1000000)*$C$69+$C$77*$C$39*$C$5/1000000)</f>
        <v/>
      </c>
    </row>
    <row r="63" spans="2:27" x14ac:dyDescent="0.25">
      <c r="B63" s="248" t="s">
        <v>150</v>
      </c>
      <c r="C63" s="215">
        <f>IF(C60="","",C62-C61)</f>
        <v>1.0398528324148453</v>
      </c>
      <c r="D63" s="215">
        <f t="shared" ref="D63:AA63" si="9">IF(D60="","",D62-D61)</f>
        <v>1.0398528324148453</v>
      </c>
      <c r="E63" s="215">
        <f t="shared" si="9"/>
        <v>1.0398528324148453</v>
      </c>
      <c r="F63" s="215">
        <f t="shared" si="9"/>
        <v>1.0398528324148453</v>
      </c>
      <c r="G63" s="215">
        <f t="shared" si="9"/>
        <v>1.0398528324148453</v>
      </c>
      <c r="H63" s="215">
        <f t="shared" si="9"/>
        <v>1.0398528324148453</v>
      </c>
      <c r="I63" s="215">
        <f t="shared" si="9"/>
        <v>1.0398528324148453</v>
      </c>
      <c r="J63" s="215">
        <f t="shared" si="9"/>
        <v>1.0398528324148453</v>
      </c>
      <c r="K63" s="215">
        <f t="shared" si="9"/>
        <v>1.0398528324148453</v>
      </c>
      <c r="L63" s="215">
        <f t="shared" si="9"/>
        <v>1.0398528324148453</v>
      </c>
      <c r="M63" s="215">
        <f t="shared" si="9"/>
        <v>1.0398528324148453</v>
      </c>
      <c r="N63" s="215">
        <f t="shared" si="9"/>
        <v>1.0398528324148453</v>
      </c>
      <c r="O63" s="215">
        <f t="shared" si="9"/>
        <v>1.0398528324148453</v>
      </c>
      <c r="P63" s="215">
        <f t="shared" si="9"/>
        <v>1.0398528324148453</v>
      </c>
      <c r="Q63" s="215">
        <f t="shared" si="9"/>
        <v>1.0398528324148453</v>
      </c>
      <c r="R63" s="215">
        <f t="shared" si="9"/>
        <v>1.0398528324148453</v>
      </c>
      <c r="S63" s="215">
        <f t="shared" si="9"/>
        <v>1.0398528324148453</v>
      </c>
      <c r="T63" s="215">
        <f t="shared" si="9"/>
        <v>1.0398528324148453</v>
      </c>
      <c r="U63" s="215">
        <f t="shared" si="9"/>
        <v>1.0398528324148453</v>
      </c>
      <c r="V63" s="215">
        <f t="shared" si="9"/>
        <v>1.0398528324148453</v>
      </c>
      <c r="W63" s="215" t="str">
        <f t="shared" si="9"/>
        <v/>
      </c>
      <c r="X63" s="215" t="str">
        <f t="shared" si="9"/>
        <v/>
      </c>
      <c r="Y63" s="215" t="str">
        <f t="shared" si="9"/>
        <v/>
      </c>
      <c r="Z63" s="215" t="str">
        <f t="shared" si="9"/>
        <v/>
      </c>
      <c r="AA63" s="215" t="str">
        <f t="shared" si="9"/>
        <v/>
      </c>
    </row>
    <row r="64" spans="2:27" x14ac:dyDescent="0.25">
      <c r="B64" s="202"/>
      <c r="C64" s="262"/>
      <c r="D64" s="262"/>
      <c r="E64" s="262"/>
      <c r="F64" s="262"/>
      <c r="G64" s="262"/>
      <c r="H64" s="262"/>
      <c r="I64" s="262"/>
      <c r="J64" s="262"/>
      <c r="K64" s="262"/>
      <c r="L64" s="262"/>
    </row>
    <row r="65" spans="2:16384" x14ac:dyDescent="0.25">
      <c r="B65" s="249"/>
      <c r="C65" s="249" t="s">
        <v>19</v>
      </c>
      <c r="D65" s="205"/>
      <c r="E65" s="249" t="s">
        <v>4</v>
      </c>
      <c r="F65" s="205"/>
      <c r="G65" s="249" t="s">
        <v>83</v>
      </c>
      <c r="H65" s="249"/>
      <c r="I65" s="249"/>
    </row>
    <row r="67" spans="2:16384" x14ac:dyDescent="0.25">
      <c r="B67" s="86" t="s">
        <v>1151</v>
      </c>
    </row>
    <row r="68" spans="2:16384" x14ac:dyDescent="0.25">
      <c r="B68" s="146" t="s">
        <v>1152</v>
      </c>
      <c r="C68" s="250">
        <v>8200</v>
      </c>
      <c r="E68" s="146" t="s">
        <v>1119</v>
      </c>
      <c r="G68" s="146" t="s">
        <v>841</v>
      </c>
    </row>
    <row r="69" spans="2:16384" x14ac:dyDescent="0.25">
      <c r="B69" s="146" t="s">
        <v>1153</v>
      </c>
      <c r="C69" s="91">
        <f>365/5</f>
        <v>73</v>
      </c>
      <c r="G69" s="196" t="s">
        <v>1154</v>
      </c>
    </row>
    <row r="70" spans="2:16384" x14ac:dyDescent="0.25">
      <c r="G70" s="146" t="s">
        <v>1155</v>
      </c>
    </row>
    <row r="71" spans="2:16384" x14ac:dyDescent="0.25">
      <c r="B71" s="146" t="s">
        <v>1156</v>
      </c>
      <c r="C71" s="98">
        <v>10000</v>
      </c>
      <c r="E71" s="146" t="s">
        <v>1157</v>
      </c>
      <c r="G71" s="196" t="s">
        <v>1154</v>
      </c>
    </row>
    <row r="72" spans="2:16384" x14ac:dyDescent="0.25">
      <c r="B72" s="146" t="s">
        <v>1158</v>
      </c>
      <c r="C72" s="253">
        <v>1</v>
      </c>
      <c r="E72" s="146" t="s">
        <v>1096</v>
      </c>
      <c r="G72" s="196" t="s">
        <v>1154</v>
      </c>
    </row>
    <row r="73" spans="2:16384" x14ac:dyDescent="0.25">
      <c r="B73" s="263" t="s">
        <v>31</v>
      </c>
      <c r="C73" s="264">
        <v>5.7000000000000002E-2</v>
      </c>
      <c r="D73" s="254"/>
      <c r="E73" s="263" t="s">
        <v>2</v>
      </c>
      <c r="F73" s="193"/>
      <c r="G73" s="255" t="s">
        <v>168</v>
      </c>
      <c r="J73" s="254"/>
      <c r="K73" s="254"/>
      <c r="O73" s="193"/>
      <c r="P73" s="255" t="s">
        <v>168</v>
      </c>
      <c r="Q73" s="263" t="s">
        <v>31</v>
      </c>
      <c r="R73" s="254"/>
      <c r="S73" s="254"/>
      <c r="T73" s="264">
        <v>5.7000000000000002E-2</v>
      </c>
      <c r="U73" s="193"/>
      <c r="V73" s="263" t="s">
        <v>2</v>
      </c>
      <c r="W73" s="193"/>
      <c r="X73" s="255" t="s">
        <v>168</v>
      </c>
      <c r="Y73" s="263" t="s">
        <v>31</v>
      </c>
      <c r="Z73" s="254"/>
      <c r="AA73" s="254"/>
      <c r="AB73" s="264">
        <v>5.7000000000000002E-2</v>
      </c>
      <c r="AC73" s="193"/>
      <c r="AD73" s="263" t="s">
        <v>2</v>
      </c>
      <c r="AE73" s="193"/>
      <c r="AF73" s="255" t="s">
        <v>168</v>
      </c>
      <c r="AG73" s="263" t="s">
        <v>31</v>
      </c>
      <c r="AH73" s="254"/>
      <c r="AI73" s="254"/>
      <c r="AJ73" s="264">
        <v>5.7000000000000002E-2</v>
      </c>
      <c r="AK73" s="193"/>
      <c r="AL73" s="263" t="s">
        <v>2</v>
      </c>
      <c r="AM73" s="193"/>
      <c r="AN73" s="255" t="s">
        <v>168</v>
      </c>
      <c r="AO73" s="263" t="s">
        <v>31</v>
      </c>
      <c r="AP73" s="254"/>
      <c r="AQ73" s="254"/>
      <c r="AR73" s="264">
        <v>5.7000000000000002E-2</v>
      </c>
      <c r="AS73" s="193"/>
      <c r="AT73" s="263" t="s">
        <v>2</v>
      </c>
      <c r="AU73" s="193"/>
      <c r="AV73" s="255" t="s">
        <v>168</v>
      </c>
      <c r="AW73" s="263" t="s">
        <v>31</v>
      </c>
      <c r="AX73" s="254"/>
      <c r="AY73" s="254"/>
      <c r="AZ73" s="264">
        <v>5.7000000000000002E-2</v>
      </c>
      <c r="BA73" s="193"/>
      <c r="BB73" s="263" t="s">
        <v>2</v>
      </c>
      <c r="BC73" s="193"/>
      <c r="BD73" s="255" t="s">
        <v>168</v>
      </c>
      <c r="BE73" s="263" t="s">
        <v>31</v>
      </c>
      <c r="BF73" s="254"/>
      <c r="BG73" s="254"/>
      <c r="BH73" s="264">
        <v>5.7000000000000002E-2</v>
      </c>
      <c r="BI73" s="193"/>
      <c r="BJ73" s="263" t="s">
        <v>2</v>
      </c>
      <c r="BK73" s="193"/>
      <c r="BL73" s="255" t="s">
        <v>168</v>
      </c>
      <c r="BM73" s="263" t="s">
        <v>31</v>
      </c>
      <c r="BN73" s="254"/>
      <c r="BO73" s="254"/>
      <c r="BP73" s="264">
        <v>5.7000000000000002E-2</v>
      </c>
      <c r="BQ73" s="193"/>
      <c r="BR73" s="263" t="s">
        <v>2</v>
      </c>
      <c r="BS73" s="193"/>
      <c r="BT73" s="255" t="s">
        <v>168</v>
      </c>
      <c r="BU73" s="263" t="s">
        <v>31</v>
      </c>
      <c r="BV73" s="254"/>
      <c r="BW73" s="254"/>
      <c r="BX73" s="264">
        <v>5.7000000000000002E-2</v>
      </c>
      <c r="BY73" s="193"/>
      <c r="BZ73" s="263" t="s">
        <v>2</v>
      </c>
      <c r="CA73" s="193"/>
      <c r="CB73" s="255" t="s">
        <v>168</v>
      </c>
      <c r="CC73" s="263" t="s">
        <v>31</v>
      </c>
      <c r="CD73" s="254"/>
      <c r="CE73" s="254"/>
      <c r="CF73" s="264">
        <v>5.7000000000000002E-2</v>
      </c>
      <c r="CG73" s="193"/>
      <c r="CH73" s="263" t="s">
        <v>2</v>
      </c>
      <c r="CI73" s="193"/>
      <c r="CJ73" s="255" t="s">
        <v>168</v>
      </c>
      <c r="CK73" s="263" t="s">
        <v>31</v>
      </c>
      <c r="CL73" s="254"/>
      <c r="CM73" s="254"/>
      <c r="CN73" s="264">
        <v>5.7000000000000002E-2</v>
      </c>
      <c r="CO73" s="193"/>
      <c r="CP73" s="263" t="s">
        <v>2</v>
      </c>
      <c r="CQ73" s="193"/>
      <c r="CR73" s="255" t="s">
        <v>168</v>
      </c>
      <c r="CS73" s="263" t="s">
        <v>31</v>
      </c>
      <c r="CT73" s="254"/>
      <c r="CU73" s="254"/>
      <c r="CV73" s="264">
        <v>5.7000000000000002E-2</v>
      </c>
      <c r="CW73" s="193"/>
      <c r="CX73" s="263" t="s">
        <v>2</v>
      </c>
      <c r="CY73" s="193"/>
      <c r="CZ73" s="255" t="s">
        <v>168</v>
      </c>
      <c r="DA73" s="263" t="s">
        <v>31</v>
      </c>
      <c r="DB73" s="254"/>
      <c r="DC73" s="254"/>
      <c r="DD73" s="264">
        <v>5.7000000000000002E-2</v>
      </c>
      <c r="DE73" s="193"/>
      <c r="DF73" s="263" t="s">
        <v>2</v>
      </c>
      <c r="DG73" s="193"/>
      <c r="DH73" s="255" t="s">
        <v>168</v>
      </c>
      <c r="DI73" s="263" t="s">
        <v>31</v>
      </c>
      <c r="DJ73" s="254"/>
      <c r="DK73" s="254"/>
      <c r="DL73" s="264">
        <v>5.7000000000000002E-2</v>
      </c>
      <c r="DM73" s="193"/>
      <c r="DN73" s="263" t="s">
        <v>2</v>
      </c>
      <c r="DO73" s="193"/>
      <c r="DP73" s="255" t="s">
        <v>168</v>
      </c>
      <c r="DQ73" s="263" t="s">
        <v>31</v>
      </c>
      <c r="DR73" s="254"/>
      <c r="DS73" s="254"/>
      <c r="DT73" s="264">
        <v>5.7000000000000002E-2</v>
      </c>
      <c r="DU73" s="193"/>
      <c r="DV73" s="263" t="s">
        <v>2</v>
      </c>
      <c r="DW73" s="193"/>
      <c r="DX73" s="255" t="s">
        <v>168</v>
      </c>
      <c r="DY73" s="263" t="s">
        <v>31</v>
      </c>
      <c r="DZ73" s="254"/>
      <c r="EA73" s="254"/>
      <c r="EB73" s="264">
        <v>5.7000000000000002E-2</v>
      </c>
      <c r="EC73" s="193"/>
      <c r="ED73" s="263" t="s">
        <v>2</v>
      </c>
      <c r="EE73" s="193"/>
      <c r="EF73" s="255" t="s">
        <v>168</v>
      </c>
      <c r="EG73" s="263" t="s">
        <v>31</v>
      </c>
      <c r="EH73" s="254"/>
      <c r="EI73" s="254"/>
      <c r="EJ73" s="264">
        <v>5.7000000000000002E-2</v>
      </c>
      <c r="EK73" s="193"/>
      <c r="EL73" s="263" t="s">
        <v>2</v>
      </c>
      <c r="EM73" s="193"/>
      <c r="EN73" s="255" t="s">
        <v>168</v>
      </c>
      <c r="EO73" s="263" t="s">
        <v>31</v>
      </c>
      <c r="EP73" s="254"/>
      <c r="EQ73" s="254"/>
      <c r="ER73" s="264">
        <v>5.7000000000000002E-2</v>
      </c>
      <c r="ES73" s="193"/>
      <c r="ET73" s="263" t="s">
        <v>2</v>
      </c>
      <c r="EU73" s="193"/>
      <c r="EV73" s="255" t="s">
        <v>168</v>
      </c>
      <c r="EW73" s="263" t="s">
        <v>31</v>
      </c>
      <c r="EX73" s="254"/>
      <c r="EY73" s="254"/>
      <c r="EZ73" s="264">
        <v>5.7000000000000002E-2</v>
      </c>
      <c r="FA73" s="193"/>
      <c r="FB73" s="263" t="s">
        <v>2</v>
      </c>
      <c r="FC73" s="193"/>
      <c r="FD73" s="255" t="s">
        <v>168</v>
      </c>
      <c r="FE73" s="263" t="s">
        <v>31</v>
      </c>
      <c r="FF73" s="254"/>
      <c r="FG73" s="254"/>
      <c r="FH73" s="264">
        <v>5.7000000000000002E-2</v>
      </c>
      <c r="FI73" s="193"/>
      <c r="FJ73" s="263" t="s">
        <v>2</v>
      </c>
      <c r="FK73" s="193"/>
      <c r="FL73" s="255" t="s">
        <v>168</v>
      </c>
      <c r="FM73" s="263" t="s">
        <v>31</v>
      </c>
      <c r="FN73" s="254"/>
      <c r="FO73" s="254"/>
      <c r="FP73" s="264">
        <v>5.7000000000000002E-2</v>
      </c>
      <c r="FQ73" s="193"/>
      <c r="FR73" s="263" t="s">
        <v>2</v>
      </c>
      <c r="FS73" s="193"/>
      <c r="FT73" s="255" t="s">
        <v>168</v>
      </c>
      <c r="FU73" s="263" t="s">
        <v>31</v>
      </c>
      <c r="FV73" s="254"/>
      <c r="FW73" s="254"/>
      <c r="FX73" s="264">
        <v>5.7000000000000002E-2</v>
      </c>
      <c r="FY73" s="193"/>
      <c r="FZ73" s="263" t="s">
        <v>2</v>
      </c>
      <c r="GA73" s="193"/>
      <c r="GB73" s="255" t="s">
        <v>168</v>
      </c>
      <c r="GC73" s="263" t="s">
        <v>31</v>
      </c>
      <c r="GD73" s="254"/>
      <c r="GE73" s="254"/>
      <c r="GF73" s="264">
        <v>5.7000000000000002E-2</v>
      </c>
      <c r="GG73" s="193"/>
      <c r="GH73" s="263" t="s">
        <v>2</v>
      </c>
      <c r="GI73" s="193"/>
      <c r="GJ73" s="255" t="s">
        <v>168</v>
      </c>
      <c r="GK73" s="263" t="s">
        <v>31</v>
      </c>
      <c r="GL73" s="254"/>
      <c r="GM73" s="254"/>
      <c r="GN73" s="264">
        <v>5.7000000000000002E-2</v>
      </c>
      <c r="GO73" s="193"/>
      <c r="GP73" s="263" t="s">
        <v>2</v>
      </c>
      <c r="GQ73" s="193"/>
      <c r="GR73" s="255" t="s">
        <v>168</v>
      </c>
      <c r="GS73" s="263" t="s">
        <v>31</v>
      </c>
      <c r="GT73" s="254"/>
      <c r="GU73" s="254"/>
      <c r="GV73" s="264">
        <v>5.7000000000000002E-2</v>
      </c>
      <c r="GW73" s="193"/>
      <c r="GX73" s="263" t="s">
        <v>2</v>
      </c>
      <c r="GY73" s="193"/>
      <c r="GZ73" s="255" t="s">
        <v>168</v>
      </c>
      <c r="HA73" s="263" t="s">
        <v>31</v>
      </c>
      <c r="HB73" s="254"/>
      <c r="HC73" s="254"/>
      <c r="HD73" s="264">
        <v>5.7000000000000002E-2</v>
      </c>
      <c r="HE73" s="193"/>
      <c r="HF73" s="263" t="s">
        <v>2</v>
      </c>
      <c r="HG73" s="193"/>
      <c r="HH73" s="255" t="s">
        <v>168</v>
      </c>
      <c r="HI73" s="263" t="s">
        <v>31</v>
      </c>
      <c r="HJ73" s="254"/>
      <c r="HK73" s="254"/>
      <c r="HL73" s="264">
        <v>5.7000000000000002E-2</v>
      </c>
      <c r="HM73" s="193"/>
      <c r="HN73" s="263" t="s">
        <v>2</v>
      </c>
      <c r="HO73" s="193"/>
      <c r="HP73" s="255" t="s">
        <v>168</v>
      </c>
      <c r="HQ73" s="263" t="s">
        <v>31</v>
      </c>
      <c r="HR73" s="254"/>
      <c r="HS73" s="254"/>
      <c r="HT73" s="264">
        <v>5.7000000000000002E-2</v>
      </c>
      <c r="HU73" s="193"/>
      <c r="HV73" s="263" t="s">
        <v>2</v>
      </c>
      <c r="HW73" s="193"/>
      <c r="HX73" s="255" t="s">
        <v>168</v>
      </c>
      <c r="HY73" s="263" t="s">
        <v>31</v>
      </c>
      <c r="HZ73" s="254"/>
      <c r="IA73" s="254"/>
      <c r="IB73" s="264">
        <v>5.7000000000000002E-2</v>
      </c>
      <c r="IC73" s="193"/>
      <c r="ID73" s="263" t="s">
        <v>2</v>
      </c>
      <c r="IE73" s="193"/>
      <c r="IF73" s="255" t="s">
        <v>168</v>
      </c>
      <c r="IG73" s="263" t="s">
        <v>31</v>
      </c>
      <c r="IH73" s="254"/>
      <c r="II73" s="254"/>
      <c r="IJ73" s="264">
        <v>5.7000000000000002E-2</v>
      </c>
      <c r="IK73" s="193"/>
      <c r="IL73" s="263" t="s">
        <v>2</v>
      </c>
      <c r="IM73" s="193"/>
      <c r="IN73" s="255" t="s">
        <v>168</v>
      </c>
      <c r="IO73" s="263" t="s">
        <v>31</v>
      </c>
      <c r="IP73" s="254"/>
      <c r="IQ73" s="254"/>
      <c r="IR73" s="264">
        <v>5.7000000000000002E-2</v>
      </c>
      <c r="IS73" s="193"/>
      <c r="IT73" s="263" t="s">
        <v>2</v>
      </c>
      <c r="IU73" s="193"/>
      <c r="IV73" s="255" t="s">
        <v>168</v>
      </c>
      <c r="IW73" s="263" t="s">
        <v>31</v>
      </c>
      <c r="IX73" s="254"/>
      <c r="IY73" s="254"/>
      <c r="IZ73" s="264">
        <v>5.7000000000000002E-2</v>
      </c>
      <c r="JA73" s="193"/>
      <c r="JB73" s="263" t="s">
        <v>2</v>
      </c>
      <c r="JC73" s="193"/>
      <c r="JD73" s="255" t="s">
        <v>168</v>
      </c>
      <c r="JE73" s="263" t="s">
        <v>31</v>
      </c>
      <c r="JF73" s="254"/>
      <c r="JG73" s="254"/>
      <c r="JH73" s="264">
        <v>5.7000000000000002E-2</v>
      </c>
      <c r="JI73" s="193"/>
      <c r="JJ73" s="263" t="s">
        <v>2</v>
      </c>
      <c r="JK73" s="193"/>
      <c r="JL73" s="255" t="s">
        <v>168</v>
      </c>
      <c r="JM73" s="263" t="s">
        <v>31</v>
      </c>
      <c r="JN73" s="254"/>
      <c r="JO73" s="254"/>
      <c r="JP73" s="264">
        <v>5.7000000000000002E-2</v>
      </c>
      <c r="JQ73" s="193"/>
      <c r="JR73" s="263" t="s">
        <v>2</v>
      </c>
      <c r="JS73" s="193"/>
      <c r="JT73" s="255" t="s">
        <v>168</v>
      </c>
      <c r="JU73" s="263" t="s">
        <v>31</v>
      </c>
      <c r="JV73" s="254"/>
      <c r="JW73" s="254"/>
      <c r="JX73" s="264">
        <v>5.7000000000000002E-2</v>
      </c>
      <c r="JY73" s="193"/>
      <c r="JZ73" s="263" t="s">
        <v>2</v>
      </c>
      <c r="KA73" s="193"/>
      <c r="KB73" s="255" t="s">
        <v>168</v>
      </c>
      <c r="KC73" s="263" t="s">
        <v>31</v>
      </c>
      <c r="KD73" s="254"/>
      <c r="KE73" s="254"/>
      <c r="KF73" s="264">
        <v>5.7000000000000002E-2</v>
      </c>
      <c r="KG73" s="193"/>
      <c r="KH73" s="263" t="s">
        <v>2</v>
      </c>
      <c r="KI73" s="193"/>
      <c r="KJ73" s="255" t="s">
        <v>168</v>
      </c>
      <c r="KK73" s="263" t="s">
        <v>31</v>
      </c>
      <c r="KL73" s="254"/>
      <c r="KM73" s="254"/>
      <c r="KN73" s="264">
        <v>5.7000000000000002E-2</v>
      </c>
      <c r="KO73" s="193"/>
      <c r="KP73" s="263" t="s">
        <v>2</v>
      </c>
      <c r="KQ73" s="193"/>
      <c r="KR73" s="255" t="s">
        <v>168</v>
      </c>
      <c r="KS73" s="263" t="s">
        <v>31</v>
      </c>
      <c r="KT73" s="254"/>
      <c r="KU73" s="254"/>
      <c r="KV73" s="264">
        <v>5.7000000000000002E-2</v>
      </c>
      <c r="KW73" s="193"/>
      <c r="KX73" s="263" t="s">
        <v>2</v>
      </c>
      <c r="KY73" s="193"/>
      <c r="KZ73" s="255" t="s">
        <v>168</v>
      </c>
      <c r="LA73" s="263" t="s">
        <v>31</v>
      </c>
      <c r="LB73" s="254"/>
      <c r="LC73" s="254"/>
      <c r="LD73" s="264">
        <v>5.7000000000000002E-2</v>
      </c>
      <c r="LE73" s="193"/>
      <c r="LF73" s="263" t="s">
        <v>2</v>
      </c>
      <c r="LG73" s="193"/>
      <c r="LH73" s="255" t="s">
        <v>168</v>
      </c>
      <c r="LI73" s="263" t="s">
        <v>31</v>
      </c>
      <c r="LJ73" s="254"/>
      <c r="LK73" s="254"/>
      <c r="LL73" s="264">
        <v>5.7000000000000002E-2</v>
      </c>
      <c r="LM73" s="193"/>
      <c r="LN73" s="263" t="s">
        <v>2</v>
      </c>
      <c r="LO73" s="193"/>
      <c r="LP73" s="255" t="s">
        <v>168</v>
      </c>
      <c r="LQ73" s="263" t="s">
        <v>31</v>
      </c>
      <c r="LR73" s="254"/>
      <c r="LS73" s="254"/>
      <c r="LT73" s="264">
        <v>5.7000000000000002E-2</v>
      </c>
      <c r="LU73" s="193"/>
      <c r="LV73" s="263" t="s">
        <v>2</v>
      </c>
      <c r="LW73" s="193"/>
      <c r="LX73" s="255" t="s">
        <v>168</v>
      </c>
      <c r="LY73" s="263" t="s">
        <v>31</v>
      </c>
      <c r="LZ73" s="254"/>
      <c r="MA73" s="254"/>
      <c r="MB73" s="264">
        <v>5.7000000000000002E-2</v>
      </c>
      <c r="MC73" s="193"/>
      <c r="MD73" s="263" t="s">
        <v>2</v>
      </c>
      <c r="ME73" s="193"/>
      <c r="MF73" s="255" t="s">
        <v>168</v>
      </c>
      <c r="MG73" s="263" t="s">
        <v>31</v>
      </c>
      <c r="MH73" s="254"/>
      <c r="MI73" s="254"/>
      <c r="MJ73" s="264">
        <v>5.7000000000000002E-2</v>
      </c>
      <c r="MK73" s="193"/>
      <c r="ML73" s="263" t="s">
        <v>2</v>
      </c>
      <c r="MM73" s="193"/>
      <c r="MN73" s="255" t="s">
        <v>168</v>
      </c>
      <c r="MO73" s="263" t="s">
        <v>31</v>
      </c>
      <c r="MP73" s="254"/>
      <c r="MQ73" s="254"/>
      <c r="MR73" s="264">
        <v>5.7000000000000002E-2</v>
      </c>
      <c r="MS73" s="193"/>
      <c r="MT73" s="263" t="s">
        <v>2</v>
      </c>
      <c r="MU73" s="193"/>
      <c r="MV73" s="255" t="s">
        <v>168</v>
      </c>
      <c r="MW73" s="263" t="s">
        <v>31</v>
      </c>
      <c r="MX73" s="254"/>
      <c r="MY73" s="254"/>
      <c r="MZ73" s="264">
        <v>5.7000000000000002E-2</v>
      </c>
      <c r="NA73" s="193"/>
      <c r="NB73" s="263" t="s">
        <v>2</v>
      </c>
      <c r="NC73" s="193"/>
      <c r="ND73" s="255" t="s">
        <v>168</v>
      </c>
      <c r="NE73" s="263" t="s">
        <v>31</v>
      </c>
      <c r="NF73" s="254"/>
      <c r="NG73" s="254"/>
      <c r="NH73" s="264">
        <v>5.7000000000000002E-2</v>
      </c>
      <c r="NI73" s="193"/>
      <c r="NJ73" s="263" t="s">
        <v>2</v>
      </c>
      <c r="NK73" s="193"/>
      <c r="NL73" s="255" t="s">
        <v>168</v>
      </c>
      <c r="NM73" s="263" t="s">
        <v>31</v>
      </c>
      <c r="NN73" s="254"/>
      <c r="NO73" s="254"/>
      <c r="NP73" s="264">
        <v>5.7000000000000002E-2</v>
      </c>
      <c r="NQ73" s="193"/>
      <c r="NR73" s="263" t="s">
        <v>2</v>
      </c>
      <c r="NS73" s="193"/>
      <c r="NT73" s="255" t="s">
        <v>168</v>
      </c>
      <c r="NU73" s="263" t="s">
        <v>31</v>
      </c>
      <c r="NV73" s="254"/>
      <c r="NW73" s="254"/>
      <c r="NX73" s="264">
        <v>5.7000000000000002E-2</v>
      </c>
      <c r="NY73" s="193"/>
      <c r="NZ73" s="263" t="s">
        <v>2</v>
      </c>
      <c r="OA73" s="193"/>
      <c r="OB73" s="255" t="s">
        <v>168</v>
      </c>
      <c r="OC73" s="263" t="s">
        <v>31</v>
      </c>
      <c r="OD73" s="254"/>
      <c r="OE73" s="254"/>
      <c r="OF73" s="264">
        <v>5.7000000000000002E-2</v>
      </c>
      <c r="OG73" s="193"/>
      <c r="OH73" s="263" t="s">
        <v>2</v>
      </c>
      <c r="OI73" s="193"/>
      <c r="OJ73" s="255" t="s">
        <v>168</v>
      </c>
      <c r="OK73" s="263" t="s">
        <v>31</v>
      </c>
      <c r="OL73" s="254"/>
      <c r="OM73" s="254"/>
      <c r="ON73" s="264">
        <v>5.7000000000000002E-2</v>
      </c>
      <c r="OO73" s="193"/>
      <c r="OP73" s="263" t="s">
        <v>2</v>
      </c>
      <c r="OQ73" s="193"/>
      <c r="OR73" s="255" t="s">
        <v>168</v>
      </c>
      <c r="OS73" s="263" t="s">
        <v>31</v>
      </c>
      <c r="OT73" s="254"/>
      <c r="OU73" s="254"/>
      <c r="OV73" s="264">
        <v>5.7000000000000002E-2</v>
      </c>
      <c r="OW73" s="193"/>
      <c r="OX73" s="263" t="s">
        <v>2</v>
      </c>
      <c r="OY73" s="193"/>
      <c r="OZ73" s="255" t="s">
        <v>168</v>
      </c>
      <c r="PA73" s="263" t="s">
        <v>31</v>
      </c>
      <c r="PB73" s="254"/>
      <c r="PC73" s="254"/>
      <c r="PD73" s="264">
        <v>5.7000000000000002E-2</v>
      </c>
      <c r="PE73" s="193"/>
      <c r="PF73" s="263" t="s">
        <v>2</v>
      </c>
      <c r="PG73" s="193"/>
      <c r="PH73" s="255" t="s">
        <v>168</v>
      </c>
      <c r="PI73" s="263" t="s">
        <v>31</v>
      </c>
      <c r="PJ73" s="254"/>
      <c r="PK73" s="254"/>
      <c r="PL73" s="264">
        <v>5.7000000000000002E-2</v>
      </c>
      <c r="PM73" s="193"/>
      <c r="PN73" s="263" t="s">
        <v>2</v>
      </c>
      <c r="PO73" s="193"/>
      <c r="PP73" s="255" t="s">
        <v>168</v>
      </c>
      <c r="PQ73" s="263" t="s">
        <v>31</v>
      </c>
      <c r="PR73" s="254"/>
      <c r="PS73" s="254"/>
      <c r="PT73" s="264">
        <v>5.7000000000000002E-2</v>
      </c>
      <c r="PU73" s="193"/>
      <c r="PV73" s="263" t="s">
        <v>2</v>
      </c>
      <c r="PW73" s="193"/>
      <c r="PX73" s="255" t="s">
        <v>168</v>
      </c>
      <c r="PY73" s="263" t="s">
        <v>31</v>
      </c>
      <c r="PZ73" s="254"/>
      <c r="QA73" s="254"/>
      <c r="QB73" s="264">
        <v>5.7000000000000002E-2</v>
      </c>
      <c r="QC73" s="193"/>
      <c r="QD73" s="263" t="s">
        <v>2</v>
      </c>
      <c r="QE73" s="193"/>
      <c r="QF73" s="255" t="s">
        <v>168</v>
      </c>
      <c r="QG73" s="263" t="s">
        <v>31</v>
      </c>
      <c r="QH73" s="254"/>
      <c r="QI73" s="254"/>
      <c r="QJ73" s="264">
        <v>5.7000000000000002E-2</v>
      </c>
      <c r="QK73" s="193"/>
      <c r="QL73" s="263" t="s">
        <v>2</v>
      </c>
      <c r="QM73" s="193"/>
      <c r="QN73" s="255" t="s">
        <v>168</v>
      </c>
      <c r="QO73" s="263" t="s">
        <v>31</v>
      </c>
      <c r="QP73" s="254"/>
      <c r="QQ73" s="254"/>
      <c r="QR73" s="264">
        <v>5.7000000000000002E-2</v>
      </c>
      <c r="QS73" s="193"/>
      <c r="QT73" s="263" t="s">
        <v>2</v>
      </c>
      <c r="QU73" s="193"/>
      <c r="QV73" s="255" t="s">
        <v>168</v>
      </c>
      <c r="QW73" s="263" t="s">
        <v>31</v>
      </c>
      <c r="QX73" s="254"/>
      <c r="QY73" s="254"/>
      <c r="QZ73" s="264">
        <v>5.7000000000000002E-2</v>
      </c>
      <c r="RA73" s="193"/>
      <c r="RB73" s="263" t="s">
        <v>2</v>
      </c>
      <c r="RC73" s="193"/>
      <c r="RD73" s="255" t="s">
        <v>168</v>
      </c>
      <c r="RE73" s="263" t="s">
        <v>31</v>
      </c>
      <c r="RF73" s="254"/>
      <c r="RG73" s="254"/>
      <c r="RH73" s="264">
        <v>5.7000000000000002E-2</v>
      </c>
      <c r="RI73" s="193"/>
      <c r="RJ73" s="263" t="s">
        <v>2</v>
      </c>
      <c r="RK73" s="193"/>
      <c r="RL73" s="255" t="s">
        <v>168</v>
      </c>
      <c r="RM73" s="263" t="s">
        <v>31</v>
      </c>
      <c r="RN73" s="254"/>
      <c r="RO73" s="254"/>
      <c r="RP73" s="264">
        <v>5.7000000000000002E-2</v>
      </c>
      <c r="RQ73" s="193"/>
      <c r="RR73" s="263" t="s">
        <v>2</v>
      </c>
      <c r="RS73" s="193"/>
      <c r="RT73" s="255" t="s">
        <v>168</v>
      </c>
      <c r="RU73" s="263" t="s">
        <v>31</v>
      </c>
      <c r="RV73" s="254"/>
      <c r="RW73" s="254"/>
      <c r="RX73" s="264">
        <v>5.7000000000000002E-2</v>
      </c>
      <c r="RY73" s="193"/>
      <c r="RZ73" s="263" t="s">
        <v>2</v>
      </c>
      <c r="SA73" s="193"/>
      <c r="SB73" s="255" t="s">
        <v>168</v>
      </c>
      <c r="SC73" s="263" t="s">
        <v>31</v>
      </c>
      <c r="SD73" s="254"/>
      <c r="SE73" s="254"/>
      <c r="SF73" s="264">
        <v>5.7000000000000002E-2</v>
      </c>
      <c r="SG73" s="193"/>
      <c r="SH73" s="263" t="s">
        <v>2</v>
      </c>
      <c r="SI73" s="193"/>
      <c r="SJ73" s="255" t="s">
        <v>168</v>
      </c>
      <c r="SK73" s="263" t="s">
        <v>31</v>
      </c>
      <c r="SL73" s="254"/>
      <c r="SM73" s="254"/>
      <c r="SN73" s="264">
        <v>5.7000000000000002E-2</v>
      </c>
      <c r="SO73" s="193"/>
      <c r="SP73" s="263" t="s">
        <v>2</v>
      </c>
      <c r="SQ73" s="193"/>
      <c r="SR73" s="255" t="s">
        <v>168</v>
      </c>
      <c r="SS73" s="263" t="s">
        <v>31</v>
      </c>
      <c r="ST73" s="254"/>
      <c r="SU73" s="254"/>
      <c r="SV73" s="264">
        <v>5.7000000000000002E-2</v>
      </c>
      <c r="SW73" s="193"/>
      <c r="SX73" s="263" t="s">
        <v>2</v>
      </c>
      <c r="SY73" s="193"/>
      <c r="SZ73" s="255" t="s">
        <v>168</v>
      </c>
      <c r="TA73" s="263" t="s">
        <v>31</v>
      </c>
      <c r="TB73" s="254"/>
      <c r="TC73" s="254"/>
      <c r="TD73" s="264">
        <v>5.7000000000000002E-2</v>
      </c>
      <c r="TE73" s="193"/>
      <c r="TF73" s="263" t="s">
        <v>2</v>
      </c>
      <c r="TG73" s="193"/>
      <c r="TH73" s="255" t="s">
        <v>168</v>
      </c>
      <c r="TI73" s="263" t="s">
        <v>31</v>
      </c>
      <c r="TJ73" s="254"/>
      <c r="TK73" s="254"/>
      <c r="TL73" s="264">
        <v>5.7000000000000002E-2</v>
      </c>
      <c r="TM73" s="193"/>
      <c r="TN73" s="263" t="s">
        <v>2</v>
      </c>
      <c r="TO73" s="193"/>
      <c r="TP73" s="255" t="s">
        <v>168</v>
      </c>
      <c r="TQ73" s="263" t="s">
        <v>31</v>
      </c>
      <c r="TR73" s="254"/>
      <c r="TS73" s="254"/>
      <c r="TT73" s="264">
        <v>5.7000000000000002E-2</v>
      </c>
      <c r="TU73" s="193"/>
      <c r="TV73" s="263" t="s">
        <v>2</v>
      </c>
      <c r="TW73" s="193"/>
      <c r="TX73" s="255" t="s">
        <v>168</v>
      </c>
      <c r="TY73" s="263" t="s">
        <v>31</v>
      </c>
      <c r="TZ73" s="254"/>
      <c r="UA73" s="254"/>
      <c r="UB73" s="264">
        <v>5.7000000000000002E-2</v>
      </c>
      <c r="UC73" s="193"/>
      <c r="UD73" s="263" t="s">
        <v>2</v>
      </c>
      <c r="UE73" s="193"/>
      <c r="UF73" s="255" t="s">
        <v>168</v>
      </c>
      <c r="UG73" s="263" t="s">
        <v>31</v>
      </c>
      <c r="UH73" s="254"/>
      <c r="UI73" s="254"/>
      <c r="UJ73" s="264">
        <v>5.7000000000000002E-2</v>
      </c>
      <c r="UK73" s="193"/>
      <c r="UL73" s="263" t="s">
        <v>2</v>
      </c>
      <c r="UM73" s="193"/>
      <c r="UN73" s="255" t="s">
        <v>168</v>
      </c>
      <c r="UO73" s="263" t="s">
        <v>31</v>
      </c>
      <c r="UP73" s="254"/>
      <c r="UQ73" s="254"/>
      <c r="UR73" s="264">
        <v>5.7000000000000002E-2</v>
      </c>
      <c r="US73" s="193"/>
      <c r="UT73" s="263" t="s">
        <v>2</v>
      </c>
      <c r="UU73" s="193"/>
      <c r="UV73" s="255" t="s">
        <v>168</v>
      </c>
      <c r="UW73" s="263" t="s">
        <v>31</v>
      </c>
      <c r="UX73" s="254"/>
      <c r="UY73" s="254"/>
      <c r="UZ73" s="264">
        <v>5.7000000000000002E-2</v>
      </c>
      <c r="VA73" s="193"/>
      <c r="VB73" s="263" t="s">
        <v>2</v>
      </c>
      <c r="VC73" s="193"/>
      <c r="VD73" s="255" t="s">
        <v>168</v>
      </c>
      <c r="VE73" s="263" t="s">
        <v>31</v>
      </c>
      <c r="VF73" s="254"/>
      <c r="VG73" s="254"/>
      <c r="VH73" s="264">
        <v>5.7000000000000002E-2</v>
      </c>
      <c r="VI73" s="193"/>
      <c r="VJ73" s="263" t="s">
        <v>2</v>
      </c>
      <c r="VK73" s="193"/>
      <c r="VL73" s="255" t="s">
        <v>168</v>
      </c>
      <c r="VM73" s="263" t="s">
        <v>31</v>
      </c>
      <c r="VN73" s="254"/>
      <c r="VO73" s="254"/>
      <c r="VP73" s="264">
        <v>5.7000000000000002E-2</v>
      </c>
      <c r="VQ73" s="193"/>
      <c r="VR73" s="263" t="s">
        <v>2</v>
      </c>
      <c r="VS73" s="193"/>
      <c r="VT73" s="255" t="s">
        <v>168</v>
      </c>
      <c r="VU73" s="263" t="s">
        <v>31</v>
      </c>
      <c r="VV73" s="254"/>
      <c r="VW73" s="254"/>
      <c r="VX73" s="264">
        <v>5.7000000000000002E-2</v>
      </c>
      <c r="VY73" s="193"/>
      <c r="VZ73" s="263" t="s">
        <v>2</v>
      </c>
      <c r="WA73" s="193"/>
      <c r="WB73" s="255" t="s">
        <v>168</v>
      </c>
      <c r="WC73" s="263" t="s">
        <v>31</v>
      </c>
      <c r="WD73" s="254"/>
      <c r="WE73" s="254"/>
      <c r="WF73" s="264">
        <v>5.7000000000000002E-2</v>
      </c>
      <c r="WG73" s="193"/>
      <c r="WH73" s="263" t="s">
        <v>2</v>
      </c>
      <c r="WI73" s="193"/>
      <c r="WJ73" s="255" t="s">
        <v>168</v>
      </c>
      <c r="WK73" s="263" t="s">
        <v>31</v>
      </c>
      <c r="WL73" s="254"/>
      <c r="WM73" s="254"/>
      <c r="WN73" s="264">
        <v>5.7000000000000002E-2</v>
      </c>
      <c r="WO73" s="193"/>
      <c r="WP73" s="263" t="s">
        <v>2</v>
      </c>
      <c r="WQ73" s="193"/>
      <c r="WR73" s="255" t="s">
        <v>168</v>
      </c>
      <c r="WS73" s="263" t="s">
        <v>31</v>
      </c>
      <c r="WT73" s="254"/>
      <c r="WU73" s="254"/>
      <c r="WV73" s="264">
        <v>5.7000000000000002E-2</v>
      </c>
      <c r="WW73" s="193"/>
      <c r="WX73" s="263" t="s">
        <v>2</v>
      </c>
      <c r="WY73" s="193"/>
      <c r="WZ73" s="255" t="s">
        <v>168</v>
      </c>
      <c r="XA73" s="263" t="s">
        <v>31</v>
      </c>
      <c r="XB73" s="254"/>
      <c r="XC73" s="254"/>
      <c r="XD73" s="264">
        <v>5.7000000000000002E-2</v>
      </c>
      <c r="XE73" s="193"/>
      <c r="XF73" s="263" t="s">
        <v>2</v>
      </c>
      <c r="XG73" s="193"/>
      <c r="XH73" s="255" t="s">
        <v>168</v>
      </c>
      <c r="XI73" s="263" t="s">
        <v>31</v>
      </c>
      <c r="XJ73" s="254"/>
      <c r="XK73" s="254"/>
      <c r="XL73" s="264">
        <v>5.7000000000000002E-2</v>
      </c>
      <c r="XM73" s="193"/>
      <c r="XN73" s="263" t="s">
        <v>2</v>
      </c>
      <c r="XO73" s="193"/>
      <c r="XP73" s="255" t="s">
        <v>168</v>
      </c>
      <c r="XQ73" s="263" t="s">
        <v>31</v>
      </c>
      <c r="XR73" s="254"/>
      <c r="XS73" s="254"/>
      <c r="XT73" s="264">
        <v>5.7000000000000002E-2</v>
      </c>
      <c r="XU73" s="193"/>
      <c r="XV73" s="263" t="s">
        <v>2</v>
      </c>
      <c r="XW73" s="193"/>
      <c r="XX73" s="255" t="s">
        <v>168</v>
      </c>
      <c r="XY73" s="263" t="s">
        <v>31</v>
      </c>
      <c r="XZ73" s="254"/>
      <c r="YA73" s="254"/>
      <c r="YB73" s="264">
        <v>5.7000000000000002E-2</v>
      </c>
      <c r="YC73" s="193"/>
      <c r="YD73" s="263" t="s">
        <v>2</v>
      </c>
      <c r="YE73" s="193"/>
      <c r="YF73" s="255" t="s">
        <v>168</v>
      </c>
      <c r="YG73" s="263" t="s">
        <v>31</v>
      </c>
      <c r="YH73" s="254"/>
      <c r="YI73" s="254"/>
      <c r="YJ73" s="264">
        <v>5.7000000000000002E-2</v>
      </c>
      <c r="YK73" s="193"/>
      <c r="YL73" s="263" t="s">
        <v>2</v>
      </c>
      <c r="YM73" s="193"/>
      <c r="YN73" s="255" t="s">
        <v>168</v>
      </c>
      <c r="YO73" s="263" t="s">
        <v>31</v>
      </c>
      <c r="YP73" s="254"/>
      <c r="YQ73" s="254"/>
      <c r="YR73" s="264">
        <v>5.7000000000000002E-2</v>
      </c>
      <c r="YS73" s="193"/>
      <c r="YT73" s="263" t="s">
        <v>2</v>
      </c>
      <c r="YU73" s="193"/>
      <c r="YV73" s="255" t="s">
        <v>168</v>
      </c>
      <c r="YW73" s="263" t="s">
        <v>31</v>
      </c>
      <c r="YX73" s="254"/>
      <c r="YY73" s="254"/>
      <c r="YZ73" s="264">
        <v>5.7000000000000002E-2</v>
      </c>
      <c r="ZA73" s="193"/>
      <c r="ZB73" s="263" t="s">
        <v>2</v>
      </c>
      <c r="ZC73" s="193"/>
      <c r="ZD73" s="255" t="s">
        <v>168</v>
      </c>
      <c r="ZE73" s="263" t="s">
        <v>31</v>
      </c>
      <c r="ZF73" s="254"/>
      <c r="ZG73" s="254"/>
      <c r="ZH73" s="264">
        <v>5.7000000000000002E-2</v>
      </c>
      <c r="ZI73" s="193"/>
      <c r="ZJ73" s="263" t="s">
        <v>2</v>
      </c>
      <c r="ZK73" s="193"/>
      <c r="ZL73" s="255" t="s">
        <v>168</v>
      </c>
      <c r="ZM73" s="263" t="s">
        <v>31</v>
      </c>
      <c r="ZN73" s="254"/>
      <c r="ZO73" s="254"/>
      <c r="ZP73" s="264">
        <v>5.7000000000000002E-2</v>
      </c>
      <c r="ZQ73" s="193"/>
      <c r="ZR73" s="263" t="s">
        <v>2</v>
      </c>
      <c r="ZS73" s="193"/>
      <c r="ZT73" s="255" t="s">
        <v>168</v>
      </c>
      <c r="ZU73" s="263" t="s">
        <v>31</v>
      </c>
      <c r="ZV73" s="254"/>
      <c r="ZW73" s="254"/>
      <c r="ZX73" s="264">
        <v>5.7000000000000002E-2</v>
      </c>
      <c r="ZY73" s="193"/>
      <c r="ZZ73" s="263" t="s">
        <v>2</v>
      </c>
      <c r="AAA73" s="193"/>
      <c r="AAB73" s="255" t="s">
        <v>168</v>
      </c>
      <c r="AAC73" s="263" t="s">
        <v>31</v>
      </c>
      <c r="AAD73" s="254"/>
      <c r="AAE73" s="254"/>
      <c r="AAF73" s="264">
        <v>5.7000000000000002E-2</v>
      </c>
      <c r="AAG73" s="193"/>
      <c r="AAH73" s="263" t="s">
        <v>2</v>
      </c>
      <c r="AAI73" s="193"/>
      <c r="AAJ73" s="255" t="s">
        <v>168</v>
      </c>
      <c r="AAK73" s="263" t="s">
        <v>31</v>
      </c>
      <c r="AAL73" s="254"/>
      <c r="AAM73" s="254"/>
      <c r="AAN73" s="264">
        <v>5.7000000000000002E-2</v>
      </c>
      <c r="AAO73" s="193"/>
      <c r="AAP73" s="263" t="s">
        <v>2</v>
      </c>
      <c r="AAQ73" s="193"/>
      <c r="AAR73" s="255" t="s">
        <v>168</v>
      </c>
      <c r="AAS73" s="263" t="s">
        <v>31</v>
      </c>
      <c r="AAT73" s="254"/>
      <c r="AAU73" s="254"/>
      <c r="AAV73" s="264">
        <v>5.7000000000000002E-2</v>
      </c>
      <c r="AAW73" s="193"/>
      <c r="AAX73" s="263" t="s">
        <v>2</v>
      </c>
      <c r="AAY73" s="193"/>
      <c r="AAZ73" s="255" t="s">
        <v>168</v>
      </c>
      <c r="ABA73" s="263" t="s">
        <v>31</v>
      </c>
      <c r="ABB73" s="254"/>
      <c r="ABC73" s="254"/>
      <c r="ABD73" s="264">
        <v>5.7000000000000002E-2</v>
      </c>
      <c r="ABE73" s="193"/>
      <c r="ABF73" s="263" t="s">
        <v>2</v>
      </c>
      <c r="ABG73" s="193"/>
      <c r="ABH73" s="255" t="s">
        <v>168</v>
      </c>
      <c r="ABI73" s="263" t="s">
        <v>31</v>
      </c>
      <c r="ABJ73" s="254"/>
      <c r="ABK73" s="254"/>
      <c r="ABL73" s="264">
        <v>5.7000000000000002E-2</v>
      </c>
      <c r="ABM73" s="193"/>
      <c r="ABN73" s="263" t="s">
        <v>2</v>
      </c>
      <c r="ABO73" s="193"/>
      <c r="ABP73" s="255" t="s">
        <v>168</v>
      </c>
      <c r="ABQ73" s="263" t="s">
        <v>31</v>
      </c>
      <c r="ABR73" s="254"/>
      <c r="ABS73" s="254"/>
      <c r="ABT73" s="264">
        <v>5.7000000000000002E-2</v>
      </c>
      <c r="ABU73" s="193"/>
      <c r="ABV73" s="263" t="s">
        <v>2</v>
      </c>
      <c r="ABW73" s="193"/>
      <c r="ABX73" s="255" t="s">
        <v>168</v>
      </c>
      <c r="ABY73" s="263" t="s">
        <v>31</v>
      </c>
      <c r="ABZ73" s="254"/>
      <c r="ACA73" s="254"/>
      <c r="ACB73" s="264">
        <v>5.7000000000000002E-2</v>
      </c>
      <c r="ACC73" s="193"/>
      <c r="ACD73" s="263" t="s">
        <v>2</v>
      </c>
      <c r="ACE73" s="193"/>
      <c r="ACF73" s="255" t="s">
        <v>168</v>
      </c>
      <c r="ACG73" s="263" t="s">
        <v>31</v>
      </c>
      <c r="ACH73" s="254"/>
      <c r="ACI73" s="254"/>
      <c r="ACJ73" s="264">
        <v>5.7000000000000002E-2</v>
      </c>
      <c r="ACK73" s="193"/>
      <c r="ACL73" s="263" t="s">
        <v>2</v>
      </c>
      <c r="ACM73" s="193"/>
      <c r="ACN73" s="255" t="s">
        <v>168</v>
      </c>
      <c r="ACO73" s="263" t="s">
        <v>31</v>
      </c>
      <c r="ACP73" s="254"/>
      <c r="ACQ73" s="254"/>
      <c r="ACR73" s="264">
        <v>5.7000000000000002E-2</v>
      </c>
      <c r="ACS73" s="193"/>
      <c r="ACT73" s="263" t="s">
        <v>2</v>
      </c>
      <c r="ACU73" s="193"/>
      <c r="ACV73" s="255" t="s">
        <v>168</v>
      </c>
      <c r="ACW73" s="263" t="s">
        <v>31</v>
      </c>
      <c r="ACX73" s="254"/>
      <c r="ACY73" s="254"/>
      <c r="ACZ73" s="264">
        <v>5.7000000000000002E-2</v>
      </c>
      <c r="ADA73" s="193"/>
      <c r="ADB73" s="263" t="s">
        <v>2</v>
      </c>
      <c r="ADC73" s="193"/>
      <c r="ADD73" s="255" t="s">
        <v>168</v>
      </c>
      <c r="ADE73" s="263" t="s">
        <v>31</v>
      </c>
      <c r="ADF73" s="254"/>
      <c r="ADG73" s="254"/>
      <c r="ADH73" s="264">
        <v>5.7000000000000002E-2</v>
      </c>
      <c r="ADI73" s="193"/>
      <c r="ADJ73" s="263" t="s">
        <v>2</v>
      </c>
      <c r="ADK73" s="193"/>
      <c r="ADL73" s="255" t="s">
        <v>168</v>
      </c>
      <c r="ADM73" s="263" t="s">
        <v>31</v>
      </c>
      <c r="ADN73" s="254"/>
      <c r="ADO73" s="254"/>
      <c r="ADP73" s="264">
        <v>5.7000000000000002E-2</v>
      </c>
      <c r="ADQ73" s="193"/>
      <c r="ADR73" s="263" t="s">
        <v>2</v>
      </c>
      <c r="ADS73" s="193"/>
      <c r="ADT73" s="255" t="s">
        <v>168</v>
      </c>
      <c r="ADU73" s="263" t="s">
        <v>31</v>
      </c>
      <c r="ADV73" s="254"/>
      <c r="ADW73" s="254"/>
      <c r="ADX73" s="264">
        <v>5.7000000000000002E-2</v>
      </c>
      <c r="ADY73" s="193"/>
      <c r="ADZ73" s="263" t="s">
        <v>2</v>
      </c>
      <c r="AEA73" s="193"/>
      <c r="AEB73" s="255" t="s">
        <v>168</v>
      </c>
      <c r="AEC73" s="263" t="s">
        <v>31</v>
      </c>
      <c r="AED73" s="254"/>
      <c r="AEE73" s="254"/>
      <c r="AEF73" s="264">
        <v>5.7000000000000002E-2</v>
      </c>
      <c r="AEG73" s="193"/>
      <c r="AEH73" s="263" t="s">
        <v>2</v>
      </c>
      <c r="AEI73" s="193"/>
      <c r="AEJ73" s="255" t="s">
        <v>168</v>
      </c>
      <c r="AEK73" s="263" t="s">
        <v>31</v>
      </c>
      <c r="AEL73" s="254"/>
      <c r="AEM73" s="254"/>
      <c r="AEN73" s="264">
        <v>5.7000000000000002E-2</v>
      </c>
      <c r="AEO73" s="193"/>
      <c r="AEP73" s="263" t="s">
        <v>2</v>
      </c>
      <c r="AEQ73" s="193"/>
      <c r="AER73" s="255" t="s">
        <v>168</v>
      </c>
      <c r="AES73" s="263" t="s">
        <v>31</v>
      </c>
      <c r="AET73" s="254"/>
      <c r="AEU73" s="254"/>
      <c r="AEV73" s="264">
        <v>5.7000000000000002E-2</v>
      </c>
      <c r="AEW73" s="193"/>
      <c r="AEX73" s="263" t="s">
        <v>2</v>
      </c>
      <c r="AEY73" s="193"/>
      <c r="AEZ73" s="255" t="s">
        <v>168</v>
      </c>
      <c r="AFA73" s="263" t="s">
        <v>31</v>
      </c>
      <c r="AFB73" s="254"/>
      <c r="AFC73" s="254"/>
      <c r="AFD73" s="264">
        <v>5.7000000000000002E-2</v>
      </c>
      <c r="AFE73" s="193"/>
      <c r="AFF73" s="263" t="s">
        <v>2</v>
      </c>
      <c r="AFG73" s="193"/>
      <c r="AFH73" s="255" t="s">
        <v>168</v>
      </c>
      <c r="AFI73" s="263" t="s">
        <v>31</v>
      </c>
      <c r="AFJ73" s="254"/>
      <c r="AFK73" s="254"/>
      <c r="AFL73" s="264">
        <v>5.7000000000000002E-2</v>
      </c>
      <c r="AFM73" s="193"/>
      <c r="AFN73" s="263" t="s">
        <v>2</v>
      </c>
      <c r="AFO73" s="193"/>
      <c r="AFP73" s="255" t="s">
        <v>168</v>
      </c>
      <c r="AFQ73" s="263" t="s">
        <v>31</v>
      </c>
      <c r="AFR73" s="254"/>
      <c r="AFS73" s="254"/>
      <c r="AFT73" s="264">
        <v>5.7000000000000002E-2</v>
      </c>
      <c r="AFU73" s="193"/>
      <c r="AFV73" s="263" t="s">
        <v>2</v>
      </c>
      <c r="AFW73" s="193"/>
      <c r="AFX73" s="255" t="s">
        <v>168</v>
      </c>
      <c r="AFY73" s="263" t="s">
        <v>31</v>
      </c>
      <c r="AFZ73" s="254"/>
      <c r="AGA73" s="254"/>
      <c r="AGB73" s="264">
        <v>5.7000000000000002E-2</v>
      </c>
      <c r="AGC73" s="193"/>
      <c r="AGD73" s="263" t="s">
        <v>2</v>
      </c>
      <c r="AGE73" s="193"/>
      <c r="AGF73" s="255" t="s">
        <v>168</v>
      </c>
      <c r="AGG73" s="263" t="s">
        <v>31</v>
      </c>
      <c r="AGH73" s="254"/>
      <c r="AGI73" s="254"/>
      <c r="AGJ73" s="264">
        <v>5.7000000000000002E-2</v>
      </c>
      <c r="AGK73" s="193"/>
      <c r="AGL73" s="263" t="s">
        <v>2</v>
      </c>
      <c r="AGM73" s="193"/>
      <c r="AGN73" s="255" t="s">
        <v>168</v>
      </c>
      <c r="AGO73" s="263" t="s">
        <v>31</v>
      </c>
      <c r="AGP73" s="254"/>
      <c r="AGQ73" s="254"/>
      <c r="AGR73" s="264">
        <v>5.7000000000000002E-2</v>
      </c>
      <c r="AGS73" s="193"/>
      <c r="AGT73" s="263" t="s">
        <v>2</v>
      </c>
      <c r="AGU73" s="193"/>
      <c r="AGV73" s="255" t="s">
        <v>168</v>
      </c>
      <c r="AGW73" s="263" t="s">
        <v>31</v>
      </c>
      <c r="AGX73" s="254"/>
      <c r="AGY73" s="254"/>
      <c r="AGZ73" s="264">
        <v>5.7000000000000002E-2</v>
      </c>
      <c r="AHA73" s="193"/>
      <c r="AHB73" s="263" t="s">
        <v>2</v>
      </c>
      <c r="AHC73" s="193"/>
      <c r="AHD73" s="255" t="s">
        <v>168</v>
      </c>
      <c r="AHE73" s="263" t="s">
        <v>31</v>
      </c>
      <c r="AHF73" s="254"/>
      <c r="AHG73" s="254"/>
      <c r="AHH73" s="264">
        <v>5.7000000000000002E-2</v>
      </c>
      <c r="AHI73" s="193"/>
      <c r="AHJ73" s="263" t="s">
        <v>2</v>
      </c>
      <c r="AHK73" s="193"/>
      <c r="AHL73" s="255" t="s">
        <v>168</v>
      </c>
      <c r="AHM73" s="263" t="s">
        <v>31</v>
      </c>
      <c r="AHN73" s="254"/>
      <c r="AHO73" s="254"/>
      <c r="AHP73" s="264">
        <v>5.7000000000000002E-2</v>
      </c>
      <c r="AHQ73" s="193"/>
      <c r="AHR73" s="263" t="s">
        <v>2</v>
      </c>
      <c r="AHS73" s="193"/>
      <c r="AHT73" s="255" t="s">
        <v>168</v>
      </c>
      <c r="AHU73" s="263" t="s">
        <v>31</v>
      </c>
      <c r="AHV73" s="254"/>
      <c r="AHW73" s="254"/>
      <c r="AHX73" s="264">
        <v>5.7000000000000002E-2</v>
      </c>
      <c r="AHY73" s="193"/>
      <c r="AHZ73" s="263" t="s">
        <v>2</v>
      </c>
      <c r="AIA73" s="193"/>
      <c r="AIB73" s="255" t="s">
        <v>168</v>
      </c>
      <c r="AIC73" s="263" t="s">
        <v>31</v>
      </c>
      <c r="AID73" s="254"/>
      <c r="AIE73" s="254"/>
      <c r="AIF73" s="264">
        <v>5.7000000000000002E-2</v>
      </c>
      <c r="AIG73" s="193"/>
      <c r="AIH73" s="263" t="s">
        <v>2</v>
      </c>
      <c r="AII73" s="193"/>
      <c r="AIJ73" s="255" t="s">
        <v>168</v>
      </c>
      <c r="AIK73" s="263" t="s">
        <v>31</v>
      </c>
      <c r="AIL73" s="254"/>
      <c r="AIM73" s="254"/>
      <c r="AIN73" s="264">
        <v>5.7000000000000002E-2</v>
      </c>
      <c r="AIO73" s="193"/>
      <c r="AIP73" s="263" t="s">
        <v>2</v>
      </c>
      <c r="AIQ73" s="193"/>
      <c r="AIR73" s="255" t="s">
        <v>168</v>
      </c>
      <c r="AIS73" s="263" t="s">
        <v>31</v>
      </c>
      <c r="AIT73" s="254"/>
      <c r="AIU73" s="254"/>
      <c r="AIV73" s="264">
        <v>5.7000000000000002E-2</v>
      </c>
      <c r="AIW73" s="193"/>
      <c r="AIX73" s="263" t="s">
        <v>2</v>
      </c>
      <c r="AIY73" s="193"/>
      <c r="AIZ73" s="255" t="s">
        <v>168</v>
      </c>
      <c r="AJA73" s="263" t="s">
        <v>31</v>
      </c>
      <c r="AJB73" s="254"/>
      <c r="AJC73" s="254"/>
      <c r="AJD73" s="264">
        <v>5.7000000000000002E-2</v>
      </c>
      <c r="AJE73" s="193"/>
      <c r="AJF73" s="263" t="s">
        <v>2</v>
      </c>
      <c r="AJG73" s="193"/>
      <c r="AJH73" s="255" t="s">
        <v>168</v>
      </c>
      <c r="AJI73" s="263" t="s">
        <v>31</v>
      </c>
      <c r="AJJ73" s="254"/>
      <c r="AJK73" s="254"/>
      <c r="AJL73" s="264">
        <v>5.7000000000000002E-2</v>
      </c>
      <c r="AJM73" s="193"/>
      <c r="AJN73" s="263" t="s">
        <v>2</v>
      </c>
      <c r="AJO73" s="193"/>
      <c r="AJP73" s="255" t="s">
        <v>168</v>
      </c>
      <c r="AJQ73" s="263" t="s">
        <v>31</v>
      </c>
      <c r="AJR73" s="254"/>
      <c r="AJS73" s="254"/>
      <c r="AJT73" s="264">
        <v>5.7000000000000002E-2</v>
      </c>
      <c r="AJU73" s="193"/>
      <c r="AJV73" s="263" t="s">
        <v>2</v>
      </c>
      <c r="AJW73" s="193"/>
      <c r="AJX73" s="255" t="s">
        <v>168</v>
      </c>
      <c r="AJY73" s="263" t="s">
        <v>31</v>
      </c>
      <c r="AJZ73" s="254"/>
      <c r="AKA73" s="254"/>
      <c r="AKB73" s="264">
        <v>5.7000000000000002E-2</v>
      </c>
      <c r="AKC73" s="193"/>
      <c r="AKD73" s="263" t="s">
        <v>2</v>
      </c>
      <c r="AKE73" s="193"/>
      <c r="AKF73" s="255" t="s">
        <v>168</v>
      </c>
      <c r="AKG73" s="263" t="s">
        <v>31</v>
      </c>
      <c r="AKH73" s="254"/>
      <c r="AKI73" s="254"/>
      <c r="AKJ73" s="264">
        <v>5.7000000000000002E-2</v>
      </c>
      <c r="AKK73" s="193"/>
      <c r="AKL73" s="263" t="s">
        <v>2</v>
      </c>
      <c r="AKM73" s="193"/>
      <c r="AKN73" s="255" t="s">
        <v>168</v>
      </c>
      <c r="AKO73" s="263" t="s">
        <v>31</v>
      </c>
      <c r="AKP73" s="254"/>
      <c r="AKQ73" s="254"/>
      <c r="AKR73" s="264">
        <v>5.7000000000000002E-2</v>
      </c>
      <c r="AKS73" s="193"/>
      <c r="AKT73" s="263" t="s">
        <v>2</v>
      </c>
      <c r="AKU73" s="193"/>
      <c r="AKV73" s="255" t="s">
        <v>168</v>
      </c>
      <c r="AKW73" s="263" t="s">
        <v>31</v>
      </c>
      <c r="AKX73" s="254"/>
      <c r="AKY73" s="254"/>
      <c r="AKZ73" s="264">
        <v>5.7000000000000002E-2</v>
      </c>
      <c r="ALA73" s="193"/>
      <c r="ALB73" s="263" t="s">
        <v>2</v>
      </c>
      <c r="ALC73" s="193"/>
      <c r="ALD73" s="255" t="s">
        <v>168</v>
      </c>
      <c r="ALE73" s="263" t="s">
        <v>31</v>
      </c>
      <c r="ALF73" s="254"/>
      <c r="ALG73" s="254"/>
      <c r="ALH73" s="264">
        <v>5.7000000000000002E-2</v>
      </c>
      <c r="ALI73" s="193"/>
      <c r="ALJ73" s="263" t="s">
        <v>2</v>
      </c>
      <c r="ALK73" s="193"/>
      <c r="ALL73" s="255" t="s">
        <v>168</v>
      </c>
      <c r="ALM73" s="263" t="s">
        <v>31</v>
      </c>
      <c r="ALN73" s="254"/>
      <c r="ALO73" s="254"/>
      <c r="ALP73" s="264">
        <v>5.7000000000000002E-2</v>
      </c>
      <c r="ALQ73" s="193"/>
      <c r="ALR73" s="263" t="s">
        <v>2</v>
      </c>
      <c r="ALS73" s="193"/>
      <c r="ALT73" s="255" t="s">
        <v>168</v>
      </c>
      <c r="ALU73" s="263" t="s">
        <v>31</v>
      </c>
      <c r="ALV73" s="254"/>
      <c r="ALW73" s="254"/>
      <c r="ALX73" s="264">
        <v>5.7000000000000002E-2</v>
      </c>
      <c r="ALY73" s="193"/>
      <c r="ALZ73" s="263" t="s">
        <v>2</v>
      </c>
      <c r="AMA73" s="193"/>
      <c r="AMB73" s="255" t="s">
        <v>168</v>
      </c>
      <c r="AMC73" s="263" t="s">
        <v>31</v>
      </c>
      <c r="AMD73" s="254"/>
      <c r="AME73" s="254"/>
      <c r="AMF73" s="264">
        <v>5.7000000000000002E-2</v>
      </c>
      <c r="AMG73" s="193"/>
      <c r="AMH73" s="263" t="s">
        <v>2</v>
      </c>
      <c r="AMI73" s="193"/>
      <c r="AMJ73" s="255" t="s">
        <v>168</v>
      </c>
      <c r="AMK73" s="263" t="s">
        <v>31</v>
      </c>
      <c r="AML73" s="254"/>
      <c r="AMM73" s="254"/>
      <c r="AMN73" s="264">
        <v>5.7000000000000002E-2</v>
      </c>
      <c r="AMO73" s="193"/>
      <c r="AMP73" s="263" t="s">
        <v>2</v>
      </c>
      <c r="AMQ73" s="193"/>
      <c r="AMR73" s="255" t="s">
        <v>168</v>
      </c>
      <c r="AMS73" s="263" t="s">
        <v>31</v>
      </c>
      <c r="AMT73" s="254"/>
      <c r="AMU73" s="254"/>
      <c r="AMV73" s="264">
        <v>5.7000000000000002E-2</v>
      </c>
      <c r="AMW73" s="193"/>
      <c r="AMX73" s="263" t="s">
        <v>2</v>
      </c>
      <c r="AMY73" s="193"/>
      <c r="AMZ73" s="255" t="s">
        <v>168</v>
      </c>
      <c r="ANA73" s="263" t="s">
        <v>31</v>
      </c>
      <c r="ANB73" s="254"/>
      <c r="ANC73" s="254"/>
      <c r="AND73" s="264">
        <v>5.7000000000000002E-2</v>
      </c>
      <c r="ANE73" s="193"/>
      <c r="ANF73" s="263" t="s">
        <v>2</v>
      </c>
      <c r="ANG73" s="193"/>
      <c r="ANH73" s="255" t="s">
        <v>168</v>
      </c>
      <c r="ANI73" s="263" t="s">
        <v>31</v>
      </c>
      <c r="ANJ73" s="254"/>
      <c r="ANK73" s="254"/>
      <c r="ANL73" s="264">
        <v>5.7000000000000002E-2</v>
      </c>
      <c r="ANM73" s="193"/>
      <c r="ANN73" s="263" t="s">
        <v>2</v>
      </c>
      <c r="ANO73" s="193"/>
      <c r="ANP73" s="255" t="s">
        <v>168</v>
      </c>
      <c r="ANQ73" s="263" t="s">
        <v>31</v>
      </c>
      <c r="ANR73" s="254"/>
      <c r="ANS73" s="254"/>
      <c r="ANT73" s="264">
        <v>5.7000000000000002E-2</v>
      </c>
      <c r="ANU73" s="193"/>
      <c r="ANV73" s="263" t="s">
        <v>2</v>
      </c>
      <c r="ANW73" s="193"/>
      <c r="ANX73" s="255" t="s">
        <v>168</v>
      </c>
      <c r="ANY73" s="263" t="s">
        <v>31</v>
      </c>
      <c r="ANZ73" s="254"/>
      <c r="AOA73" s="254"/>
      <c r="AOB73" s="264">
        <v>5.7000000000000002E-2</v>
      </c>
      <c r="AOC73" s="193"/>
      <c r="AOD73" s="263" t="s">
        <v>2</v>
      </c>
      <c r="AOE73" s="193"/>
      <c r="AOF73" s="255" t="s">
        <v>168</v>
      </c>
      <c r="AOG73" s="263" t="s">
        <v>31</v>
      </c>
      <c r="AOH73" s="254"/>
      <c r="AOI73" s="254"/>
      <c r="AOJ73" s="264">
        <v>5.7000000000000002E-2</v>
      </c>
      <c r="AOK73" s="193"/>
      <c r="AOL73" s="263" t="s">
        <v>2</v>
      </c>
      <c r="AOM73" s="193"/>
      <c r="AON73" s="255" t="s">
        <v>168</v>
      </c>
      <c r="AOO73" s="263" t="s">
        <v>31</v>
      </c>
      <c r="AOP73" s="254"/>
      <c r="AOQ73" s="254"/>
      <c r="AOR73" s="264">
        <v>5.7000000000000002E-2</v>
      </c>
      <c r="AOS73" s="193"/>
      <c r="AOT73" s="263" t="s">
        <v>2</v>
      </c>
      <c r="AOU73" s="193"/>
      <c r="AOV73" s="255" t="s">
        <v>168</v>
      </c>
      <c r="AOW73" s="263" t="s">
        <v>31</v>
      </c>
      <c r="AOX73" s="254"/>
      <c r="AOY73" s="254"/>
      <c r="AOZ73" s="264">
        <v>5.7000000000000002E-2</v>
      </c>
      <c r="APA73" s="193"/>
      <c r="APB73" s="263" t="s">
        <v>2</v>
      </c>
      <c r="APC73" s="193"/>
      <c r="APD73" s="255" t="s">
        <v>168</v>
      </c>
      <c r="APE73" s="263" t="s">
        <v>31</v>
      </c>
      <c r="APF73" s="254"/>
      <c r="APG73" s="254"/>
      <c r="APH73" s="264">
        <v>5.7000000000000002E-2</v>
      </c>
      <c r="API73" s="193"/>
      <c r="APJ73" s="263" t="s">
        <v>2</v>
      </c>
      <c r="APK73" s="193"/>
      <c r="APL73" s="255" t="s">
        <v>168</v>
      </c>
      <c r="APM73" s="263" t="s">
        <v>31</v>
      </c>
      <c r="APN73" s="254"/>
      <c r="APO73" s="254"/>
      <c r="APP73" s="264">
        <v>5.7000000000000002E-2</v>
      </c>
      <c r="APQ73" s="193"/>
      <c r="APR73" s="263" t="s">
        <v>2</v>
      </c>
      <c r="APS73" s="193"/>
      <c r="APT73" s="255" t="s">
        <v>168</v>
      </c>
      <c r="APU73" s="263" t="s">
        <v>31</v>
      </c>
      <c r="APV73" s="254"/>
      <c r="APW73" s="254"/>
      <c r="APX73" s="264">
        <v>5.7000000000000002E-2</v>
      </c>
      <c r="APY73" s="193"/>
      <c r="APZ73" s="263" t="s">
        <v>2</v>
      </c>
      <c r="AQA73" s="193"/>
      <c r="AQB73" s="255" t="s">
        <v>168</v>
      </c>
      <c r="AQC73" s="263" t="s">
        <v>31</v>
      </c>
      <c r="AQD73" s="254"/>
      <c r="AQE73" s="254"/>
      <c r="AQF73" s="264">
        <v>5.7000000000000002E-2</v>
      </c>
      <c r="AQG73" s="193"/>
      <c r="AQH73" s="263" t="s">
        <v>2</v>
      </c>
      <c r="AQI73" s="193"/>
      <c r="AQJ73" s="255" t="s">
        <v>168</v>
      </c>
      <c r="AQK73" s="263" t="s">
        <v>31</v>
      </c>
      <c r="AQL73" s="254"/>
      <c r="AQM73" s="254"/>
      <c r="AQN73" s="264">
        <v>5.7000000000000002E-2</v>
      </c>
      <c r="AQO73" s="193"/>
      <c r="AQP73" s="263" t="s">
        <v>2</v>
      </c>
      <c r="AQQ73" s="193"/>
      <c r="AQR73" s="255" t="s">
        <v>168</v>
      </c>
      <c r="AQS73" s="263" t="s">
        <v>31</v>
      </c>
      <c r="AQT73" s="254"/>
      <c r="AQU73" s="254"/>
      <c r="AQV73" s="264">
        <v>5.7000000000000002E-2</v>
      </c>
      <c r="AQW73" s="193"/>
      <c r="AQX73" s="263" t="s">
        <v>2</v>
      </c>
      <c r="AQY73" s="193"/>
      <c r="AQZ73" s="255" t="s">
        <v>168</v>
      </c>
      <c r="ARA73" s="263" t="s">
        <v>31</v>
      </c>
      <c r="ARB73" s="254"/>
      <c r="ARC73" s="254"/>
      <c r="ARD73" s="264">
        <v>5.7000000000000002E-2</v>
      </c>
      <c r="ARE73" s="193"/>
      <c r="ARF73" s="263" t="s">
        <v>2</v>
      </c>
      <c r="ARG73" s="193"/>
      <c r="ARH73" s="255" t="s">
        <v>168</v>
      </c>
      <c r="ARI73" s="263" t="s">
        <v>31</v>
      </c>
      <c r="ARJ73" s="254"/>
      <c r="ARK73" s="254"/>
      <c r="ARL73" s="264">
        <v>5.7000000000000002E-2</v>
      </c>
      <c r="ARM73" s="193"/>
      <c r="ARN73" s="263" t="s">
        <v>2</v>
      </c>
      <c r="ARO73" s="193"/>
      <c r="ARP73" s="255" t="s">
        <v>168</v>
      </c>
      <c r="ARQ73" s="263" t="s">
        <v>31</v>
      </c>
      <c r="ARR73" s="254"/>
      <c r="ARS73" s="254"/>
      <c r="ART73" s="264">
        <v>5.7000000000000002E-2</v>
      </c>
      <c r="ARU73" s="193"/>
      <c r="ARV73" s="263" t="s">
        <v>2</v>
      </c>
      <c r="ARW73" s="193"/>
      <c r="ARX73" s="255" t="s">
        <v>168</v>
      </c>
      <c r="ARY73" s="263" t="s">
        <v>31</v>
      </c>
      <c r="ARZ73" s="254"/>
      <c r="ASA73" s="254"/>
      <c r="ASB73" s="264">
        <v>5.7000000000000002E-2</v>
      </c>
      <c r="ASC73" s="193"/>
      <c r="ASD73" s="263" t="s">
        <v>2</v>
      </c>
      <c r="ASE73" s="193"/>
      <c r="ASF73" s="255" t="s">
        <v>168</v>
      </c>
      <c r="ASG73" s="263" t="s">
        <v>31</v>
      </c>
      <c r="ASH73" s="254"/>
      <c r="ASI73" s="254"/>
      <c r="ASJ73" s="264">
        <v>5.7000000000000002E-2</v>
      </c>
      <c r="ASK73" s="193"/>
      <c r="ASL73" s="263" t="s">
        <v>2</v>
      </c>
      <c r="ASM73" s="193"/>
      <c r="ASN73" s="255" t="s">
        <v>168</v>
      </c>
      <c r="ASO73" s="263" t="s">
        <v>31</v>
      </c>
      <c r="ASP73" s="254"/>
      <c r="ASQ73" s="254"/>
      <c r="ASR73" s="264">
        <v>5.7000000000000002E-2</v>
      </c>
      <c r="ASS73" s="193"/>
      <c r="AST73" s="263" t="s">
        <v>2</v>
      </c>
      <c r="ASU73" s="193"/>
      <c r="ASV73" s="255" t="s">
        <v>168</v>
      </c>
      <c r="ASW73" s="263" t="s">
        <v>31</v>
      </c>
      <c r="ASX73" s="254"/>
      <c r="ASY73" s="254"/>
      <c r="ASZ73" s="264">
        <v>5.7000000000000002E-2</v>
      </c>
      <c r="ATA73" s="193"/>
      <c r="ATB73" s="263" t="s">
        <v>2</v>
      </c>
      <c r="ATC73" s="193"/>
      <c r="ATD73" s="255" t="s">
        <v>168</v>
      </c>
      <c r="ATE73" s="263" t="s">
        <v>31</v>
      </c>
      <c r="ATF73" s="254"/>
      <c r="ATG73" s="254"/>
      <c r="ATH73" s="264">
        <v>5.7000000000000002E-2</v>
      </c>
      <c r="ATI73" s="193"/>
      <c r="ATJ73" s="263" t="s">
        <v>2</v>
      </c>
      <c r="ATK73" s="193"/>
      <c r="ATL73" s="255" t="s">
        <v>168</v>
      </c>
      <c r="ATM73" s="263" t="s">
        <v>31</v>
      </c>
      <c r="ATN73" s="254"/>
      <c r="ATO73" s="254"/>
      <c r="ATP73" s="264">
        <v>5.7000000000000002E-2</v>
      </c>
      <c r="ATQ73" s="193"/>
      <c r="ATR73" s="263" t="s">
        <v>2</v>
      </c>
      <c r="ATS73" s="193"/>
      <c r="ATT73" s="255" t="s">
        <v>168</v>
      </c>
      <c r="ATU73" s="263" t="s">
        <v>31</v>
      </c>
      <c r="ATV73" s="254"/>
      <c r="ATW73" s="254"/>
      <c r="ATX73" s="264">
        <v>5.7000000000000002E-2</v>
      </c>
      <c r="ATY73" s="193"/>
      <c r="ATZ73" s="263" t="s">
        <v>2</v>
      </c>
      <c r="AUA73" s="193"/>
      <c r="AUB73" s="255" t="s">
        <v>168</v>
      </c>
      <c r="AUC73" s="263" t="s">
        <v>31</v>
      </c>
      <c r="AUD73" s="254"/>
      <c r="AUE73" s="254"/>
      <c r="AUF73" s="264">
        <v>5.7000000000000002E-2</v>
      </c>
      <c r="AUG73" s="193"/>
      <c r="AUH73" s="263" t="s">
        <v>2</v>
      </c>
      <c r="AUI73" s="193"/>
      <c r="AUJ73" s="255" t="s">
        <v>168</v>
      </c>
      <c r="AUK73" s="263" t="s">
        <v>31</v>
      </c>
      <c r="AUL73" s="254"/>
      <c r="AUM73" s="254"/>
      <c r="AUN73" s="264">
        <v>5.7000000000000002E-2</v>
      </c>
      <c r="AUO73" s="193"/>
      <c r="AUP73" s="263" t="s">
        <v>2</v>
      </c>
      <c r="AUQ73" s="193"/>
      <c r="AUR73" s="255" t="s">
        <v>168</v>
      </c>
      <c r="AUS73" s="263" t="s">
        <v>31</v>
      </c>
      <c r="AUT73" s="254"/>
      <c r="AUU73" s="254"/>
      <c r="AUV73" s="264">
        <v>5.7000000000000002E-2</v>
      </c>
      <c r="AUW73" s="193"/>
      <c r="AUX73" s="263" t="s">
        <v>2</v>
      </c>
      <c r="AUY73" s="193"/>
      <c r="AUZ73" s="255" t="s">
        <v>168</v>
      </c>
      <c r="AVA73" s="263" t="s">
        <v>31</v>
      </c>
      <c r="AVB73" s="254"/>
      <c r="AVC73" s="254"/>
      <c r="AVD73" s="264">
        <v>5.7000000000000002E-2</v>
      </c>
      <c r="AVE73" s="193"/>
      <c r="AVF73" s="263" t="s">
        <v>2</v>
      </c>
      <c r="AVG73" s="193"/>
      <c r="AVH73" s="255" t="s">
        <v>168</v>
      </c>
      <c r="AVI73" s="263" t="s">
        <v>31</v>
      </c>
      <c r="AVJ73" s="254"/>
      <c r="AVK73" s="254"/>
      <c r="AVL73" s="264">
        <v>5.7000000000000002E-2</v>
      </c>
      <c r="AVM73" s="193"/>
      <c r="AVN73" s="263" t="s">
        <v>2</v>
      </c>
      <c r="AVO73" s="193"/>
      <c r="AVP73" s="255" t="s">
        <v>168</v>
      </c>
      <c r="AVQ73" s="263" t="s">
        <v>31</v>
      </c>
      <c r="AVR73" s="254"/>
      <c r="AVS73" s="254"/>
      <c r="AVT73" s="264">
        <v>5.7000000000000002E-2</v>
      </c>
      <c r="AVU73" s="193"/>
      <c r="AVV73" s="263" t="s">
        <v>2</v>
      </c>
      <c r="AVW73" s="193"/>
      <c r="AVX73" s="255" t="s">
        <v>168</v>
      </c>
      <c r="AVY73" s="263" t="s">
        <v>31</v>
      </c>
      <c r="AVZ73" s="254"/>
      <c r="AWA73" s="254"/>
      <c r="AWB73" s="264">
        <v>5.7000000000000002E-2</v>
      </c>
      <c r="AWC73" s="193"/>
      <c r="AWD73" s="263" t="s">
        <v>2</v>
      </c>
      <c r="AWE73" s="193"/>
      <c r="AWF73" s="255" t="s">
        <v>168</v>
      </c>
      <c r="AWG73" s="263" t="s">
        <v>31</v>
      </c>
      <c r="AWH73" s="254"/>
      <c r="AWI73" s="254"/>
      <c r="AWJ73" s="264">
        <v>5.7000000000000002E-2</v>
      </c>
      <c r="AWK73" s="193"/>
      <c r="AWL73" s="263" t="s">
        <v>2</v>
      </c>
      <c r="AWM73" s="193"/>
      <c r="AWN73" s="255" t="s">
        <v>168</v>
      </c>
      <c r="AWO73" s="263" t="s">
        <v>31</v>
      </c>
      <c r="AWP73" s="254"/>
      <c r="AWQ73" s="254"/>
      <c r="AWR73" s="264">
        <v>5.7000000000000002E-2</v>
      </c>
      <c r="AWS73" s="193"/>
      <c r="AWT73" s="263" t="s">
        <v>2</v>
      </c>
      <c r="AWU73" s="193"/>
      <c r="AWV73" s="255" t="s">
        <v>168</v>
      </c>
      <c r="AWW73" s="263" t="s">
        <v>31</v>
      </c>
      <c r="AWX73" s="254"/>
      <c r="AWY73" s="254"/>
      <c r="AWZ73" s="264">
        <v>5.7000000000000002E-2</v>
      </c>
      <c r="AXA73" s="193"/>
      <c r="AXB73" s="263" t="s">
        <v>2</v>
      </c>
      <c r="AXC73" s="193"/>
      <c r="AXD73" s="255" t="s">
        <v>168</v>
      </c>
      <c r="AXE73" s="263" t="s">
        <v>31</v>
      </c>
      <c r="AXF73" s="254"/>
      <c r="AXG73" s="254"/>
      <c r="AXH73" s="264">
        <v>5.7000000000000002E-2</v>
      </c>
      <c r="AXI73" s="193"/>
      <c r="AXJ73" s="263" t="s">
        <v>2</v>
      </c>
      <c r="AXK73" s="193"/>
      <c r="AXL73" s="255" t="s">
        <v>168</v>
      </c>
      <c r="AXM73" s="263" t="s">
        <v>31</v>
      </c>
      <c r="AXN73" s="254"/>
      <c r="AXO73" s="254"/>
      <c r="AXP73" s="264">
        <v>5.7000000000000002E-2</v>
      </c>
      <c r="AXQ73" s="193"/>
      <c r="AXR73" s="263" t="s">
        <v>2</v>
      </c>
      <c r="AXS73" s="193"/>
      <c r="AXT73" s="255" t="s">
        <v>168</v>
      </c>
      <c r="AXU73" s="263" t="s">
        <v>31</v>
      </c>
      <c r="AXV73" s="254"/>
      <c r="AXW73" s="254"/>
      <c r="AXX73" s="264">
        <v>5.7000000000000002E-2</v>
      </c>
      <c r="AXY73" s="193"/>
      <c r="AXZ73" s="263" t="s">
        <v>2</v>
      </c>
      <c r="AYA73" s="193"/>
      <c r="AYB73" s="255" t="s">
        <v>168</v>
      </c>
      <c r="AYC73" s="263" t="s">
        <v>31</v>
      </c>
      <c r="AYD73" s="254"/>
      <c r="AYE73" s="254"/>
      <c r="AYF73" s="264">
        <v>5.7000000000000002E-2</v>
      </c>
      <c r="AYG73" s="193"/>
      <c r="AYH73" s="263" t="s">
        <v>2</v>
      </c>
      <c r="AYI73" s="193"/>
      <c r="AYJ73" s="255" t="s">
        <v>168</v>
      </c>
      <c r="AYK73" s="263" t="s">
        <v>31</v>
      </c>
      <c r="AYL73" s="254"/>
      <c r="AYM73" s="254"/>
      <c r="AYN73" s="264">
        <v>5.7000000000000002E-2</v>
      </c>
      <c r="AYO73" s="193"/>
      <c r="AYP73" s="263" t="s">
        <v>2</v>
      </c>
      <c r="AYQ73" s="193"/>
      <c r="AYR73" s="255" t="s">
        <v>168</v>
      </c>
      <c r="AYS73" s="263" t="s">
        <v>31</v>
      </c>
      <c r="AYT73" s="254"/>
      <c r="AYU73" s="254"/>
      <c r="AYV73" s="264">
        <v>5.7000000000000002E-2</v>
      </c>
      <c r="AYW73" s="193"/>
      <c r="AYX73" s="263" t="s">
        <v>2</v>
      </c>
      <c r="AYY73" s="193"/>
      <c r="AYZ73" s="255" t="s">
        <v>168</v>
      </c>
      <c r="AZA73" s="263" t="s">
        <v>31</v>
      </c>
      <c r="AZB73" s="254"/>
      <c r="AZC73" s="254"/>
      <c r="AZD73" s="264">
        <v>5.7000000000000002E-2</v>
      </c>
      <c r="AZE73" s="193"/>
      <c r="AZF73" s="263" t="s">
        <v>2</v>
      </c>
      <c r="AZG73" s="193"/>
      <c r="AZH73" s="255" t="s">
        <v>168</v>
      </c>
      <c r="AZI73" s="263" t="s">
        <v>31</v>
      </c>
      <c r="AZJ73" s="254"/>
      <c r="AZK73" s="254"/>
      <c r="AZL73" s="264">
        <v>5.7000000000000002E-2</v>
      </c>
      <c r="AZM73" s="193"/>
      <c r="AZN73" s="263" t="s">
        <v>2</v>
      </c>
      <c r="AZO73" s="193"/>
      <c r="AZP73" s="255" t="s">
        <v>168</v>
      </c>
      <c r="AZQ73" s="263" t="s">
        <v>31</v>
      </c>
      <c r="AZR73" s="254"/>
      <c r="AZS73" s="254"/>
      <c r="AZT73" s="264">
        <v>5.7000000000000002E-2</v>
      </c>
      <c r="AZU73" s="193"/>
      <c r="AZV73" s="263" t="s">
        <v>2</v>
      </c>
      <c r="AZW73" s="193"/>
      <c r="AZX73" s="255" t="s">
        <v>168</v>
      </c>
      <c r="AZY73" s="263" t="s">
        <v>31</v>
      </c>
      <c r="AZZ73" s="254"/>
      <c r="BAA73" s="254"/>
      <c r="BAB73" s="264">
        <v>5.7000000000000002E-2</v>
      </c>
      <c r="BAC73" s="193"/>
      <c r="BAD73" s="263" t="s">
        <v>2</v>
      </c>
      <c r="BAE73" s="193"/>
      <c r="BAF73" s="255" t="s">
        <v>168</v>
      </c>
      <c r="BAG73" s="263" t="s">
        <v>31</v>
      </c>
      <c r="BAH73" s="254"/>
      <c r="BAI73" s="254"/>
      <c r="BAJ73" s="264">
        <v>5.7000000000000002E-2</v>
      </c>
      <c r="BAK73" s="193"/>
      <c r="BAL73" s="263" t="s">
        <v>2</v>
      </c>
      <c r="BAM73" s="193"/>
      <c r="BAN73" s="255" t="s">
        <v>168</v>
      </c>
      <c r="BAO73" s="263" t="s">
        <v>31</v>
      </c>
      <c r="BAP73" s="254"/>
      <c r="BAQ73" s="254"/>
      <c r="BAR73" s="264">
        <v>5.7000000000000002E-2</v>
      </c>
      <c r="BAS73" s="193"/>
      <c r="BAT73" s="263" t="s">
        <v>2</v>
      </c>
      <c r="BAU73" s="193"/>
      <c r="BAV73" s="255" t="s">
        <v>168</v>
      </c>
      <c r="BAW73" s="263" t="s">
        <v>31</v>
      </c>
      <c r="BAX73" s="254"/>
      <c r="BAY73" s="254"/>
      <c r="BAZ73" s="264">
        <v>5.7000000000000002E-2</v>
      </c>
      <c r="BBA73" s="193"/>
      <c r="BBB73" s="263" t="s">
        <v>2</v>
      </c>
      <c r="BBC73" s="193"/>
      <c r="BBD73" s="255" t="s">
        <v>168</v>
      </c>
      <c r="BBE73" s="263" t="s">
        <v>31</v>
      </c>
      <c r="BBF73" s="254"/>
      <c r="BBG73" s="254"/>
      <c r="BBH73" s="264">
        <v>5.7000000000000002E-2</v>
      </c>
      <c r="BBI73" s="193"/>
      <c r="BBJ73" s="263" t="s">
        <v>2</v>
      </c>
      <c r="BBK73" s="193"/>
      <c r="BBL73" s="255" t="s">
        <v>168</v>
      </c>
      <c r="BBM73" s="263" t="s">
        <v>31</v>
      </c>
      <c r="BBN73" s="254"/>
      <c r="BBO73" s="254"/>
      <c r="BBP73" s="264">
        <v>5.7000000000000002E-2</v>
      </c>
      <c r="BBQ73" s="193"/>
      <c r="BBR73" s="263" t="s">
        <v>2</v>
      </c>
      <c r="BBS73" s="193"/>
      <c r="BBT73" s="255" t="s">
        <v>168</v>
      </c>
      <c r="BBU73" s="263" t="s">
        <v>31</v>
      </c>
      <c r="BBV73" s="254"/>
      <c r="BBW73" s="254"/>
      <c r="BBX73" s="264">
        <v>5.7000000000000002E-2</v>
      </c>
      <c r="BBY73" s="193"/>
      <c r="BBZ73" s="263" t="s">
        <v>2</v>
      </c>
      <c r="BCA73" s="193"/>
      <c r="BCB73" s="255" t="s">
        <v>168</v>
      </c>
      <c r="BCC73" s="263" t="s">
        <v>31</v>
      </c>
      <c r="BCD73" s="254"/>
      <c r="BCE73" s="254"/>
      <c r="BCF73" s="264">
        <v>5.7000000000000002E-2</v>
      </c>
      <c r="BCG73" s="193"/>
      <c r="BCH73" s="263" t="s">
        <v>2</v>
      </c>
      <c r="BCI73" s="193"/>
      <c r="BCJ73" s="255" t="s">
        <v>168</v>
      </c>
      <c r="BCK73" s="263" t="s">
        <v>31</v>
      </c>
      <c r="BCL73" s="254"/>
      <c r="BCM73" s="254"/>
      <c r="BCN73" s="264">
        <v>5.7000000000000002E-2</v>
      </c>
      <c r="BCO73" s="193"/>
      <c r="BCP73" s="263" t="s">
        <v>2</v>
      </c>
      <c r="BCQ73" s="193"/>
      <c r="BCR73" s="255" t="s">
        <v>168</v>
      </c>
      <c r="BCS73" s="263" t="s">
        <v>31</v>
      </c>
      <c r="BCT73" s="254"/>
      <c r="BCU73" s="254"/>
      <c r="BCV73" s="264">
        <v>5.7000000000000002E-2</v>
      </c>
      <c r="BCW73" s="193"/>
      <c r="BCX73" s="263" t="s">
        <v>2</v>
      </c>
      <c r="BCY73" s="193"/>
      <c r="BCZ73" s="255" t="s">
        <v>168</v>
      </c>
      <c r="BDA73" s="263" t="s">
        <v>31</v>
      </c>
      <c r="BDB73" s="254"/>
      <c r="BDC73" s="254"/>
      <c r="BDD73" s="264">
        <v>5.7000000000000002E-2</v>
      </c>
      <c r="BDE73" s="193"/>
      <c r="BDF73" s="263" t="s">
        <v>2</v>
      </c>
      <c r="BDG73" s="193"/>
      <c r="BDH73" s="255" t="s">
        <v>168</v>
      </c>
      <c r="BDI73" s="263" t="s">
        <v>31</v>
      </c>
      <c r="BDJ73" s="254"/>
      <c r="BDK73" s="254"/>
      <c r="BDL73" s="264">
        <v>5.7000000000000002E-2</v>
      </c>
      <c r="BDM73" s="193"/>
      <c r="BDN73" s="263" t="s">
        <v>2</v>
      </c>
      <c r="BDO73" s="193"/>
      <c r="BDP73" s="255" t="s">
        <v>168</v>
      </c>
      <c r="BDQ73" s="263" t="s">
        <v>31</v>
      </c>
      <c r="BDR73" s="254"/>
      <c r="BDS73" s="254"/>
      <c r="BDT73" s="264">
        <v>5.7000000000000002E-2</v>
      </c>
      <c r="BDU73" s="193"/>
      <c r="BDV73" s="263" t="s">
        <v>2</v>
      </c>
      <c r="BDW73" s="193"/>
      <c r="BDX73" s="255" t="s">
        <v>168</v>
      </c>
      <c r="BDY73" s="263" t="s">
        <v>31</v>
      </c>
      <c r="BDZ73" s="254"/>
      <c r="BEA73" s="254"/>
      <c r="BEB73" s="264">
        <v>5.7000000000000002E-2</v>
      </c>
      <c r="BEC73" s="193"/>
      <c r="BED73" s="263" t="s">
        <v>2</v>
      </c>
      <c r="BEE73" s="193"/>
      <c r="BEF73" s="255" t="s">
        <v>168</v>
      </c>
      <c r="BEG73" s="263" t="s">
        <v>31</v>
      </c>
      <c r="BEH73" s="254"/>
      <c r="BEI73" s="254"/>
      <c r="BEJ73" s="264">
        <v>5.7000000000000002E-2</v>
      </c>
      <c r="BEK73" s="193"/>
      <c r="BEL73" s="263" t="s">
        <v>2</v>
      </c>
      <c r="BEM73" s="193"/>
      <c r="BEN73" s="255" t="s">
        <v>168</v>
      </c>
      <c r="BEO73" s="263" t="s">
        <v>31</v>
      </c>
      <c r="BEP73" s="254"/>
      <c r="BEQ73" s="254"/>
      <c r="BER73" s="264">
        <v>5.7000000000000002E-2</v>
      </c>
      <c r="BES73" s="193"/>
      <c r="BET73" s="263" t="s">
        <v>2</v>
      </c>
      <c r="BEU73" s="193"/>
      <c r="BEV73" s="255" t="s">
        <v>168</v>
      </c>
      <c r="BEW73" s="263" t="s">
        <v>31</v>
      </c>
      <c r="BEX73" s="254"/>
      <c r="BEY73" s="254"/>
      <c r="BEZ73" s="264">
        <v>5.7000000000000002E-2</v>
      </c>
      <c r="BFA73" s="193"/>
      <c r="BFB73" s="263" t="s">
        <v>2</v>
      </c>
      <c r="BFC73" s="193"/>
      <c r="BFD73" s="255" t="s">
        <v>168</v>
      </c>
      <c r="BFE73" s="263" t="s">
        <v>31</v>
      </c>
      <c r="BFF73" s="254"/>
      <c r="BFG73" s="254"/>
      <c r="BFH73" s="264">
        <v>5.7000000000000002E-2</v>
      </c>
      <c r="BFI73" s="193"/>
      <c r="BFJ73" s="263" t="s">
        <v>2</v>
      </c>
      <c r="BFK73" s="193"/>
      <c r="BFL73" s="255" t="s">
        <v>168</v>
      </c>
      <c r="BFM73" s="263" t="s">
        <v>31</v>
      </c>
      <c r="BFN73" s="254"/>
      <c r="BFO73" s="254"/>
      <c r="BFP73" s="264">
        <v>5.7000000000000002E-2</v>
      </c>
      <c r="BFQ73" s="193"/>
      <c r="BFR73" s="263" t="s">
        <v>2</v>
      </c>
      <c r="BFS73" s="193"/>
      <c r="BFT73" s="255" t="s">
        <v>168</v>
      </c>
      <c r="BFU73" s="263" t="s">
        <v>31</v>
      </c>
      <c r="BFV73" s="254"/>
      <c r="BFW73" s="254"/>
      <c r="BFX73" s="264">
        <v>5.7000000000000002E-2</v>
      </c>
      <c r="BFY73" s="193"/>
      <c r="BFZ73" s="263" t="s">
        <v>2</v>
      </c>
      <c r="BGA73" s="193"/>
      <c r="BGB73" s="255" t="s">
        <v>168</v>
      </c>
      <c r="BGC73" s="263" t="s">
        <v>31</v>
      </c>
      <c r="BGD73" s="254"/>
      <c r="BGE73" s="254"/>
      <c r="BGF73" s="264">
        <v>5.7000000000000002E-2</v>
      </c>
      <c r="BGG73" s="193"/>
      <c r="BGH73" s="263" t="s">
        <v>2</v>
      </c>
      <c r="BGI73" s="193"/>
      <c r="BGJ73" s="255" t="s">
        <v>168</v>
      </c>
      <c r="BGK73" s="263" t="s">
        <v>31</v>
      </c>
      <c r="BGL73" s="254"/>
      <c r="BGM73" s="254"/>
      <c r="BGN73" s="264">
        <v>5.7000000000000002E-2</v>
      </c>
      <c r="BGO73" s="193"/>
      <c r="BGP73" s="263" t="s">
        <v>2</v>
      </c>
      <c r="BGQ73" s="193"/>
      <c r="BGR73" s="255" t="s">
        <v>168</v>
      </c>
      <c r="BGS73" s="263" t="s">
        <v>31</v>
      </c>
      <c r="BGT73" s="254"/>
      <c r="BGU73" s="254"/>
      <c r="BGV73" s="264">
        <v>5.7000000000000002E-2</v>
      </c>
      <c r="BGW73" s="193"/>
      <c r="BGX73" s="263" t="s">
        <v>2</v>
      </c>
      <c r="BGY73" s="193"/>
      <c r="BGZ73" s="255" t="s">
        <v>168</v>
      </c>
      <c r="BHA73" s="263" t="s">
        <v>31</v>
      </c>
      <c r="BHB73" s="254"/>
      <c r="BHC73" s="254"/>
      <c r="BHD73" s="264">
        <v>5.7000000000000002E-2</v>
      </c>
      <c r="BHE73" s="193"/>
      <c r="BHF73" s="263" t="s">
        <v>2</v>
      </c>
      <c r="BHG73" s="193"/>
      <c r="BHH73" s="255" t="s">
        <v>168</v>
      </c>
      <c r="BHI73" s="263" t="s">
        <v>31</v>
      </c>
      <c r="BHJ73" s="254"/>
      <c r="BHK73" s="254"/>
      <c r="BHL73" s="264">
        <v>5.7000000000000002E-2</v>
      </c>
      <c r="BHM73" s="193"/>
      <c r="BHN73" s="263" t="s">
        <v>2</v>
      </c>
      <c r="BHO73" s="193"/>
      <c r="BHP73" s="255" t="s">
        <v>168</v>
      </c>
      <c r="BHQ73" s="263" t="s">
        <v>31</v>
      </c>
      <c r="BHR73" s="254"/>
      <c r="BHS73" s="254"/>
      <c r="BHT73" s="264">
        <v>5.7000000000000002E-2</v>
      </c>
      <c r="BHU73" s="193"/>
      <c r="BHV73" s="263" t="s">
        <v>2</v>
      </c>
      <c r="BHW73" s="193"/>
      <c r="BHX73" s="255" t="s">
        <v>168</v>
      </c>
      <c r="BHY73" s="263" t="s">
        <v>31</v>
      </c>
      <c r="BHZ73" s="254"/>
      <c r="BIA73" s="254"/>
      <c r="BIB73" s="264">
        <v>5.7000000000000002E-2</v>
      </c>
      <c r="BIC73" s="193"/>
      <c r="BID73" s="263" t="s">
        <v>2</v>
      </c>
      <c r="BIE73" s="193"/>
      <c r="BIF73" s="255" t="s">
        <v>168</v>
      </c>
      <c r="BIG73" s="263" t="s">
        <v>31</v>
      </c>
      <c r="BIH73" s="254"/>
      <c r="BII73" s="254"/>
      <c r="BIJ73" s="264">
        <v>5.7000000000000002E-2</v>
      </c>
      <c r="BIK73" s="193"/>
      <c r="BIL73" s="263" t="s">
        <v>2</v>
      </c>
      <c r="BIM73" s="193"/>
      <c r="BIN73" s="255" t="s">
        <v>168</v>
      </c>
      <c r="BIO73" s="263" t="s">
        <v>31</v>
      </c>
      <c r="BIP73" s="254"/>
      <c r="BIQ73" s="254"/>
      <c r="BIR73" s="264">
        <v>5.7000000000000002E-2</v>
      </c>
      <c r="BIS73" s="193"/>
      <c r="BIT73" s="263" t="s">
        <v>2</v>
      </c>
      <c r="BIU73" s="193"/>
      <c r="BIV73" s="255" t="s">
        <v>168</v>
      </c>
      <c r="BIW73" s="263" t="s">
        <v>31</v>
      </c>
      <c r="BIX73" s="254"/>
      <c r="BIY73" s="254"/>
      <c r="BIZ73" s="264">
        <v>5.7000000000000002E-2</v>
      </c>
      <c r="BJA73" s="193"/>
      <c r="BJB73" s="263" t="s">
        <v>2</v>
      </c>
      <c r="BJC73" s="193"/>
      <c r="BJD73" s="255" t="s">
        <v>168</v>
      </c>
      <c r="BJE73" s="263" t="s">
        <v>31</v>
      </c>
      <c r="BJF73" s="254"/>
      <c r="BJG73" s="254"/>
      <c r="BJH73" s="264">
        <v>5.7000000000000002E-2</v>
      </c>
      <c r="BJI73" s="193"/>
      <c r="BJJ73" s="263" t="s">
        <v>2</v>
      </c>
      <c r="BJK73" s="193"/>
      <c r="BJL73" s="255" t="s">
        <v>168</v>
      </c>
      <c r="BJM73" s="263" t="s">
        <v>31</v>
      </c>
      <c r="BJN73" s="254"/>
      <c r="BJO73" s="254"/>
      <c r="BJP73" s="264">
        <v>5.7000000000000002E-2</v>
      </c>
      <c r="BJQ73" s="193"/>
      <c r="BJR73" s="263" t="s">
        <v>2</v>
      </c>
      <c r="BJS73" s="193"/>
      <c r="BJT73" s="255" t="s">
        <v>168</v>
      </c>
      <c r="BJU73" s="263" t="s">
        <v>31</v>
      </c>
      <c r="BJV73" s="254"/>
      <c r="BJW73" s="254"/>
      <c r="BJX73" s="264">
        <v>5.7000000000000002E-2</v>
      </c>
      <c r="BJY73" s="193"/>
      <c r="BJZ73" s="263" t="s">
        <v>2</v>
      </c>
      <c r="BKA73" s="193"/>
      <c r="BKB73" s="255" t="s">
        <v>168</v>
      </c>
      <c r="BKC73" s="263" t="s">
        <v>31</v>
      </c>
      <c r="BKD73" s="254"/>
      <c r="BKE73" s="254"/>
      <c r="BKF73" s="264">
        <v>5.7000000000000002E-2</v>
      </c>
      <c r="BKG73" s="193"/>
      <c r="BKH73" s="263" t="s">
        <v>2</v>
      </c>
      <c r="BKI73" s="193"/>
      <c r="BKJ73" s="255" t="s">
        <v>168</v>
      </c>
      <c r="BKK73" s="263" t="s">
        <v>31</v>
      </c>
      <c r="BKL73" s="254"/>
      <c r="BKM73" s="254"/>
      <c r="BKN73" s="264">
        <v>5.7000000000000002E-2</v>
      </c>
      <c r="BKO73" s="193"/>
      <c r="BKP73" s="263" t="s">
        <v>2</v>
      </c>
      <c r="BKQ73" s="193"/>
      <c r="BKR73" s="255" t="s">
        <v>168</v>
      </c>
      <c r="BKS73" s="263" t="s">
        <v>31</v>
      </c>
      <c r="BKT73" s="254"/>
      <c r="BKU73" s="254"/>
      <c r="BKV73" s="264">
        <v>5.7000000000000002E-2</v>
      </c>
      <c r="BKW73" s="193"/>
      <c r="BKX73" s="263" t="s">
        <v>2</v>
      </c>
      <c r="BKY73" s="193"/>
      <c r="BKZ73" s="255" t="s">
        <v>168</v>
      </c>
      <c r="BLA73" s="263" t="s">
        <v>31</v>
      </c>
      <c r="BLB73" s="254"/>
      <c r="BLC73" s="254"/>
      <c r="BLD73" s="264">
        <v>5.7000000000000002E-2</v>
      </c>
      <c r="BLE73" s="193"/>
      <c r="BLF73" s="263" t="s">
        <v>2</v>
      </c>
      <c r="BLG73" s="193"/>
      <c r="BLH73" s="255" t="s">
        <v>168</v>
      </c>
      <c r="BLI73" s="263" t="s">
        <v>31</v>
      </c>
      <c r="BLJ73" s="254"/>
      <c r="BLK73" s="254"/>
      <c r="BLL73" s="264">
        <v>5.7000000000000002E-2</v>
      </c>
      <c r="BLM73" s="193"/>
      <c r="BLN73" s="263" t="s">
        <v>2</v>
      </c>
      <c r="BLO73" s="193"/>
      <c r="BLP73" s="255" t="s">
        <v>168</v>
      </c>
      <c r="BLQ73" s="263" t="s">
        <v>31</v>
      </c>
      <c r="BLR73" s="254"/>
      <c r="BLS73" s="254"/>
      <c r="BLT73" s="264">
        <v>5.7000000000000002E-2</v>
      </c>
      <c r="BLU73" s="193"/>
      <c r="BLV73" s="263" t="s">
        <v>2</v>
      </c>
      <c r="BLW73" s="193"/>
      <c r="BLX73" s="255" t="s">
        <v>168</v>
      </c>
      <c r="BLY73" s="263" t="s">
        <v>31</v>
      </c>
      <c r="BLZ73" s="254"/>
      <c r="BMA73" s="254"/>
      <c r="BMB73" s="264">
        <v>5.7000000000000002E-2</v>
      </c>
      <c r="BMC73" s="193"/>
      <c r="BMD73" s="263" t="s">
        <v>2</v>
      </c>
      <c r="BME73" s="193"/>
      <c r="BMF73" s="255" t="s">
        <v>168</v>
      </c>
      <c r="BMG73" s="263" t="s">
        <v>31</v>
      </c>
      <c r="BMH73" s="254"/>
      <c r="BMI73" s="254"/>
      <c r="BMJ73" s="264">
        <v>5.7000000000000002E-2</v>
      </c>
      <c r="BMK73" s="193"/>
      <c r="BML73" s="263" t="s">
        <v>2</v>
      </c>
      <c r="BMM73" s="193"/>
      <c r="BMN73" s="255" t="s">
        <v>168</v>
      </c>
      <c r="BMO73" s="263" t="s">
        <v>31</v>
      </c>
      <c r="BMP73" s="254"/>
      <c r="BMQ73" s="254"/>
      <c r="BMR73" s="264">
        <v>5.7000000000000002E-2</v>
      </c>
      <c r="BMS73" s="193"/>
      <c r="BMT73" s="263" t="s">
        <v>2</v>
      </c>
      <c r="BMU73" s="193"/>
      <c r="BMV73" s="255" t="s">
        <v>168</v>
      </c>
      <c r="BMW73" s="263" t="s">
        <v>31</v>
      </c>
      <c r="BMX73" s="254"/>
      <c r="BMY73" s="254"/>
      <c r="BMZ73" s="264">
        <v>5.7000000000000002E-2</v>
      </c>
      <c r="BNA73" s="193"/>
      <c r="BNB73" s="263" t="s">
        <v>2</v>
      </c>
      <c r="BNC73" s="193"/>
      <c r="BND73" s="255" t="s">
        <v>168</v>
      </c>
      <c r="BNE73" s="263" t="s">
        <v>31</v>
      </c>
      <c r="BNF73" s="254"/>
      <c r="BNG73" s="254"/>
      <c r="BNH73" s="264">
        <v>5.7000000000000002E-2</v>
      </c>
      <c r="BNI73" s="193"/>
      <c r="BNJ73" s="263" t="s">
        <v>2</v>
      </c>
      <c r="BNK73" s="193"/>
      <c r="BNL73" s="255" t="s">
        <v>168</v>
      </c>
      <c r="BNM73" s="263" t="s">
        <v>31</v>
      </c>
      <c r="BNN73" s="254"/>
      <c r="BNO73" s="254"/>
      <c r="BNP73" s="264">
        <v>5.7000000000000002E-2</v>
      </c>
      <c r="BNQ73" s="193"/>
      <c r="BNR73" s="263" t="s">
        <v>2</v>
      </c>
      <c r="BNS73" s="193"/>
      <c r="BNT73" s="255" t="s">
        <v>168</v>
      </c>
      <c r="BNU73" s="263" t="s">
        <v>31</v>
      </c>
      <c r="BNV73" s="254"/>
      <c r="BNW73" s="254"/>
      <c r="BNX73" s="264">
        <v>5.7000000000000002E-2</v>
      </c>
      <c r="BNY73" s="193"/>
      <c r="BNZ73" s="263" t="s">
        <v>2</v>
      </c>
      <c r="BOA73" s="193"/>
      <c r="BOB73" s="255" t="s">
        <v>168</v>
      </c>
      <c r="BOC73" s="263" t="s">
        <v>31</v>
      </c>
      <c r="BOD73" s="254"/>
      <c r="BOE73" s="254"/>
      <c r="BOF73" s="264">
        <v>5.7000000000000002E-2</v>
      </c>
      <c r="BOG73" s="193"/>
      <c r="BOH73" s="263" t="s">
        <v>2</v>
      </c>
      <c r="BOI73" s="193"/>
      <c r="BOJ73" s="255" t="s">
        <v>168</v>
      </c>
      <c r="BOK73" s="263" t="s">
        <v>31</v>
      </c>
      <c r="BOL73" s="254"/>
      <c r="BOM73" s="254"/>
      <c r="BON73" s="264">
        <v>5.7000000000000002E-2</v>
      </c>
      <c r="BOO73" s="193"/>
      <c r="BOP73" s="263" t="s">
        <v>2</v>
      </c>
      <c r="BOQ73" s="193"/>
      <c r="BOR73" s="255" t="s">
        <v>168</v>
      </c>
      <c r="BOS73" s="263" t="s">
        <v>31</v>
      </c>
      <c r="BOT73" s="254"/>
      <c r="BOU73" s="254"/>
      <c r="BOV73" s="264">
        <v>5.7000000000000002E-2</v>
      </c>
      <c r="BOW73" s="193"/>
      <c r="BOX73" s="263" t="s">
        <v>2</v>
      </c>
      <c r="BOY73" s="193"/>
      <c r="BOZ73" s="255" t="s">
        <v>168</v>
      </c>
      <c r="BPA73" s="263" t="s">
        <v>31</v>
      </c>
      <c r="BPB73" s="254"/>
      <c r="BPC73" s="254"/>
      <c r="BPD73" s="264">
        <v>5.7000000000000002E-2</v>
      </c>
      <c r="BPE73" s="193"/>
      <c r="BPF73" s="263" t="s">
        <v>2</v>
      </c>
      <c r="BPG73" s="193"/>
      <c r="BPH73" s="255" t="s">
        <v>168</v>
      </c>
      <c r="BPI73" s="263" t="s">
        <v>31</v>
      </c>
      <c r="BPJ73" s="254"/>
      <c r="BPK73" s="254"/>
      <c r="BPL73" s="264">
        <v>5.7000000000000002E-2</v>
      </c>
      <c r="BPM73" s="193"/>
      <c r="BPN73" s="263" t="s">
        <v>2</v>
      </c>
      <c r="BPO73" s="193"/>
      <c r="BPP73" s="255" t="s">
        <v>168</v>
      </c>
      <c r="BPQ73" s="263" t="s">
        <v>31</v>
      </c>
      <c r="BPR73" s="254"/>
      <c r="BPS73" s="254"/>
      <c r="BPT73" s="264">
        <v>5.7000000000000002E-2</v>
      </c>
      <c r="BPU73" s="193"/>
      <c r="BPV73" s="263" t="s">
        <v>2</v>
      </c>
      <c r="BPW73" s="193"/>
      <c r="BPX73" s="255" t="s">
        <v>168</v>
      </c>
      <c r="BPY73" s="263" t="s">
        <v>31</v>
      </c>
      <c r="BPZ73" s="254"/>
      <c r="BQA73" s="254"/>
      <c r="BQB73" s="264">
        <v>5.7000000000000002E-2</v>
      </c>
      <c r="BQC73" s="193"/>
      <c r="BQD73" s="263" t="s">
        <v>2</v>
      </c>
      <c r="BQE73" s="193"/>
      <c r="BQF73" s="255" t="s">
        <v>168</v>
      </c>
      <c r="BQG73" s="263" t="s">
        <v>31</v>
      </c>
      <c r="BQH73" s="254"/>
      <c r="BQI73" s="254"/>
      <c r="BQJ73" s="264">
        <v>5.7000000000000002E-2</v>
      </c>
      <c r="BQK73" s="193"/>
      <c r="BQL73" s="263" t="s">
        <v>2</v>
      </c>
      <c r="BQM73" s="193"/>
      <c r="BQN73" s="255" t="s">
        <v>168</v>
      </c>
      <c r="BQO73" s="263" t="s">
        <v>31</v>
      </c>
      <c r="BQP73" s="254"/>
      <c r="BQQ73" s="254"/>
      <c r="BQR73" s="264">
        <v>5.7000000000000002E-2</v>
      </c>
      <c r="BQS73" s="193"/>
      <c r="BQT73" s="263" t="s">
        <v>2</v>
      </c>
      <c r="BQU73" s="193"/>
      <c r="BQV73" s="255" t="s">
        <v>168</v>
      </c>
      <c r="BQW73" s="263" t="s">
        <v>31</v>
      </c>
      <c r="BQX73" s="254"/>
      <c r="BQY73" s="254"/>
      <c r="BQZ73" s="264">
        <v>5.7000000000000002E-2</v>
      </c>
      <c r="BRA73" s="193"/>
      <c r="BRB73" s="263" t="s">
        <v>2</v>
      </c>
      <c r="BRC73" s="193"/>
      <c r="BRD73" s="255" t="s">
        <v>168</v>
      </c>
      <c r="BRE73" s="263" t="s">
        <v>31</v>
      </c>
      <c r="BRF73" s="254"/>
      <c r="BRG73" s="254"/>
      <c r="BRH73" s="264">
        <v>5.7000000000000002E-2</v>
      </c>
      <c r="BRI73" s="193"/>
      <c r="BRJ73" s="263" t="s">
        <v>2</v>
      </c>
      <c r="BRK73" s="193"/>
      <c r="BRL73" s="255" t="s">
        <v>168</v>
      </c>
      <c r="BRM73" s="263" t="s">
        <v>31</v>
      </c>
      <c r="BRN73" s="254"/>
      <c r="BRO73" s="254"/>
      <c r="BRP73" s="264">
        <v>5.7000000000000002E-2</v>
      </c>
      <c r="BRQ73" s="193"/>
      <c r="BRR73" s="263" t="s">
        <v>2</v>
      </c>
      <c r="BRS73" s="193"/>
      <c r="BRT73" s="255" t="s">
        <v>168</v>
      </c>
      <c r="BRU73" s="263" t="s">
        <v>31</v>
      </c>
      <c r="BRV73" s="254"/>
      <c r="BRW73" s="254"/>
      <c r="BRX73" s="264">
        <v>5.7000000000000002E-2</v>
      </c>
      <c r="BRY73" s="193"/>
      <c r="BRZ73" s="263" t="s">
        <v>2</v>
      </c>
      <c r="BSA73" s="193"/>
      <c r="BSB73" s="255" t="s">
        <v>168</v>
      </c>
      <c r="BSC73" s="263" t="s">
        <v>31</v>
      </c>
      <c r="BSD73" s="254"/>
      <c r="BSE73" s="254"/>
      <c r="BSF73" s="264">
        <v>5.7000000000000002E-2</v>
      </c>
      <c r="BSG73" s="193"/>
      <c r="BSH73" s="263" t="s">
        <v>2</v>
      </c>
      <c r="BSI73" s="193"/>
      <c r="BSJ73" s="255" t="s">
        <v>168</v>
      </c>
      <c r="BSK73" s="263" t="s">
        <v>31</v>
      </c>
      <c r="BSL73" s="254"/>
      <c r="BSM73" s="254"/>
      <c r="BSN73" s="264">
        <v>5.7000000000000002E-2</v>
      </c>
      <c r="BSO73" s="193"/>
      <c r="BSP73" s="263" t="s">
        <v>2</v>
      </c>
      <c r="BSQ73" s="193"/>
      <c r="BSR73" s="255" t="s">
        <v>168</v>
      </c>
      <c r="BSS73" s="263" t="s">
        <v>31</v>
      </c>
      <c r="BST73" s="254"/>
      <c r="BSU73" s="254"/>
      <c r="BSV73" s="264">
        <v>5.7000000000000002E-2</v>
      </c>
      <c r="BSW73" s="193"/>
      <c r="BSX73" s="263" t="s">
        <v>2</v>
      </c>
      <c r="BSY73" s="193"/>
      <c r="BSZ73" s="255" t="s">
        <v>168</v>
      </c>
      <c r="BTA73" s="263" t="s">
        <v>31</v>
      </c>
      <c r="BTB73" s="254"/>
      <c r="BTC73" s="254"/>
      <c r="BTD73" s="264">
        <v>5.7000000000000002E-2</v>
      </c>
      <c r="BTE73" s="193"/>
      <c r="BTF73" s="263" t="s">
        <v>2</v>
      </c>
      <c r="BTG73" s="193"/>
      <c r="BTH73" s="255" t="s">
        <v>168</v>
      </c>
      <c r="BTI73" s="263" t="s">
        <v>31</v>
      </c>
      <c r="BTJ73" s="254"/>
      <c r="BTK73" s="254"/>
      <c r="BTL73" s="264">
        <v>5.7000000000000002E-2</v>
      </c>
      <c r="BTM73" s="193"/>
      <c r="BTN73" s="263" t="s">
        <v>2</v>
      </c>
      <c r="BTO73" s="193"/>
      <c r="BTP73" s="255" t="s">
        <v>168</v>
      </c>
      <c r="BTQ73" s="263" t="s">
        <v>31</v>
      </c>
      <c r="BTR73" s="254"/>
      <c r="BTS73" s="254"/>
      <c r="BTT73" s="264">
        <v>5.7000000000000002E-2</v>
      </c>
      <c r="BTU73" s="193"/>
      <c r="BTV73" s="263" t="s">
        <v>2</v>
      </c>
      <c r="BTW73" s="193"/>
      <c r="BTX73" s="255" t="s">
        <v>168</v>
      </c>
      <c r="BTY73" s="263" t="s">
        <v>31</v>
      </c>
      <c r="BTZ73" s="254"/>
      <c r="BUA73" s="254"/>
      <c r="BUB73" s="264">
        <v>5.7000000000000002E-2</v>
      </c>
      <c r="BUC73" s="193"/>
      <c r="BUD73" s="263" t="s">
        <v>2</v>
      </c>
      <c r="BUE73" s="193"/>
      <c r="BUF73" s="255" t="s">
        <v>168</v>
      </c>
      <c r="BUG73" s="263" t="s">
        <v>31</v>
      </c>
      <c r="BUH73" s="254"/>
      <c r="BUI73" s="254"/>
      <c r="BUJ73" s="264">
        <v>5.7000000000000002E-2</v>
      </c>
      <c r="BUK73" s="193"/>
      <c r="BUL73" s="263" t="s">
        <v>2</v>
      </c>
      <c r="BUM73" s="193"/>
      <c r="BUN73" s="255" t="s">
        <v>168</v>
      </c>
      <c r="BUO73" s="263" t="s">
        <v>31</v>
      </c>
      <c r="BUP73" s="254"/>
      <c r="BUQ73" s="254"/>
      <c r="BUR73" s="264">
        <v>5.7000000000000002E-2</v>
      </c>
      <c r="BUS73" s="193"/>
      <c r="BUT73" s="263" t="s">
        <v>2</v>
      </c>
      <c r="BUU73" s="193"/>
      <c r="BUV73" s="255" t="s">
        <v>168</v>
      </c>
      <c r="BUW73" s="263" t="s">
        <v>31</v>
      </c>
      <c r="BUX73" s="254"/>
      <c r="BUY73" s="254"/>
      <c r="BUZ73" s="264">
        <v>5.7000000000000002E-2</v>
      </c>
      <c r="BVA73" s="193"/>
      <c r="BVB73" s="263" t="s">
        <v>2</v>
      </c>
      <c r="BVC73" s="193"/>
      <c r="BVD73" s="255" t="s">
        <v>168</v>
      </c>
      <c r="BVE73" s="263" t="s">
        <v>31</v>
      </c>
      <c r="BVF73" s="254"/>
      <c r="BVG73" s="254"/>
      <c r="BVH73" s="264">
        <v>5.7000000000000002E-2</v>
      </c>
      <c r="BVI73" s="193"/>
      <c r="BVJ73" s="263" t="s">
        <v>2</v>
      </c>
      <c r="BVK73" s="193"/>
      <c r="BVL73" s="255" t="s">
        <v>168</v>
      </c>
      <c r="BVM73" s="263" t="s">
        <v>31</v>
      </c>
      <c r="BVN73" s="254"/>
      <c r="BVO73" s="254"/>
      <c r="BVP73" s="264">
        <v>5.7000000000000002E-2</v>
      </c>
      <c r="BVQ73" s="193"/>
      <c r="BVR73" s="263" t="s">
        <v>2</v>
      </c>
      <c r="BVS73" s="193"/>
      <c r="BVT73" s="255" t="s">
        <v>168</v>
      </c>
      <c r="BVU73" s="263" t="s">
        <v>31</v>
      </c>
      <c r="BVV73" s="254"/>
      <c r="BVW73" s="254"/>
      <c r="BVX73" s="264">
        <v>5.7000000000000002E-2</v>
      </c>
      <c r="BVY73" s="193"/>
      <c r="BVZ73" s="263" t="s">
        <v>2</v>
      </c>
      <c r="BWA73" s="193"/>
      <c r="BWB73" s="255" t="s">
        <v>168</v>
      </c>
      <c r="BWC73" s="263" t="s">
        <v>31</v>
      </c>
      <c r="BWD73" s="254"/>
      <c r="BWE73" s="254"/>
      <c r="BWF73" s="264">
        <v>5.7000000000000002E-2</v>
      </c>
      <c r="BWG73" s="193"/>
      <c r="BWH73" s="263" t="s">
        <v>2</v>
      </c>
      <c r="BWI73" s="193"/>
      <c r="BWJ73" s="255" t="s">
        <v>168</v>
      </c>
      <c r="BWK73" s="263" t="s">
        <v>31</v>
      </c>
      <c r="BWL73" s="254"/>
      <c r="BWM73" s="254"/>
      <c r="BWN73" s="264">
        <v>5.7000000000000002E-2</v>
      </c>
      <c r="BWO73" s="193"/>
      <c r="BWP73" s="263" t="s">
        <v>2</v>
      </c>
      <c r="BWQ73" s="193"/>
      <c r="BWR73" s="255" t="s">
        <v>168</v>
      </c>
      <c r="BWS73" s="263" t="s">
        <v>31</v>
      </c>
      <c r="BWT73" s="254"/>
      <c r="BWU73" s="254"/>
      <c r="BWV73" s="264">
        <v>5.7000000000000002E-2</v>
      </c>
      <c r="BWW73" s="193"/>
      <c r="BWX73" s="263" t="s">
        <v>2</v>
      </c>
      <c r="BWY73" s="193"/>
      <c r="BWZ73" s="255" t="s">
        <v>168</v>
      </c>
      <c r="BXA73" s="263" t="s">
        <v>31</v>
      </c>
      <c r="BXB73" s="254"/>
      <c r="BXC73" s="254"/>
      <c r="BXD73" s="264">
        <v>5.7000000000000002E-2</v>
      </c>
      <c r="BXE73" s="193"/>
      <c r="BXF73" s="263" t="s">
        <v>2</v>
      </c>
      <c r="BXG73" s="193"/>
      <c r="BXH73" s="255" t="s">
        <v>168</v>
      </c>
      <c r="BXI73" s="263" t="s">
        <v>31</v>
      </c>
      <c r="BXJ73" s="254"/>
      <c r="BXK73" s="254"/>
      <c r="BXL73" s="264">
        <v>5.7000000000000002E-2</v>
      </c>
      <c r="BXM73" s="193"/>
      <c r="BXN73" s="263" t="s">
        <v>2</v>
      </c>
      <c r="BXO73" s="193"/>
      <c r="BXP73" s="255" t="s">
        <v>168</v>
      </c>
      <c r="BXQ73" s="263" t="s">
        <v>31</v>
      </c>
      <c r="BXR73" s="254"/>
      <c r="BXS73" s="254"/>
      <c r="BXT73" s="264">
        <v>5.7000000000000002E-2</v>
      </c>
      <c r="BXU73" s="193"/>
      <c r="BXV73" s="263" t="s">
        <v>2</v>
      </c>
      <c r="BXW73" s="193"/>
      <c r="BXX73" s="255" t="s">
        <v>168</v>
      </c>
      <c r="BXY73" s="263" t="s">
        <v>31</v>
      </c>
      <c r="BXZ73" s="254"/>
      <c r="BYA73" s="254"/>
      <c r="BYB73" s="264">
        <v>5.7000000000000002E-2</v>
      </c>
      <c r="BYC73" s="193"/>
      <c r="BYD73" s="263" t="s">
        <v>2</v>
      </c>
      <c r="BYE73" s="193"/>
      <c r="BYF73" s="255" t="s">
        <v>168</v>
      </c>
      <c r="BYG73" s="263" t="s">
        <v>31</v>
      </c>
      <c r="BYH73" s="254"/>
      <c r="BYI73" s="254"/>
      <c r="BYJ73" s="264">
        <v>5.7000000000000002E-2</v>
      </c>
      <c r="BYK73" s="193"/>
      <c r="BYL73" s="263" t="s">
        <v>2</v>
      </c>
      <c r="BYM73" s="193"/>
      <c r="BYN73" s="255" t="s">
        <v>168</v>
      </c>
      <c r="BYO73" s="263" t="s">
        <v>31</v>
      </c>
      <c r="BYP73" s="254"/>
      <c r="BYQ73" s="254"/>
      <c r="BYR73" s="264">
        <v>5.7000000000000002E-2</v>
      </c>
      <c r="BYS73" s="193"/>
      <c r="BYT73" s="263" t="s">
        <v>2</v>
      </c>
      <c r="BYU73" s="193"/>
      <c r="BYV73" s="255" t="s">
        <v>168</v>
      </c>
      <c r="BYW73" s="263" t="s">
        <v>31</v>
      </c>
      <c r="BYX73" s="254"/>
      <c r="BYY73" s="254"/>
      <c r="BYZ73" s="264">
        <v>5.7000000000000002E-2</v>
      </c>
      <c r="BZA73" s="193"/>
      <c r="BZB73" s="263" t="s">
        <v>2</v>
      </c>
      <c r="BZC73" s="193"/>
      <c r="BZD73" s="255" t="s">
        <v>168</v>
      </c>
      <c r="BZE73" s="263" t="s">
        <v>31</v>
      </c>
      <c r="BZF73" s="254"/>
      <c r="BZG73" s="254"/>
      <c r="BZH73" s="264">
        <v>5.7000000000000002E-2</v>
      </c>
      <c r="BZI73" s="193"/>
      <c r="BZJ73" s="263" t="s">
        <v>2</v>
      </c>
      <c r="BZK73" s="193"/>
      <c r="BZL73" s="255" t="s">
        <v>168</v>
      </c>
      <c r="BZM73" s="263" t="s">
        <v>31</v>
      </c>
      <c r="BZN73" s="254"/>
      <c r="BZO73" s="254"/>
      <c r="BZP73" s="264">
        <v>5.7000000000000002E-2</v>
      </c>
      <c r="BZQ73" s="193"/>
      <c r="BZR73" s="263" t="s">
        <v>2</v>
      </c>
      <c r="BZS73" s="193"/>
      <c r="BZT73" s="255" t="s">
        <v>168</v>
      </c>
      <c r="BZU73" s="263" t="s">
        <v>31</v>
      </c>
      <c r="BZV73" s="254"/>
      <c r="BZW73" s="254"/>
      <c r="BZX73" s="264">
        <v>5.7000000000000002E-2</v>
      </c>
      <c r="BZY73" s="193"/>
      <c r="BZZ73" s="263" t="s">
        <v>2</v>
      </c>
      <c r="CAA73" s="193"/>
      <c r="CAB73" s="255" t="s">
        <v>168</v>
      </c>
      <c r="CAC73" s="263" t="s">
        <v>31</v>
      </c>
      <c r="CAD73" s="254"/>
      <c r="CAE73" s="254"/>
      <c r="CAF73" s="264">
        <v>5.7000000000000002E-2</v>
      </c>
      <c r="CAG73" s="193"/>
      <c r="CAH73" s="263" t="s">
        <v>2</v>
      </c>
      <c r="CAI73" s="193"/>
      <c r="CAJ73" s="255" t="s">
        <v>168</v>
      </c>
      <c r="CAK73" s="263" t="s">
        <v>31</v>
      </c>
      <c r="CAL73" s="254"/>
      <c r="CAM73" s="254"/>
      <c r="CAN73" s="264">
        <v>5.7000000000000002E-2</v>
      </c>
      <c r="CAO73" s="193"/>
      <c r="CAP73" s="263" t="s">
        <v>2</v>
      </c>
      <c r="CAQ73" s="193"/>
      <c r="CAR73" s="255" t="s">
        <v>168</v>
      </c>
      <c r="CAS73" s="263" t="s">
        <v>31</v>
      </c>
      <c r="CAT73" s="254"/>
      <c r="CAU73" s="254"/>
      <c r="CAV73" s="264">
        <v>5.7000000000000002E-2</v>
      </c>
      <c r="CAW73" s="193"/>
      <c r="CAX73" s="263" t="s">
        <v>2</v>
      </c>
      <c r="CAY73" s="193"/>
      <c r="CAZ73" s="255" t="s">
        <v>168</v>
      </c>
      <c r="CBA73" s="263" t="s">
        <v>31</v>
      </c>
      <c r="CBB73" s="254"/>
      <c r="CBC73" s="254"/>
      <c r="CBD73" s="264">
        <v>5.7000000000000002E-2</v>
      </c>
      <c r="CBE73" s="193"/>
      <c r="CBF73" s="263" t="s">
        <v>2</v>
      </c>
      <c r="CBG73" s="193"/>
      <c r="CBH73" s="255" t="s">
        <v>168</v>
      </c>
      <c r="CBI73" s="263" t="s">
        <v>31</v>
      </c>
      <c r="CBJ73" s="254"/>
      <c r="CBK73" s="254"/>
      <c r="CBL73" s="264">
        <v>5.7000000000000002E-2</v>
      </c>
      <c r="CBM73" s="193"/>
      <c r="CBN73" s="263" t="s">
        <v>2</v>
      </c>
      <c r="CBO73" s="193"/>
      <c r="CBP73" s="255" t="s">
        <v>168</v>
      </c>
      <c r="CBQ73" s="263" t="s">
        <v>31</v>
      </c>
      <c r="CBR73" s="254"/>
      <c r="CBS73" s="254"/>
      <c r="CBT73" s="264">
        <v>5.7000000000000002E-2</v>
      </c>
      <c r="CBU73" s="193"/>
      <c r="CBV73" s="263" t="s">
        <v>2</v>
      </c>
      <c r="CBW73" s="193"/>
      <c r="CBX73" s="255" t="s">
        <v>168</v>
      </c>
      <c r="CBY73" s="263" t="s">
        <v>31</v>
      </c>
      <c r="CBZ73" s="254"/>
      <c r="CCA73" s="254"/>
      <c r="CCB73" s="264">
        <v>5.7000000000000002E-2</v>
      </c>
      <c r="CCC73" s="193"/>
      <c r="CCD73" s="263" t="s">
        <v>2</v>
      </c>
      <c r="CCE73" s="193"/>
      <c r="CCF73" s="255" t="s">
        <v>168</v>
      </c>
      <c r="CCG73" s="263" t="s">
        <v>31</v>
      </c>
      <c r="CCH73" s="254"/>
      <c r="CCI73" s="254"/>
      <c r="CCJ73" s="264">
        <v>5.7000000000000002E-2</v>
      </c>
      <c r="CCK73" s="193"/>
      <c r="CCL73" s="263" t="s">
        <v>2</v>
      </c>
      <c r="CCM73" s="193"/>
      <c r="CCN73" s="255" t="s">
        <v>168</v>
      </c>
      <c r="CCO73" s="263" t="s">
        <v>31</v>
      </c>
      <c r="CCP73" s="254"/>
      <c r="CCQ73" s="254"/>
      <c r="CCR73" s="264">
        <v>5.7000000000000002E-2</v>
      </c>
      <c r="CCS73" s="193"/>
      <c r="CCT73" s="263" t="s">
        <v>2</v>
      </c>
      <c r="CCU73" s="193"/>
      <c r="CCV73" s="255" t="s">
        <v>168</v>
      </c>
      <c r="CCW73" s="263" t="s">
        <v>31</v>
      </c>
      <c r="CCX73" s="254"/>
      <c r="CCY73" s="254"/>
      <c r="CCZ73" s="264">
        <v>5.7000000000000002E-2</v>
      </c>
      <c r="CDA73" s="193"/>
      <c r="CDB73" s="263" t="s">
        <v>2</v>
      </c>
      <c r="CDC73" s="193"/>
      <c r="CDD73" s="255" t="s">
        <v>168</v>
      </c>
      <c r="CDE73" s="263" t="s">
        <v>31</v>
      </c>
      <c r="CDF73" s="254"/>
      <c r="CDG73" s="254"/>
      <c r="CDH73" s="264">
        <v>5.7000000000000002E-2</v>
      </c>
      <c r="CDI73" s="193"/>
      <c r="CDJ73" s="263" t="s">
        <v>2</v>
      </c>
      <c r="CDK73" s="193"/>
      <c r="CDL73" s="255" t="s">
        <v>168</v>
      </c>
      <c r="CDM73" s="263" t="s">
        <v>31</v>
      </c>
      <c r="CDN73" s="254"/>
      <c r="CDO73" s="254"/>
      <c r="CDP73" s="264">
        <v>5.7000000000000002E-2</v>
      </c>
      <c r="CDQ73" s="193"/>
      <c r="CDR73" s="263" t="s">
        <v>2</v>
      </c>
      <c r="CDS73" s="193"/>
      <c r="CDT73" s="255" t="s">
        <v>168</v>
      </c>
      <c r="CDU73" s="263" t="s">
        <v>31</v>
      </c>
      <c r="CDV73" s="254"/>
      <c r="CDW73" s="254"/>
      <c r="CDX73" s="264">
        <v>5.7000000000000002E-2</v>
      </c>
      <c r="CDY73" s="193"/>
      <c r="CDZ73" s="263" t="s">
        <v>2</v>
      </c>
      <c r="CEA73" s="193"/>
      <c r="CEB73" s="255" t="s">
        <v>168</v>
      </c>
      <c r="CEC73" s="263" t="s">
        <v>31</v>
      </c>
      <c r="CED73" s="254"/>
      <c r="CEE73" s="254"/>
      <c r="CEF73" s="264">
        <v>5.7000000000000002E-2</v>
      </c>
      <c r="CEG73" s="193"/>
      <c r="CEH73" s="263" t="s">
        <v>2</v>
      </c>
      <c r="CEI73" s="193"/>
      <c r="CEJ73" s="255" t="s">
        <v>168</v>
      </c>
      <c r="CEK73" s="263" t="s">
        <v>31</v>
      </c>
      <c r="CEL73" s="254"/>
      <c r="CEM73" s="254"/>
      <c r="CEN73" s="264">
        <v>5.7000000000000002E-2</v>
      </c>
      <c r="CEO73" s="193"/>
      <c r="CEP73" s="263" t="s">
        <v>2</v>
      </c>
      <c r="CEQ73" s="193"/>
      <c r="CER73" s="255" t="s">
        <v>168</v>
      </c>
      <c r="CES73" s="263" t="s">
        <v>31</v>
      </c>
      <c r="CET73" s="254"/>
      <c r="CEU73" s="254"/>
      <c r="CEV73" s="264">
        <v>5.7000000000000002E-2</v>
      </c>
      <c r="CEW73" s="193"/>
      <c r="CEX73" s="263" t="s">
        <v>2</v>
      </c>
      <c r="CEY73" s="193"/>
      <c r="CEZ73" s="255" t="s">
        <v>168</v>
      </c>
      <c r="CFA73" s="263" t="s">
        <v>31</v>
      </c>
      <c r="CFB73" s="254"/>
      <c r="CFC73" s="254"/>
      <c r="CFD73" s="264">
        <v>5.7000000000000002E-2</v>
      </c>
      <c r="CFE73" s="193"/>
      <c r="CFF73" s="263" t="s">
        <v>2</v>
      </c>
      <c r="CFG73" s="193"/>
      <c r="CFH73" s="255" t="s">
        <v>168</v>
      </c>
      <c r="CFI73" s="263" t="s">
        <v>31</v>
      </c>
      <c r="CFJ73" s="254"/>
      <c r="CFK73" s="254"/>
      <c r="CFL73" s="264">
        <v>5.7000000000000002E-2</v>
      </c>
      <c r="CFM73" s="193"/>
      <c r="CFN73" s="263" t="s">
        <v>2</v>
      </c>
      <c r="CFO73" s="193"/>
      <c r="CFP73" s="255" t="s">
        <v>168</v>
      </c>
      <c r="CFQ73" s="263" t="s">
        <v>31</v>
      </c>
      <c r="CFR73" s="254"/>
      <c r="CFS73" s="254"/>
      <c r="CFT73" s="264">
        <v>5.7000000000000002E-2</v>
      </c>
      <c r="CFU73" s="193"/>
      <c r="CFV73" s="263" t="s">
        <v>2</v>
      </c>
      <c r="CFW73" s="193"/>
      <c r="CFX73" s="255" t="s">
        <v>168</v>
      </c>
      <c r="CFY73" s="263" t="s">
        <v>31</v>
      </c>
      <c r="CFZ73" s="254"/>
      <c r="CGA73" s="254"/>
      <c r="CGB73" s="264">
        <v>5.7000000000000002E-2</v>
      </c>
      <c r="CGC73" s="193"/>
      <c r="CGD73" s="263" t="s">
        <v>2</v>
      </c>
      <c r="CGE73" s="193"/>
      <c r="CGF73" s="255" t="s">
        <v>168</v>
      </c>
      <c r="CGG73" s="263" t="s">
        <v>31</v>
      </c>
      <c r="CGH73" s="254"/>
      <c r="CGI73" s="254"/>
      <c r="CGJ73" s="264">
        <v>5.7000000000000002E-2</v>
      </c>
      <c r="CGK73" s="193"/>
      <c r="CGL73" s="263" t="s">
        <v>2</v>
      </c>
      <c r="CGM73" s="193"/>
      <c r="CGN73" s="255" t="s">
        <v>168</v>
      </c>
      <c r="CGO73" s="263" t="s">
        <v>31</v>
      </c>
      <c r="CGP73" s="254"/>
      <c r="CGQ73" s="254"/>
      <c r="CGR73" s="264">
        <v>5.7000000000000002E-2</v>
      </c>
      <c r="CGS73" s="193"/>
      <c r="CGT73" s="263" t="s">
        <v>2</v>
      </c>
      <c r="CGU73" s="193"/>
      <c r="CGV73" s="255" t="s">
        <v>168</v>
      </c>
      <c r="CGW73" s="263" t="s">
        <v>31</v>
      </c>
      <c r="CGX73" s="254"/>
      <c r="CGY73" s="254"/>
      <c r="CGZ73" s="264">
        <v>5.7000000000000002E-2</v>
      </c>
      <c r="CHA73" s="193"/>
      <c r="CHB73" s="263" t="s">
        <v>2</v>
      </c>
      <c r="CHC73" s="193"/>
      <c r="CHD73" s="255" t="s">
        <v>168</v>
      </c>
      <c r="CHE73" s="263" t="s">
        <v>31</v>
      </c>
      <c r="CHF73" s="254"/>
      <c r="CHG73" s="254"/>
      <c r="CHH73" s="264">
        <v>5.7000000000000002E-2</v>
      </c>
      <c r="CHI73" s="193"/>
      <c r="CHJ73" s="263" t="s">
        <v>2</v>
      </c>
      <c r="CHK73" s="193"/>
      <c r="CHL73" s="255" t="s">
        <v>168</v>
      </c>
      <c r="CHM73" s="263" t="s">
        <v>31</v>
      </c>
      <c r="CHN73" s="254"/>
      <c r="CHO73" s="254"/>
      <c r="CHP73" s="264">
        <v>5.7000000000000002E-2</v>
      </c>
      <c r="CHQ73" s="193"/>
      <c r="CHR73" s="263" t="s">
        <v>2</v>
      </c>
      <c r="CHS73" s="193"/>
      <c r="CHT73" s="255" t="s">
        <v>168</v>
      </c>
      <c r="CHU73" s="263" t="s">
        <v>31</v>
      </c>
      <c r="CHV73" s="254"/>
      <c r="CHW73" s="254"/>
      <c r="CHX73" s="264">
        <v>5.7000000000000002E-2</v>
      </c>
      <c r="CHY73" s="193"/>
      <c r="CHZ73" s="263" t="s">
        <v>2</v>
      </c>
      <c r="CIA73" s="193"/>
      <c r="CIB73" s="255" t="s">
        <v>168</v>
      </c>
      <c r="CIC73" s="263" t="s">
        <v>31</v>
      </c>
      <c r="CID73" s="254"/>
      <c r="CIE73" s="254"/>
      <c r="CIF73" s="264">
        <v>5.7000000000000002E-2</v>
      </c>
      <c r="CIG73" s="193"/>
      <c r="CIH73" s="263" t="s">
        <v>2</v>
      </c>
      <c r="CII73" s="193"/>
      <c r="CIJ73" s="255" t="s">
        <v>168</v>
      </c>
      <c r="CIK73" s="263" t="s">
        <v>31</v>
      </c>
      <c r="CIL73" s="254"/>
      <c r="CIM73" s="254"/>
      <c r="CIN73" s="264">
        <v>5.7000000000000002E-2</v>
      </c>
      <c r="CIO73" s="193"/>
      <c r="CIP73" s="263" t="s">
        <v>2</v>
      </c>
      <c r="CIQ73" s="193"/>
      <c r="CIR73" s="255" t="s">
        <v>168</v>
      </c>
      <c r="CIS73" s="263" t="s">
        <v>31</v>
      </c>
      <c r="CIT73" s="254"/>
      <c r="CIU73" s="254"/>
      <c r="CIV73" s="264">
        <v>5.7000000000000002E-2</v>
      </c>
      <c r="CIW73" s="193"/>
      <c r="CIX73" s="263" t="s">
        <v>2</v>
      </c>
      <c r="CIY73" s="193"/>
      <c r="CIZ73" s="255" t="s">
        <v>168</v>
      </c>
      <c r="CJA73" s="263" t="s">
        <v>31</v>
      </c>
      <c r="CJB73" s="254"/>
      <c r="CJC73" s="254"/>
      <c r="CJD73" s="264">
        <v>5.7000000000000002E-2</v>
      </c>
      <c r="CJE73" s="193"/>
      <c r="CJF73" s="263" t="s">
        <v>2</v>
      </c>
      <c r="CJG73" s="193"/>
      <c r="CJH73" s="255" t="s">
        <v>168</v>
      </c>
      <c r="CJI73" s="263" t="s">
        <v>31</v>
      </c>
      <c r="CJJ73" s="254"/>
      <c r="CJK73" s="254"/>
      <c r="CJL73" s="264">
        <v>5.7000000000000002E-2</v>
      </c>
      <c r="CJM73" s="193"/>
      <c r="CJN73" s="263" t="s">
        <v>2</v>
      </c>
      <c r="CJO73" s="193"/>
      <c r="CJP73" s="255" t="s">
        <v>168</v>
      </c>
      <c r="CJQ73" s="263" t="s">
        <v>31</v>
      </c>
      <c r="CJR73" s="254"/>
      <c r="CJS73" s="254"/>
      <c r="CJT73" s="264">
        <v>5.7000000000000002E-2</v>
      </c>
      <c r="CJU73" s="193"/>
      <c r="CJV73" s="263" t="s">
        <v>2</v>
      </c>
      <c r="CJW73" s="193"/>
      <c r="CJX73" s="255" t="s">
        <v>168</v>
      </c>
      <c r="CJY73" s="263" t="s">
        <v>31</v>
      </c>
      <c r="CJZ73" s="254"/>
      <c r="CKA73" s="254"/>
      <c r="CKB73" s="264">
        <v>5.7000000000000002E-2</v>
      </c>
      <c r="CKC73" s="193"/>
      <c r="CKD73" s="263" t="s">
        <v>2</v>
      </c>
      <c r="CKE73" s="193"/>
      <c r="CKF73" s="255" t="s">
        <v>168</v>
      </c>
      <c r="CKG73" s="263" t="s">
        <v>31</v>
      </c>
      <c r="CKH73" s="254"/>
      <c r="CKI73" s="254"/>
      <c r="CKJ73" s="264">
        <v>5.7000000000000002E-2</v>
      </c>
      <c r="CKK73" s="193"/>
      <c r="CKL73" s="263" t="s">
        <v>2</v>
      </c>
      <c r="CKM73" s="193"/>
      <c r="CKN73" s="255" t="s">
        <v>168</v>
      </c>
      <c r="CKO73" s="263" t="s">
        <v>31</v>
      </c>
      <c r="CKP73" s="254"/>
      <c r="CKQ73" s="254"/>
      <c r="CKR73" s="264">
        <v>5.7000000000000002E-2</v>
      </c>
      <c r="CKS73" s="193"/>
      <c r="CKT73" s="263" t="s">
        <v>2</v>
      </c>
      <c r="CKU73" s="193"/>
      <c r="CKV73" s="255" t="s">
        <v>168</v>
      </c>
      <c r="CKW73" s="263" t="s">
        <v>31</v>
      </c>
      <c r="CKX73" s="254"/>
      <c r="CKY73" s="254"/>
      <c r="CKZ73" s="264">
        <v>5.7000000000000002E-2</v>
      </c>
      <c r="CLA73" s="193"/>
      <c r="CLB73" s="263" t="s">
        <v>2</v>
      </c>
      <c r="CLC73" s="193"/>
      <c r="CLD73" s="255" t="s">
        <v>168</v>
      </c>
      <c r="CLE73" s="263" t="s">
        <v>31</v>
      </c>
      <c r="CLF73" s="254"/>
      <c r="CLG73" s="254"/>
      <c r="CLH73" s="264">
        <v>5.7000000000000002E-2</v>
      </c>
      <c r="CLI73" s="193"/>
      <c r="CLJ73" s="263" t="s">
        <v>2</v>
      </c>
      <c r="CLK73" s="193"/>
      <c r="CLL73" s="255" t="s">
        <v>168</v>
      </c>
      <c r="CLM73" s="263" t="s">
        <v>31</v>
      </c>
      <c r="CLN73" s="254"/>
      <c r="CLO73" s="254"/>
      <c r="CLP73" s="264">
        <v>5.7000000000000002E-2</v>
      </c>
      <c r="CLQ73" s="193"/>
      <c r="CLR73" s="263" t="s">
        <v>2</v>
      </c>
      <c r="CLS73" s="193"/>
      <c r="CLT73" s="255" t="s">
        <v>168</v>
      </c>
      <c r="CLU73" s="263" t="s">
        <v>31</v>
      </c>
      <c r="CLV73" s="254"/>
      <c r="CLW73" s="254"/>
      <c r="CLX73" s="264">
        <v>5.7000000000000002E-2</v>
      </c>
      <c r="CLY73" s="193"/>
      <c r="CLZ73" s="263" t="s">
        <v>2</v>
      </c>
      <c r="CMA73" s="193"/>
      <c r="CMB73" s="255" t="s">
        <v>168</v>
      </c>
      <c r="CMC73" s="263" t="s">
        <v>31</v>
      </c>
      <c r="CMD73" s="254"/>
      <c r="CME73" s="254"/>
      <c r="CMF73" s="264">
        <v>5.7000000000000002E-2</v>
      </c>
      <c r="CMG73" s="193"/>
      <c r="CMH73" s="263" t="s">
        <v>2</v>
      </c>
      <c r="CMI73" s="193"/>
      <c r="CMJ73" s="255" t="s">
        <v>168</v>
      </c>
      <c r="CMK73" s="263" t="s">
        <v>31</v>
      </c>
      <c r="CML73" s="254"/>
      <c r="CMM73" s="254"/>
      <c r="CMN73" s="264">
        <v>5.7000000000000002E-2</v>
      </c>
      <c r="CMO73" s="193"/>
      <c r="CMP73" s="263" t="s">
        <v>2</v>
      </c>
      <c r="CMQ73" s="193"/>
      <c r="CMR73" s="255" t="s">
        <v>168</v>
      </c>
      <c r="CMS73" s="263" t="s">
        <v>31</v>
      </c>
      <c r="CMT73" s="254"/>
      <c r="CMU73" s="254"/>
      <c r="CMV73" s="264">
        <v>5.7000000000000002E-2</v>
      </c>
      <c r="CMW73" s="193"/>
      <c r="CMX73" s="263" t="s">
        <v>2</v>
      </c>
      <c r="CMY73" s="193"/>
      <c r="CMZ73" s="255" t="s">
        <v>168</v>
      </c>
      <c r="CNA73" s="263" t="s">
        <v>31</v>
      </c>
      <c r="CNB73" s="254"/>
      <c r="CNC73" s="254"/>
      <c r="CND73" s="264">
        <v>5.7000000000000002E-2</v>
      </c>
      <c r="CNE73" s="193"/>
      <c r="CNF73" s="263" t="s">
        <v>2</v>
      </c>
      <c r="CNG73" s="193"/>
      <c r="CNH73" s="255" t="s">
        <v>168</v>
      </c>
      <c r="CNI73" s="263" t="s">
        <v>31</v>
      </c>
      <c r="CNJ73" s="254"/>
      <c r="CNK73" s="254"/>
      <c r="CNL73" s="264">
        <v>5.7000000000000002E-2</v>
      </c>
      <c r="CNM73" s="193"/>
      <c r="CNN73" s="263" t="s">
        <v>2</v>
      </c>
      <c r="CNO73" s="193"/>
      <c r="CNP73" s="255" t="s">
        <v>168</v>
      </c>
      <c r="CNQ73" s="263" t="s">
        <v>31</v>
      </c>
      <c r="CNR73" s="254"/>
      <c r="CNS73" s="254"/>
      <c r="CNT73" s="264">
        <v>5.7000000000000002E-2</v>
      </c>
      <c r="CNU73" s="193"/>
      <c r="CNV73" s="263" t="s">
        <v>2</v>
      </c>
      <c r="CNW73" s="193"/>
      <c r="CNX73" s="255" t="s">
        <v>168</v>
      </c>
      <c r="CNY73" s="263" t="s">
        <v>31</v>
      </c>
      <c r="CNZ73" s="254"/>
      <c r="COA73" s="254"/>
      <c r="COB73" s="264">
        <v>5.7000000000000002E-2</v>
      </c>
      <c r="COC73" s="193"/>
      <c r="COD73" s="263" t="s">
        <v>2</v>
      </c>
      <c r="COE73" s="193"/>
      <c r="COF73" s="255" t="s">
        <v>168</v>
      </c>
      <c r="COG73" s="263" t="s">
        <v>31</v>
      </c>
      <c r="COH73" s="254"/>
      <c r="COI73" s="254"/>
      <c r="COJ73" s="264">
        <v>5.7000000000000002E-2</v>
      </c>
      <c r="COK73" s="193"/>
      <c r="COL73" s="263" t="s">
        <v>2</v>
      </c>
      <c r="COM73" s="193"/>
      <c r="CON73" s="255" t="s">
        <v>168</v>
      </c>
      <c r="COO73" s="263" t="s">
        <v>31</v>
      </c>
      <c r="COP73" s="254"/>
      <c r="COQ73" s="254"/>
      <c r="COR73" s="264">
        <v>5.7000000000000002E-2</v>
      </c>
      <c r="COS73" s="193"/>
      <c r="COT73" s="263" t="s">
        <v>2</v>
      </c>
      <c r="COU73" s="193"/>
      <c r="COV73" s="255" t="s">
        <v>168</v>
      </c>
      <c r="COW73" s="263" t="s">
        <v>31</v>
      </c>
      <c r="COX73" s="254"/>
      <c r="COY73" s="254"/>
      <c r="COZ73" s="264">
        <v>5.7000000000000002E-2</v>
      </c>
      <c r="CPA73" s="193"/>
      <c r="CPB73" s="263" t="s">
        <v>2</v>
      </c>
      <c r="CPC73" s="193"/>
      <c r="CPD73" s="255" t="s">
        <v>168</v>
      </c>
      <c r="CPE73" s="263" t="s">
        <v>31</v>
      </c>
      <c r="CPF73" s="254"/>
      <c r="CPG73" s="254"/>
      <c r="CPH73" s="264">
        <v>5.7000000000000002E-2</v>
      </c>
      <c r="CPI73" s="193"/>
      <c r="CPJ73" s="263" t="s">
        <v>2</v>
      </c>
      <c r="CPK73" s="193"/>
      <c r="CPL73" s="255" t="s">
        <v>168</v>
      </c>
      <c r="CPM73" s="263" t="s">
        <v>31</v>
      </c>
      <c r="CPN73" s="254"/>
      <c r="CPO73" s="254"/>
      <c r="CPP73" s="264">
        <v>5.7000000000000002E-2</v>
      </c>
      <c r="CPQ73" s="193"/>
      <c r="CPR73" s="263" t="s">
        <v>2</v>
      </c>
      <c r="CPS73" s="193"/>
      <c r="CPT73" s="255" t="s">
        <v>168</v>
      </c>
      <c r="CPU73" s="263" t="s">
        <v>31</v>
      </c>
      <c r="CPV73" s="254"/>
      <c r="CPW73" s="254"/>
      <c r="CPX73" s="264">
        <v>5.7000000000000002E-2</v>
      </c>
      <c r="CPY73" s="193"/>
      <c r="CPZ73" s="263" t="s">
        <v>2</v>
      </c>
      <c r="CQA73" s="193"/>
      <c r="CQB73" s="255" t="s">
        <v>168</v>
      </c>
      <c r="CQC73" s="263" t="s">
        <v>31</v>
      </c>
      <c r="CQD73" s="254"/>
      <c r="CQE73" s="254"/>
      <c r="CQF73" s="264">
        <v>5.7000000000000002E-2</v>
      </c>
      <c r="CQG73" s="193"/>
      <c r="CQH73" s="263" t="s">
        <v>2</v>
      </c>
      <c r="CQI73" s="193"/>
      <c r="CQJ73" s="255" t="s">
        <v>168</v>
      </c>
      <c r="CQK73" s="263" t="s">
        <v>31</v>
      </c>
      <c r="CQL73" s="254"/>
      <c r="CQM73" s="254"/>
      <c r="CQN73" s="264">
        <v>5.7000000000000002E-2</v>
      </c>
      <c r="CQO73" s="193"/>
      <c r="CQP73" s="263" t="s">
        <v>2</v>
      </c>
      <c r="CQQ73" s="193"/>
      <c r="CQR73" s="255" t="s">
        <v>168</v>
      </c>
      <c r="CQS73" s="263" t="s">
        <v>31</v>
      </c>
      <c r="CQT73" s="254"/>
      <c r="CQU73" s="254"/>
      <c r="CQV73" s="264">
        <v>5.7000000000000002E-2</v>
      </c>
      <c r="CQW73" s="193"/>
      <c r="CQX73" s="263" t="s">
        <v>2</v>
      </c>
      <c r="CQY73" s="193"/>
      <c r="CQZ73" s="255" t="s">
        <v>168</v>
      </c>
      <c r="CRA73" s="263" t="s">
        <v>31</v>
      </c>
      <c r="CRB73" s="254"/>
      <c r="CRC73" s="254"/>
      <c r="CRD73" s="264">
        <v>5.7000000000000002E-2</v>
      </c>
      <c r="CRE73" s="193"/>
      <c r="CRF73" s="263" t="s">
        <v>2</v>
      </c>
      <c r="CRG73" s="193"/>
      <c r="CRH73" s="255" t="s">
        <v>168</v>
      </c>
      <c r="CRI73" s="263" t="s">
        <v>31</v>
      </c>
      <c r="CRJ73" s="254"/>
      <c r="CRK73" s="254"/>
      <c r="CRL73" s="264">
        <v>5.7000000000000002E-2</v>
      </c>
      <c r="CRM73" s="193"/>
      <c r="CRN73" s="263" t="s">
        <v>2</v>
      </c>
      <c r="CRO73" s="193"/>
      <c r="CRP73" s="255" t="s">
        <v>168</v>
      </c>
      <c r="CRQ73" s="263" t="s">
        <v>31</v>
      </c>
      <c r="CRR73" s="254"/>
      <c r="CRS73" s="254"/>
      <c r="CRT73" s="264">
        <v>5.7000000000000002E-2</v>
      </c>
      <c r="CRU73" s="193"/>
      <c r="CRV73" s="263" t="s">
        <v>2</v>
      </c>
      <c r="CRW73" s="193"/>
      <c r="CRX73" s="255" t="s">
        <v>168</v>
      </c>
      <c r="CRY73" s="263" t="s">
        <v>31</v>
      </c>
      <c r="CRZ73" s="254"/>
      <c r="CSA73" s="254"/>
      <c r="CSB73" s="264">
        <v>5.7000000000000002E-2</v>
      </c>
      <c r="CSC73" s="193"/>
      <c r="CSD73" s="263" t="s">
        <v>2</v>
      </c>
      <c r="CSE73" s="193"/>
      <c r="CSF73" s="255" t="s">
        <v>168</v>
      </c>
      <c r="CSG73" s="263" t="s">
        <v>31</v>
      </c>
      <c r="CSH73" s="254"/>
      <c r="CSI73" s="254"/>
      <c r="CSJ73" s="264">
        <v>5.7000000000000002E-2</v>
      </c>
      <c r="CSK73" s="193"/>
      <c r="CSL73" s="263" t="s">
        <v>2</v>
      </c>
      <c r="CSM73" s="193"/>
      <c r="CSN73" s="255" t="s">
        <v>168</v>
      </c>
      <c r="CSO73" s="263" t="s">
        <v>31</v>
      </c>
      <c r="CSP73" s="254"/>
      <c r="CSQ73" s="254"/>
      <c r="CSR73" s="264">
        <v>5.7000000000000002E-2</v>
      </c>
      <c r="CSS73" s="193"/>
      <c r="CST73" s="263" t="s">
        <v>2</v>
      </c>
      <c r="CSU73" s="193"/>
      <c r="CSV73" s="255" t="s">
        <v>168</v>
      </c>
      <c r="CSW73" s="263" t="s">
        <v>31</v>
      </c>
      <c r="CSX73" s="254"/>
      <c r="CSY73" s="254"/>
      <c r="CSZ73" s="264">
        <v>5.7000000000000002E-2</v>
      </c>
      <c r="CTA73" s="193"/>
      <c r="CTB73" s="263" t="s">
        <v>2</v>
      </c>
      <c r="CTC73" s="193"/>
      <c r="CTD73" s="255" t="s">
        <v>168</v>
      </c>
      <c r="CTE73" s="263" t="s">
        <v>31</v>
      </c>
      <c r="CTF73" s="254"/>
      <c r="CTG73" s="254"/>
      <c r="CTH73" s="264">
        <v>5.7000000000000002E-2</v>
      </c>
      <c r="CTI73" s="193"/>
      <c r="CTJ73" s="263" t="s">
        <v>2</v>
      </c>
      <c r="CTK73" s="193"/>
      <c r="CTL73" s="255" t="s">
        <v>168</v>
      </c>
      <c r="CTM73" s="263" t="s">
        <v>31</v>
      </c>
      <c r="CTN73" s="254"/>
      <c r="CTO73" s="254"/>
      <c r="CTP73" s="264">
        <v>5.7000000000000002E-2</v>
      </c>
      <c r="CTQ73" s="193"/>
      <c r="CTR73" s="263" t="s">
        <v>2</v>
      </c>
      <c r="CTS73" s="193"/>
      <c r="CTT73" s="255" t="s">
        <v>168</v>
      </c>
      <c r="CTU73" s="263" t="s">
        <v>31</v>
      </c>
      <c r="CTV73" s="254"/>
      <c r="CTW73" s="254"/>
      <c r="CTX73" s="264">
        <v>5.7000000000000002E-2</v>
      </c>
      <c r="CTY73" s="193"/>
      <c r="CTZ73" s="263" t="s">
        <v>2</v>
      </c>
      <c r="CUA73" s="193"/>
      <c r="CUB73" s="255" t="s">
        <v>168</v>
      </c>
      <c r="CUC73" s="263" t="s">
        <v>31</v>
      </c>
      <c r="CUD73" s="254"/>
      <c r="CUE73" s="254"/>
      <c r="CUF73" s="264">
        <v>5.7000000000000002E-2</v>
      </c>
      <c r="CUG73" s="193"/>
      <c r="CUH73" s="263" t="s">
        <v>2</v>
      </c>
      <c r="CUI73" s="193"/>
      <c r="CUJ73" s="255" t="s">
        <v>168</v>
      </c>
      <c r="CUK73" s="263" t="s">
        <v>31</v>
      </c>
      <c r="CUL73" s="254"/>
      <c r="CUM73" s="254"/>
      <c r="CUN73" s="264">
        <v>5.7000000000000002E-2</v>
      </c>
      <c r="CUO73" s="193"/>
      <c r="CUP73" s="263" t="s">
        <v>2</v>
      </c>
      <c r="CUQ73" s="193"/>
      <c r="CUR73" s="255" t="s">
        <v>168</v>
      </c>
      <c r="CUS73" s="263" t="s">
        <v>31</v>
      </c>
      <c r="CUT73" s="254"/>
      <c r="CUU73" s="254"/>
      <c r="CUV73" s="264">
        <v>5.7000000000000002E-2</v>
      </c>
      <c r="CUW73" s="193"/>
      <c r="CUX73" s="263" t="s">
        <v>2</v>
      </c>
      <c r="CUY73" s="193"/>
      <c r="CUZ73" s="255" t="s">
        <v>168</v>
      </c>
      <c r="CVA73" s="263" t="s">
        <v>31</v>
      </c>
      <c r="CVB73" s="254"/>
      <c r="CVC73" s="254"/>
      <c r="CVD73" s="264">
        <v>5.7000000000000002E-2</v>
      </c>
      <c r="CVE73" s="193"/>
      <c r="CVF73" s="263" t="s">
        <v>2</v>
      </c>
      <c r="CVG73" s="193"/>
      <c r="CVH73" s="255" t="s">
        <v>168</v>
      </c>
      <c r="CVI73" s="263" t="s">
        <v>31</v>
      </c>
      <c r="CVJ73" s="254"/>
      <c r="CVK73" s="254"/>
      <c r="CVL73" s="264">
        <v>5.7000000000000002E-2</v>
      </c>
      <c r="CVM73" s="193"/>
      <c r="CVN73" s="263" t="s">
        <v>2</v>
      </c>
      <c r="CVO73" s="193"/>
      <c r="CVP73" s="255" t="s">
        <v>168</v>
      </c>
      <c r="CVQ73" s="263" t="s">
        <v>31</v>
      </c>
      <c r="CVR73" s="254"/>
      <c r="CVS73" s="254"/>
      <c r="CVT73" s="264">
        <v>5.7000000000000002E-2</v>
      </c>
      <c r="CVU73" s="193"/>
      <c r="CVV73" s="263" t="s">
        <v>2</v>
      </c>
      <c r="CVW73" s="193"/>
      <c r="CVX73" s="255" t="s">
        <v>168</v>
      </c>
      <c r="CVY73" s="263" t="s">
        <v>31</v>
      </c>
      <c r="CVZ73" s="254"/>
      <c r="CWA73" s="254"/>
      <c r="CWB73" s="264">
        <v>5.7000000000000002E-2</v>
      </c>
      <c r="CWC73" s="193"/>
      <c r="CWD73" s="263" t="s">
        <v>2</v>
      </c>
      <c r="CWE73" s="193"/>
      <c r="CWF73" s="255" t="s">
        <v>168</v>
      </c>
      <c r="CWG73" s="263" t="s">
        <v>31</v>
      </c>
      <c r="CWH73" s="254"/>
      <c r="CWI73" s="254"/>
      <c r="CWJ73" s="264">
        <v>5.7000000000000002E-2</v>
      </c>
      <c r="CWK73" s="193"/>
      <c r="CWL73" s="263" t="s">
        <v>2</v>
      </c>
      <c r="CWM73" s="193"/>
      <c r="CWN73" s="255" t="s">
        <v>168</v>
      </c>
      <c r="CWO73" s="263" t="s">
        <v>31</v>
      </c>
      <c r="CWP73" s="254"/>
      <c r="CWQ73" s="254"/>
      <c r="CWR73" s="264">
        <v>5.7000000000000002E-2</v>
      </c>
      <c r="CWS73" s="193"/>
      <c r="CWT73" s="263" t="s">
        <v>2</v>
      </c>
      <c r="CWU73" s="193"/>
      <c r="CWV73" s="255" t="s">
        <v>168</v>
      </c>
      <c r="CWW73" s="263" t="s">
        <v>31</v>
      </c>
      <c r="CWX73" s="254"/>
      <c r="CWY73" s="254"/>
      <c r="CWZ73" s="264">
        <v>5.7000000000000002E-2</v>
      </c>
      <c r="CXA73" s="193"/>
      <c r="CXB73" s="263" t="s">
        <v>2</v>
      </c>
      <c r="CXC73" s="193"/>
      <c r="CXD73" s="255" t="s">
        <v>168</v>
      </c>
      <c r="CXE73" s="263" t="s">
        <v>31</v>
      </c>
      <c r="CXF73" s="254"/>
      <c r="CXG73" s="254"/>
      <c r="CXH73" s="264">
        <v>5.7000000000000002E-2</v>
      </c>
      <c r="CXI73" s="193"/>
      <c r="CXJ73" s="263" t="s">
        <v>2</v>
      </c>
      <c r="CXK73" s="193"/>
      <c r="CXL73" s="255" t="s">
        <v>168</v>
      </c>
      <c r="CXM73" s="263" t="s">
        <v>31</v>
      </c>
      <c r="CXN73" s="254"/>
      <c r="CXO73" s="254"/>
      <c r="CXP73" s="264">
        <v>5.7000000000000002E-2</v>
      </c>
      <c r="CXQ73" s="193"/>
      <c r="CXR73" s="263" t="s">
        <v>2</v>
      </c>
      <c r="CXS73" s="193"/>
      <c r="CXT73" s="255" t="s">
        <v>168</v>
      </c>
      <c r="CXU73" s="263" t="s">
        <v>31</v>
      </c>
      <c r="CXV73" s="254"/>
      <c r="CXW73" s="254"/>
      <c r="CXX73" s="264">
        <v>5.7000000000000002E-2</v>
      </c>
      <c r="CXY73" s="193"/>
      <c r="CXZ73" s="263" t="s">
        <v>2</v>
      </c>
      <c r="CYA73" s="193"/>
      <c r="CYB73" s="255" t="s">
        <v>168</v>
      </c>
      <c r="CYC73" s="263" t="s">
        <v>31</v>
      </c>
      <c r="CYD73" s="254"/>
      <c r="CYE73" s="254"/>
      <c r="CYF73" s="264">
        <v>5.7000000000000002E-2</v>
      </c>
      <c r="CYG73" s="193"/>
      <c r="CYH73" s="263" t="s">
        <v>2</v>
      </c>
      <c r="CYI73" s="193"/>
      <c r="CYJ73" s="255" t="s">
        <v>168</v>
      </c>
      <c r="CYK73" s="263" t="s">
        <v>31</v>
      </c>
      <c r="CYL73" s="254"/>
      <c r="CYM73" s="254"/>
      <c r="CYN73" s="264">
        <v>5.7000000000000002E-2</v>
      </c>
      <c r="CYO73" s="193"/>
      <c r="CYP73" s="263" t="s">
        <v>2</v>
      </c>
      <c r="CYQ73" s="193"/>
      <c r="CYR73" s="255" t="s">
        <v>168</v>
      </c>
      <c r="CYS73" s="263" t="s">
        <v>31</v>
      </c>
      <c r="CYT73" s="254"/>
      <c r="CYU73" s="254"/>
      <c r="CYV73" s="264">
        <v>5.7000000000000002E-2</v>
      </c>
      <c r="CYW73" s="193"/>
      <c r="CYX73" s="263" t="s">
        <v>2</v>
      </c>
      <c r="CYY73" s="193"/>
      <c r="CYZ73" s="255" t="s">
        <v>168</v>
      </c>
      <c r="CZA73" s="263" t="s">
        <v>31</v>
      </c>
      <c r="CZB73" s="254"/>
      <c r="CZC73" s="254"/>
      <c r="CZD73" s="264">
        <v>5.7000000000000002E-2</v>
      </c>
      <c r="CZE73" s="193"/>
      <c r="CZF73" s="263" t="s">
        <v>2</v>
      </c>
      <c r="CZG73" s="193"/>
      <c r="CZH73" s="255" t="s">
        <v>168</v>
      </c>
      <c r="CZI73" s="263" t="s">
        <v>31</v>
      </c>
      <c r="CZJ73" s="254"/>
      <c r="CZK73" s="254"/>
      <c r="CZL73" s="264">
        <v>5.7000000000000002E-2</v>
      </c>
      <c r="CZM73" s="193"/>
      <c r="CZN73" s="263" t="s">
        <v>2</v>
      </c>
      <c r="CZO73" s="193"/>
      <c r="CZP73" s="255" t="s">
        <v>168</v>
      </c>
      <c r="CZQ73" s="263" t="s">
        <v>31</v>
      </c>
      <c r="CZR73" s="254"/>
      <c r="CZS73" s="254"/>
      <c r="CZT73" s="264">
        <v>5.7000000000000002E-2</v>
      </c>
      <c r="CZU73" s="193"/>
      <c r="CZV73" s="263" t="s">
        <v>2</v>
      </c>
      <c r="CZW73" s="193"/>
      <c r="CZX73" s="255" t="s">
        <v>168</v>
      </c>
      <c r="CZY73" s="263" t="s">
        <v>31</v>
      </c>
      <c r="CZZ73" s="254"/>
      <c r="DAA73" s="254"/>
      <c r="DAB73" s="264">
        <v>5.7000000000000002E-2</v>
      </c>
      <c r="DAC73" s="193"/>
      <c r="DAD73" s="263" t="s">
        <v>2</v>
      </c>
      <c r="DAE73" s="193"/>
      <c r="DAF73" s="255" t="s">
        <v>168</v>
      </c>
      <c r="DAG73" s="263" t="s">
        <v>31</v>
      </c>
      <c r="DAH73" s="254"/>
      <c r="DAI73" s="254"/>
      <c r="DAJ73" s="264">
        <v>5.7000000000000002E-2</v>
      </c>
      <c r="DAK73" s="193"/>
      <c r="DAL73" s="263" t="s">
        <v>2</v>
      </c>
      <c r="DAM73" s="193"/>
      <c r="DAN73" s="255" t="s">
        <v>168</v>
      </c>
      <c r="DAO73" s="263" t="s">
        <v>31</v>
      </c>
      <c r="DAP73" s="254"/>
      <c r="DAQ73" s="254"/>
      <c r="DAR73" s="264">
        <v>5.7000000000000002E-2</v>
      </c>
      <c r="DAS73" s="193"/>
      <c r="DAT73" s="263" t="s">
        <v>2</v>
      </c>
      <c r="DAU73" s="193"/>
      <c r="DAV73" s="255" t="s">
        <v>168</v>
      </c>
      <c r="DAW73" s="263" t="s">
        <v>31</v>
      </c>
      <c r="DAX73" s="254"/>
      <c r="DAY73" s="254"/>
      <c r="DAZ73" s="264">
        <v>5.7000000000000002E-2</v>
      </c>
      <c r="DBA73" s="193"/>
      <c r="DBB73" s="263" t="s">
        <v>2</v>
      </c>
      <c r="DBC73" s="193"/>
      <c r="DBD73" s="255" t="s">
        <v>168</v>
      </c>
      <c r="DBE73" s="263" t="s">
        <v>31</v>
      </c>
      <c r="DBF73" s="254"/>
      <c r="DBG73" s="254"/>
      <c r="DBH73" s="264">
        <v>5.7000000000000002E-2</v>
      </c>
      <c r="DBI73" s="193"/>
      <c r="DBJ73" s="263" t="s">
        <v>2</v>
      </c>
      <c r="DBK73" s="193"/>
      <c r="DBL73" s="255" t="s">
        <v>168</v>
      </c>
      <c r="DBM73" s="263" t="s">
        <v>31</v>
      </c>
      <c r="DBN73" s="254"/>
      <c r="DBO73" s="254"/>
      <c r="DBP73" s="264">
        <v>5.7000000000000002E-2</v>
      </c>
      <c r="DBQ73" s="193"/>
      <c r="DBR73" s="263" t="s">
        <v>2</v>
      </c>
      <c r="DBS73" s="193"/>
      <c r="DBT73" s="255" t="s">
        <v>168</v>
      </c>
      <c r="DBU73" s="263" t="s">
        <v>31</v>
      </c>
      <c r="DBV73" s="254"/>
      <c r="DBW73" s="254"/>
      <c r="DBX73" s="264">
        <v>5.7000000000000002E-2</v>
      </c>
      <c r="DBY73" s="193"/>
      <c r="DBZ73" s="263" t="s">
        <v>2</v>
      </c>
      <c r="DCA73" s="193"/>
      <c r="DCB73" s="255" t="s">
        <v>168</v>
      </c>
      <c r="DCC73" s="263" t="s">
        <v>31</v>
      </c>
      <c r="DCD73" s="254"/>
      <c r="DCE73" s="254"/>
      <c r="DCF73" s="264">
        <v>5.7000000000000002E-2</v>
      </c>
      <c r="DCG73" s="193"/>
      <c r="DCH73" s="263" t="s">
        <v>2</v>
      </c>
      <c r="DCI73" s="193"/>
      <c r="DCJ73" s="255" t="s">
        <v>168</v>
      </c>
      <c r="DCK73" s="263" t="s">
        <v>31</v>
      </c>
      <c r="DCL73" s="254"/>
      <c r="DCM73" s="254"/>
      <c r="DCN73" s="264">
        <v>5.7000000000000002E-2</v>
      </c>
      <c r="DCO73" s="193"/>
      <c r="DCP73" s="263" t="s">
        <v>2</v>
      </c>
      <c r="DCQ73" s="193"/>
      <c r="DCR73" s="255" t="s">
        <v>168</v>
      </c>
      <c r="DCS73" s="263" t="s">
        <v>31</v>
      </c>
      <c r="DCT73" s="254"/>
      <c r="DCU73" s="254"/>
      <c r="DCV73" s="264">
        <v>5.7000000000000002E-2</v>
      </c>
      <c r="DCW73" s="193"/>
      <c r="DCX73" s="263" t="s">
        <v>2</v>
      </c>
      <c r="DCY73" s="193"/>
      <c r="DCZ73" s="255" t="s">
        <v>168</v>
      </c>
      <c r="DDA73" s="263" t="s">
        <v>31</v>
      </c>
      <c r="DDB73" s="254"/>
      <c r="DDC73" s="254"/>
      <c r="DDD73" s="264">
        <v>5.7000000000000002E-2</v>
      </c>
      <c r="DDE73" s="193"/>
      <c r="DDF73" s="263" t="s">
        <v>2</v>
      </c>
      <c r="DDG73" s="193"/>
      <c r="DDH73" s="255" t="s">
        <v>168</v>
      </c>
      <c r="DDI73" s="263" t="s">
        <v>31</v>
      </c>
      <c r="DDJ73" s="254"/>
      <c r="DDK73" s="254"/>
      <c r="DDL73" s="264">
        <v>5.7000000000000002E-2</v>
      </c>
      <c r="DDM73" s="193"/>
      <c r="DDN73" s="263" t="s">
        <v>2</v>
      </c>
      <c r="DDO73" s="193"/>
      <c r="DDP73" s="255" t="s">
        <v>168</v>
      </c>
      <c r="DDQ73" s="263" t="s">
        <v>31</v>
      </c>
      <c r="DDR73" s="254"/>
      <c r="DDS73" s="254"/>
      <c r="DDT73" s="264">
        <v>5.7000000000000002E-2</v>
      </c>
      <c r="DDU73" s="193"/>
      <c r="DDV73" s="263" t="s">
        <v>2</v>
      </c>
      <c r="DDW73" s="193"/>
      <c r="DDX73" s="255" t="s">
        <v>168</v>
      </c>
      <c r="DDY73" s="263" t="s">
        <v>31</v>
      </c>
      <c r="DDZ73" s="254"/>
      <c r="DEA73" s="254"/>
      <c r="DEB73" s="264">
        <v>5.7000000000000002E-2</v>
      </c>
      <c r="DEC73" s="193"/>
      <c r="DED73" s="263" t="s">
        <v>2</v>
      </c>
      <c r="DEE73" s="193"/>
      <c r="DEF73" s="255" t="s">
        <v>168</v>
      </c>
      <c r="DEG73" s="263" t="s">
        <v>31</v>
      </c>
      <c r="DEH73" s="254"/>
      <c r="DEI73" s="254"/>
      <c r="DEJ73" s="264">
        <v>5.7000000000000002E-2</v>
      </c>
      <c r="DEK73" s="193"/>
      <c r="DEL73" s="263" t="s">
        <v>2</v>
      </c>
      <c r="DEM73" s="193"/>
      <c r="DEN73" s="255" t="s">
        <v>168</v>
      </c>
      <c r="DEO73" s="263" t="s">
        <v>31</v>
      </c>
      <c r="DEP73" s="254"/>
      <c r="DEQ73" s="254"/>
      <c r="DER73" s="264">
        <v>5.7000000000000002E-2</v>
      </c>
      <c r="DES73" s="193"/>
      <c r="DET73" s="263" t="s">
        <v>2</v>
      </c>
      <c r="DEU73" s="193"/>
      <c r="DEV73" s="255" t="s">
        <v>168</v>
      </c>
      <c r="DEW73" s="263" t="s">
        <v>31</v>
      </c>
      <c r="DEX73" s="254"/>
      <c r="DEY73" s="254"/>
      <c r="DEZ73" s="264">
        <v>5.7000000000000002E-2</v>
      </c>
      <c r="DFA73" s="193"/>
      <c r="DFB73" s="263" t="s">
        <v>2</v>
      </c>
      <c r="DFC73" s="193"/>
      <c r="DFD73" s="255" t="s">
        <v>168</v>
      </c>
      <c r="DFE73" s="263" t="s">
        <v>31</v>
      </c>
      <c r="DFF73" s="254"/>
      <c r="DFG73" s="254"/>
      <c r="DFH73" s="264">
        <v>5.7000000000000002E-2</v>
      </c>
      <c r="DFI73" s="193"/>
      <c r="DFJ73" s="263" t="s">
        <v>2</v>
      </c>
      <c r="DFK73" s="193"/>
      <c r="DFL73" s="255" t="s">
        <v>168</v>
      </c>
      <c r="DFM73" s="263" t="s">
        <v>31</v>
      </c>
      <c r="DFN73" s="254"/>
      <c r="DFO73" s="254"/>
      <c r="DFP73" s="264">
        <v>5.7000000000000002E-2</v>
      </c>
      <c r="DFQ73" s="193"/>
      <c r="DFR73" s="263" t="s">
        <v>2</v>
      </c>
      <c r="DFS73" s="193"/>
      <c r="DFT73" s="255" t="s">
        <v>168</v>
      </c>
      <c r="DFU73" s="263" t="s">
        <v>31</v>
      </c>
      <c r="DFV73" s="254"/>
      <c r="DFW73" s="254"/>
      <c r="DFX73" s="264">
        <v>5.7000000000000002E-2</v>
      </c>
      <c r="DFY73" s="193"/>
      <c r="DFZ73" s="263" t="s">
        <v>2</v>
      </c>
      <c r="DGA73" s="193"/>
      <c r="DGB73" s="255" t="s">
        <v>168</v>
      </c>
      <c r="DGC73" s="263" t="s">
        <v>31</v>
      </c>
      <c r="DGD73" s="254"/>
      <c r="DGE73" s="254"/>
      <c r="DGF73" s="264">
        <v>5.7000000000000002E-2</v>
      </c>
      <c r="DGG73" s="193"/>
      <c r="DGH73" s="263" t="s">
        <v>2</v>
      </c>
      <c r="DGI73" s="193"/>
      <c r="DGJ73" s="255" t="s">
        <v>168</v>
      </c>
      <c r="DGK73" s="263" t="s">
        <v>31</v>
      </c>
      <c r="DGL73" s="254"/>
      <c r="DGM73" s="254"/>
      <c r="DGN73" s="264">
        <v>5.7000000000000002E-2</v>
      </c>
      <c r="DGO73" s="193"/>
      <c r="DGP73" s="263" t="s">
        <v>2</v>
      </c>
      <c r="DGQ73" s="193"/>
      <c r="DGR73" s="255" t="s">
        <v>168</v>
      </c>
      <c r="DGS73" s="263" t="s">
        <v>31</v>
      </c>
      <c r="DGT73" s="254"/>
      <c r="DGU73" s="254"/>
      <c r="DGV73" s="264">
        <v>5.7000000000000002E-2</v>
      </c>
      <c r="DGW73" s="193"/>
      <c r="DGX73" s="263" t="s">
        <v>2</v>
      </c>
      <c r="DGY73" s="193"/>
      <c r="DGZ73" s="255" t="s">
        <v>168</v>
      </c>
      <c r="DHA73" s="263" t="s">
        <v>31</v>
      </c>
      <c r="DHB73" s="254"/>
      <c r="DHC73" s="254"/>
      <c r="DHD73" s="264">
        <v>5.7000000000000002E-2</v>
      </c>
      <c r="DHE73" s="193"/>
      <c r="DHF73" s="263" t="s">
        <v>2</v>
      </c>
      <c r="DHG73" s="193"/>
      <c r="DHH73" s="255" t="s">
        <v>168</v>
      </c>
      <c r="DHI73" s="263" t="s">
        <v>31</v>
      </c>
      <c r="DHJ73" s="254"/>
      <c r="DHK73" s="254"/>
      <c r="DHL73" s="264">
        <v>5.7000000000000002E-2</v>
      </c>
      <c r="DHM73" s="193"/>
      <c r="DHN73" s="263" t="s">
        <v>2</v>
      </c>
      <c r="DHO73" s="193"/>
      <c r="DHP73" s="255" t="s">
        <v>168</v>
      </c>
      <c r="DHQ73" s="263" t="s">
        <v>31</v>
      </c>
      <c r="DHR73" s="254"/>
      <c r="DHS73" s="254"/>
      <c r="DHT73" s="264">
        <v>5.7000000000000002E-2</v>
      </c>
      <c r="DHU73" s="193"/>
      <c r="DHV73" s="263" t="s">
        <v>2</v>
      </c>
      <c r="DHW73" s="193"/>
      <c r="DHX73" s="255" t="s">
        <v>168</v>
      </c>
      <c r="DHY73" s="263" t="s">
        <v>31</v>
      </c>
      <c r="DHZ73" s="254"/>
      <c r="DIA73" s="254"/>
      <c r="DIB73" s="264">
        <v>5.7000000000000002E-2</v>
      </c>
      <c r="DIC73" s="193"/>
      <c r="DID73" s="263" t="s">
        <v>2</v>
      </c>
      <c r="DIE73" s="193"/>
      <c r="DIF73" s="255" t="s">
        <v>168</v>
      </c>
      <c r="DIG73" s="263" t="s">
        <v>31</v>
      </c>
      <c r="DIH73" s="254"/>
      <c r="DII73" s="254"/>
      <c r="DIJ73" s="264">
        <v>5.7000000000000002E-2</v>
      </c>
      <c r="DIK73" s="193"/>
      <c r="DIL73" s="263" t="s">
        <v>2</v>
      </c>
      <c r="DIM73" s="193"/>
      <c r="DIN73" s="255" t="s">
        <v>168</v>
      </c>
      <c r="DIO73" s="263" t="s">
        <v>31</v>
      </c>
      <c r="DIP73" s="254"/>
      <c r="DIQ73" s="254"/>
      <c r="DIR73" s="264">
        <v>5.7000000000000002E-2</v>
      </c>
      <c r="DIS73" s="193"/>
      <c r="DIT73" s="263" t="s">
        <v>2</v>
      </c>
      <c r="DIU73" s="193"/>
      <c r="DIV73" s="255" t="s">
        <v>168</v>
      </c>
      <c r="DIW73" s="263" t="s">
        <v>31</v>
      </c>
      <c r="DIX73" s="254"/>
      <c r="DIY73" s="254"/>
      <c r="DIZ73" s="264">
        <v>5.7000000000000002E-2</v>
      </c>
      <c r="DJA73" s="193"/>
      <c r="DJB73" s="263" t="s">
        <v>2</v>
      </c>
      <c r="DJC73" s="193"/>
      <c r="DJD73" s="255" t="s">
        <v>168</v>
      </c>
      <c r="DJE73" s="263" t="s">
        <v>31</v>
      </c>
      <c r="DJF73" s="254"/>
      <c r="DJG73" s="254"/>
      <c r="DJH73" s="264">
        <v>5.7000000000000002E-2</v>
      </c>
      <c r="DJI73" s="193"/>
      <c r="DJJ73" s="263" t="s">
        <v>2</v>
      </c>
      <c r="DJK73" s="193"/>
      <c r="DJL73" s="255" t="s">
        <v>168</v>
      </c>
      <c r="DJM73" s="263" t="s">
        <v>31</v>
      </c>
      <c r="DJN73" s="254"/>
      <c r="DJO73" s="254"/>
      <c r="DJP73" s="264">
        <v>5.7000000000000002E-2</v>
      </c>
      <c r="DJQ73" s="193"/>
      <c r="DJR73" s="263" t="s">
        <v>2</v>
      </c>
      <c r="DJS73" s="193"/>
      <c r="DJT73" s="255" t="s">
        <v>168</v>
      </c>
      <c r="DJU73" s="263" t="s">
        <v>31</v>
      </c>
      <c r="DJV73" s="254"/>
      <c r="DJW73" s="254"/>
      <c r="DJX73" s="264">
        <v>5.7000000000000002E-2</v>
      </c>
      <c r="DJY73" s="193"/>
      <c r="DJZ73" s="263" t="s">
        <v>2</v>
      </c>
      <c r="DKA73" s="193"/>
      <c r="DKB73" s="255" t="s">
        <v>168</v>
      </c>
      <c r="DKC73" s="263" t="s">
        <v>31</v>
      </c>
      <c r="DKD73" s="254"/>
      <c r="DKE73" s="254"/>
      <c r="DKF73" s="264">
        <v>5.7000000000000002E-2</v>
      </c>
      <c r="DKG73" s="193"/>
      <c r="DKH73" s="263" t="s">
        <v>2</v>
      </c>
      <c r="DKI73" s="193"/>
      <c r="DKJ73" s="255" t="s">
        <v>168</v>
      </c>
      <c r="DKK73" s="263" t="s">
        <v>31</v>
      </c>
      <c r="DKL73" s="254"/>
      <c r="DKM73" s="254"/>
      <c r="DKN73" s="264">
        <v>5.7000000000000002E-2</v>
      </c>
      <c r="DKO73" s="193"/>
      <c r="DKP73" s="263" t="s">
        <v>2</v>
      </c>
      <c r="DKQ73" s="193"/>
      <c r="DKR73" s="255" t="s">
        <v>168</v>
      </c>
      <c r="DKS73" s="263" t="s">
        <v>31</v>
      </c>
      <c r="DKT73" s="254"/>
      <c r="DKU73" s="254"/>
      <c r="DKV73" s="264">
        <v>5.7000000000000002E-2</v>
      </c>
      <c r="DKW73" s="193"/>
      <c r="DKX73" s="263" t="s">
        <v>2</v>
      </c>
      <c r="DKY73" s="193"/>
      <c r="DKZ73" s="255" t="s">
        <v>168</v>
      </c>
      <c r="DLA73" s="263" t="s">
        <v>31</v>
      </c>
      <c r="DLB73" s="254"/>
      <c r="DLC73" s="254"/>
      <c r="DLD73" s="264">
        <v>5.7000000000000002E-2</v>
      </c>
      <c r="DLE73" s="193"/>
      <c r="DLF73" s="263" t="s">
        <v>2</v>
      </c>
      <c r="DLG73" s="193"/>
      <c r="DLH73" s="255" t="s">
        <v>168</v>
      </c>
      <c r="DLI73" s="263" t="s">
        <v>31</v>
      </c>
      <c r="DLJ73" s="254"/>
      <c r="DLK73" s="254"/>
      <c r="DLL73" s="264">
        <v>5.7000000000000002E-2</v>
      </c>
      <c r="DLM73" s="193"/>
      <c r="DLN73" s="263" t="s">
        <v>2</v>
      </c>
      <c r="DLO73" s="193"/>
      <c r="DLP73" s="255" t="s">
        <v>168</v>
      </c>
      <c r="DLQ73" s="263" t="s">
        <v>31</v>
      </c>
      <c r="DLR73" s="254"/>
      <c r="DLS73" s="254"/>
      <c r="DLT73" s="264">
        <v>5.7000000000000002E-2</v>
      </c>
      <c r="DLU73" s="193"/>
      <c r="DLV73" s="263" t="s">
        <v>2</v>
      </c>
      <c r="DLW73" s="193"/>
      <c r="DLX73" s="255" t="s">
        <v>168</v>
      </c>
      <c r="DLY73" s="263" t="s">
        <v>31</v>
      </c>
      <c r="DLZ73" s="254"/>
      <c r="DMA73" s="254"/>
      <c r="DMB73" s="264">
        <v>5.7000000000000002E-2</v>
      </c>
      <c r="DMC73" s="193"/>
      <c r="DMD73" s="263" t="s">
        <v>2</v>
      </c>
      <c r="DME73" s="193"/>
      <c r="DMF73" s="255" t="s">
        <v>168</v>
      </c>
      <c r="DMG73" s="263" t="s">
        <v>31</v>
      </c>
      <c r="DMH73" s="254"/>
      <c r="DMI73" s="254"/>
      <c r="DMJ73" s="264">
        <v>5.7000000000000002E-2</v>
      </c>
      <c r="DMK73" s="193"/>
      <c r="DML73" s="263" t="s">
        <v>2</v>
      </c>
      <c r="DMM73" s="193"/>
      <c r="DMN73" s="255" t="s">
        <v>168</v>
      </c>
      <c r="DMO73" s="263" t="s">
        <v>31</v>
      </c>
      <c r="DMP73" s="254"/>
      <c r="DMQ73" s="254"/>
      <c r="DMR73" s="264">
        <v>5.7000000000000002E-2</v>
      </c>
      <c r="DMS73" s="193"/>
      <c r="DMT73" s="263" t="s">
        <v>2</v>
      </c>
      <c r="DMU73" s="193"/>
      <c r="DMV73" s="255" t="s">
        <v>168</v>
      </c>
      <c r="DMW73" s="263" t="s">
        <v>31</v>
      </c>
      <c r="DMX73" s="254"/>
      <c r="DMY73" s="254"/>
      <c r="DMZ73" s="264">
        <v>5.7000000000000002E-2</v>
      </c>
      <c r="DNA73" s="193"/>
      <c r="DNB73" s="263" t="s">
        <v>2</v>
      </c>
      <c r="DNC73" s="193"/>
      <c r="DND73" s="255" t="s">
        <v>168</v>
      </c>
      <c r="DNE73" s="263" t="s">
        <v>31</v>
      </c>
      <c r="DNF73" s="254"/>
      <c r="DNG73" s="254"/>
      <c r="DNH73" s="264">
        <v>5.7000000000000002E-2</v>
      </c>
      <c r="DNI73" s="193"/>
      <c r="DNJ73" s="263" t="s">
        <v>2</v>
      </c>
      <c r="DNK73" s="193"/>
      <c r="DNL73" s="255" t="s">
        <v>168</v>
      </c>
      <c r="DNM73" s="263" t="s">
        <v>31</v>
      </c>
      <c r="DNN73" s="254"/>
      <c r="DNO73" s="254"/>
      <c r="DNP73" s="264">
        <v>5.7000000000000002E-2</v>
      </c>
      <c r="DNQ73" s="193"/>
      <c r="DNR73" s="263" t="s">
        <v>2</v>
      </c>
      <c r="DNS73" s="193"/>
      <c r="DNT73" s="255" t="s">
        <v>168</v>
      </c>
      <c r="DNU73" s="263" t="s">
        <v>31</v>
      </c>
      <c r="DNV73" s="254"/>
      <c r="DNW73" s="254"/>
      <c r="DNX73" s="264">
        <v>5.7000000000000002E-2</v>
      </c>
      <c r="DNY73" s="193"/>
      <c r="DNZ73" s="263" t="s">
        <v>2</v>
      </c>
      <c r="DOA73" s="193"/>
      <c r="DOB73" s="255" t="s">
        <v>168</v>
      </c>
      <c r="DOC73" s="263" t="s">
        <v>31</v>
      </c>
      <c r="DOD73" s="254"/>
      <c r="DOE73" s="254"/>
      <c r="DOF73" s="264">
        <v>5.7000000000000002E-2</v>
      </c>
      <c r="DOG73" s="193"/>
      <c r="DOH73" s="263" t="s">
        <v>2</v>
      </c>
      <c r="DOI73" s="193"/>
      <c r="DOJ73" s="255" t="s">
        <v>168</v>
      </c>
      <c r="DOK73" s="263" t="s">
        <v>31</v>
      </c>
      <c r="DOL73" s="254"/>
      <c r="DOM73" s="254"/>
      <c r="DON73" s="264">
        <v>5.7000000000000002E-2</v>
      </c>
      <c r="DOO73" s="193"/>
      <c r="DOP73" s="263" t="s">
        <v>2</v>
      </c>
      <c r="DOQ73" s="193"/>
      <c r="DOR73" s="255" t="s">
        <v>168</v>
      </c>
      <c r="DOS73" s="263" t="s">
        <v>31</v>
      </c>
      <c r="DOT73" s="254"/>
      <c r="DOU73" s="254"/>
      <c r="DOV73" s="264">
        <v>5.7000000000000002E-2</v>
      </c>
      <c r="DOW73" s="193"/>
      <c r="DOX73" s="263" t="s">
        <v>2</v>
      </c>
      <c r="DOY73" s="193"/>
      <c r="DOZ73" s="255" t="s">
        <v>168</v>
      </c>
      <c r="DPA73" s="263" t="s">
        <v>31</v>
      </c>
      <c r="DPB73" s="254"/>
      <c r="DPC73" s="254"/>
      <c r="DPD73" s="264">
        <v>5.7000000000000002E-2</v>
      </c>
      <c r="DPE73" s="193"/>
      <c r="DPF73" s="263" t="s">
        <v>2</v>
      </c>
      <c r="DPG73" s="193"/>
      <c r="DPH73" s="255" t="s">
        <v>168</v>
      </c>
      <c r="DPI73" s="263" t="s">
        <v>31</v>
      </c>
      <c r="DPJ73" s="254"/>
      <c r="DPK73" s="254"/>
      <c r="DPL73" s="264">
        <v>5.7000000000000002E-2</v>
      </c>
      <c r="DPM73" s="193"/>
      <c r="DPN73" s="263" t="s">
        <v>2</v>
      </c>
      <c r="DPO73" s="193"/>
      <c r="DPP73" s="255" t="s">
        <v>168</v>
      </c>
      <c r="DPQ73" s="263" t="s">
        <v>31</v>
      </c>
      <c r="DPR73" s="254"/>
      <c r="DPS73" s="254"/>
      <c r="DPT73" s="264">
        <v>5.7000000000000002E-2</v>
      </c>
      <c r="DPU73" s="193"/>
      <c r="DPV73" s="263" t="s">
        <v>2</v>
      </c>
      <c r="DPW73" s="193"/>
      <c r="DPX73" s="255" t="s">
        <v>168</v>
      </c>
      <c r="DPY73" s="263" t="s">
        <v>31</v>
      </c>
      <c r="DPZ73" s="254"/>
      <c r="DQA73" s="254"/>
      <c r="DQB73" s="264">
        <v>5.7000000000000002E-2</v>
      </c>
      <c r="DQC73" s="193"/>
      <c r="DQD73" s="263" t="s">
        <v>2</v>
      </c>
      <c r="DQE73" s="193"/>
      <c r="DQF73" s="255" t="s">
        <v>168</v>
      </c>
      <c r="DQG73" s="263" t="s">
        <v>31</v>
      </c>
      <c r="DQH73" s="254"/>
      <c r="DQI73" s="254"/>
      <c r="DQJ73" s="264">
        <v>5.7000000000000002E-2</v>
      </c>
      <c r="DQK73" s="193"/>
      <c r="DQL73" s="263" t="s">
        <v>2</v>
      </c>
      <c r="DQM73" s="193"/>
      <c r="DQN73" s="255" t="s">
        <v>168</v>
      </c>
      <c r="DQO73" s="263" t="s">
        <v>31</v>
      </c>
      <c r="DQP73" s="254"/>
      <c r="DQQ73" s="254"/>
      <c r="DQR73" s="264">
        <v>5.7000000000000002E-2</v>
      </c>
      <c r="DQS73" s="193"/>
      <c r="DQT73" s="263" t="s">
        <v>2</v>
      </c>
      <c r="DQU73" s="193"/>
      <c r="DQV73" s="255" t="s">
        <v>168</v>
      </c>
      <c r="DQW73" s="263" t="s">
        <v>31</v>
      </c>
      <c r="DQX73" s="254"/>
      <c r="DQY73" s="254"/>
      <c r="DQZ73" s="264">
        <v>5.7000000000000002E-2</v>
      </c>
      <c r="DRA73" s="193"/>
      <c r="DRB73" s="263" t="s">
        <v>2</v>
      </c>
      <c r="DRC73" s="193"/>
      <c r="DRD73" s="255" t="s">
        <v>168</v>
      </c>
      <c r="DRE73" s="263" t="s">
        <v>31</v>
      </c>
      <c r="DRF73" s="254"/>
      <c r="DRG73" s="254"/>
      <c r="DRH73" s="264">
        <v>5.7000000000000002E-2</v>
      </c>
      <c r="DRI73" s="193"/>
      <c r="DRJ73" s="263" t="s">
        <v>2</v>
      </c>
      <c r="DRK73" s="193"/>
      <c r="DRL73" s="255" t="s">
        <v>168</v>
      </c>
      <c r="DRM73" s="263" t="s">
        <v>31</v>
      </c>
      <c r="DRN73" s="254"/>
      <c r="DRO73" s="254"/>
      <c r="DRP73" s="264">
        <v>5.7000000000000002E-2</v>
      </c>
      <c r="DRQ73" s="193"/>
      <c r="DRR73" s="263" t="s">
        <v>2</v>
      </c>
      <c r="DRS73" s="193"/>
      <c r="DRT73" s="255" t="s">
        <v>168</v>
      </c>
      <c r="DRU73" s="263" t="s">
        <v>31</v>
      </c>
      <c r="DRV73" s="254"/>
      <c r="DRW73" s="254"/>
      <c r="DRX73" s="264">
        <v>5.7000000000000002E-2</v>
      </c>
      <c r="DRY73" s="193"/>
      <c r="DRZ73" s="263" t="s">
        <v>2</v>
      </c>
      <c r="DSA73" s="193"/>
      <c r="DSB73" s="255" t="s">
        <v>168</v>
      </c>
      <c r="DSC73" s="263" t="s">
        <v>31</v>
      </c>
      <c r="DSD73" s="254"/>
      <c r="DSE73" s="254"/>
      <c r="DSF73" s="264">
        <v>5.7000000000000002E-2</v>
      </c>
      <c r="DSG73" s="193"/>
      <c r="DSH73" s="263" t="s">
        <v>2</v>
      </c>
      <c r="DSI73" s="193"/>
      <c r="DSJ73" s="255" t="s">
        <v>168</v>
      </c>
      <c r="DSK73" s="263" t="s">
        <v>31</v>
      </c>
      <c r="DSL73" s="254"/>
      <c r="DSM73" s="254"/>
      <c r="DSN73" s="264">
        <v>5.7000000000000002E-2</v>
      </c>
      <c r="DSO73" s="193"/>
      <c r="DSP73" s="263" t="s">
        <v>2</v>
      </c>
      <c r="DSQ73" s="193"/>
      <c r="DSR73" s="255" t="s">
        <v>168</v>
      </c>
      <c r="DSS73" s="263" t="s">
        <v>31</v>
      </c>
      <c r="DST73" s="254"/>
      <c r="DSU73" s="254"/>
      <c r="DSV73" s="264">
        <v>5.7000000000000002E-2</v>
      </c>
      <c r="DSW73" s="193"/>
      <c r="DSX73" s="263" t="s">
        <v>2</v>
      </c>
      <c r="DSY73" s="193"/>
      <c r="DSZ73" s="255" t="s">
        <v>168</v>
      </c>
      <c r="DTA73" s="263" t="s">
        <v>31</v>
      </c>
      <c r="DTB73" s="254"/>
      <c r="DTC73" s="254"/>
      <c r="DTD73" s="264">
        <v>5.7000000000000002E-2</v>
      </c>
      <c r="DTE73" s="193"/>
      <c r="DTF73" s="263" t="s">
        <v>2</v>
      </c>
      <c r="DTG73" s="193"/>
      <c r="DTH73" s="255" t="s">
        <v>168</v>
      </c>
      <c r="DTI73" s="263" t="s">
        <v>31</v>
      </c>
      <c r="DTJ73" s="254"/>
      <c r="DTK73" s="254"/>
      <c r="DTL73" s="264">
        <v>5.7000000000000002E-2</v>
      </c>
      <c r="DTM73" s="193"/>
      <c r="DTN73" s="263" t="s">
        <v>2</v>
      </c>
      <c r="DTO73" s="193"/>
      <c r="DTP73" s="255" t="s">
        <v>168</v>
      </c>
      <c r="DTQ73" s="263" t="s">
        <v>31</v>
      </c>
      <c r="DTR73" s="254"/>
      <c r="DTS73" s="254"/>
      <c r="DTT73" s="264">
        <v>5.7000000000000002E-2</v>
      </c>
      <c r="DTU73" s="193"/>
      <c r="DTV73" s="263" t="s">
        <v>2</v>
      </c>
      <c r="DTW73" s="193"/>
      <c r="DTX73" s="255" t="s">
        <v>168</v>
      </c>
      <c r="DTY73" s="263" t="s">
        <v>31</v>
      </c>
      <c r="DTZ73" s="254"/>
      <c r="DUA73" s="254"/>
      <c r="DUB73" s="264">
        <v>5.7000000000000002E-2</v>
      </c>
      <c r="DUC73" s="193"/>
      <c r="DUD73" s="263" t="s">
        <v>2</v>
      </c>
      <c r="DUE73" s="193"/>
      <c r="DUF73" s="255" t="s">
        <v>168</v>
      </c>
      <c r="DUG73" s="263" t="s">
        <v>31</v>
      </c>
      <c r="DUH73" s="254"/>
      <c r="DUI73" s="254"/>
      <c r="DUJ73" s="264">
        <v>5.7000000000000002E-2</v>
      </c>
      <c r="DUK73" s="193"/>
      <c r="DUL73" s="263" t="s">
        <v>2</v>
      </c>
      <c r="DUM73" s="193"/>
      <c r="DUN73" s="255" t="s">
        <v>168</v>
      </c>
      <c r="DUO73" s="263" t="s">
        <v>31</v>
      </c>
      <c r="DUP73" s="254"/>
      <c r="DUQ73" s="254"/>
      <c r="DUR73" s="264">
        <v>5.7000000000000002E-2</v>
      </c>
      <c r="DUS73" s="193"/>
      <c r="DUT73" s="263" t="s">
        <v>2</v>
      </c>
      <c r="DUU73" s="193"/>
      <c r="DUV73" s="255" t="s">
        <v>168</v>
      </c>
      <c r="DUW73" s="263" t="s">
        <v>31</v>
      </c>
      <c r="DUX73" s="254"/>
      <c r="DUY73" s="254"/>
      <c r="DUZ73" s="264">
        <v>5.7000000000000002E-2</v>
      </c>
      <c r="DVA73" s="193"/>
      <c r="DVB73" s="263" t="s">
        <v>2</v>
      </c>
      <c r="DVC73" s="193"/>
      <c r="DVD73" s="255" t="s">
        <v>168</v>
      </c>
      <c r="DVE73" s="263" t="s">
        <v>31</v>
      </c>
      <c r="DVF73" s="254"/>
      <c r="DVG73" s="254"/>
      <c r="DVH73" s="264">
        <v>5.7000000000000002E-2</v>
      </c>
      <c r="DVI73" s="193"/>
      <c r="DVJ73" s="263" t="s">
        <v>2</v>
      </c>
      <c r="DVK73" s="193"/>
      <c r="DVL73" s="255" t="s">
        <v>168</v>
      </c>
      <c r="DVM73" s="263" t="s">
        <v>31</v>
      </c>
      <c r="DVN73" s="254"/>
      <c r="DVO73" s="254"/>
      <c r="DVP73" s="264">
        <v>5.7000000000000002E-2</v>
      </c>
      <c r="DVQ73" s="193"/>
      <c r="DVR73" s="263" t="s">
        <v>2</v>
      </c>
      <c r="DVS73" s="193"/>
      <c r="DVT73" s="255" t="s">
        <v>168</v>
      </c>
      <c r="DVU73" s="263" t="s">
        <v>31</v>
      </c>
      <c r="DVV73" s="254"/>
      <c r="DVW73" s="254"/>
      <c r="DVX73" s="264">
        <v>5.7000000000000002E-2</v>
      </c>
      <c r="DVY73" s="193"/>
      <c r="DVZ73" s="263" t="s">
        <v>2</v>
      </c>
      <c r="DWA73" s="193"/>
      <c r="DWB73" s="255" t="s">
        <v>168</v>
      </c>
      <c r="DWC73" s="263" t="s">
        <v>31</v>
      </c>
      <c r="DWD73" s="254"/>
      <c r="DWE73" s="254"/>
      <c r="DWF73" s="264">
        <v>5.7000000000000002E-2</v>
      </c>
      <c r="DWG73" s="193"/>
      <c r="DWH73" s="263" t="s">
        <v>2</v>
      </c>
      <c r="DWI73" s="193"/>
      <c r="DWJ73" s="255" t="s">
        <v>168</v>
      </c>
      <c r="DWK73" s="263" t="s">
        <v>31</v>
      </c>
      <c r="DWL73" s="254"/>
      <c r="DWM73" s="254"/>
      <c r="DWN73" s="264">
        <v>5.7000000000000002E-2</v>
      </c>
      <c r="DWO73" s="193"/>
      <c r="DWP73" s="263" t="s">
        <v>2</v>
      </c>
      <c r="DWQ73" s="193"/>
      <c r="DWR73" s="255" t="s">
        <v>168</v>
      </c>
      <c r="DWS73" s="263" t="s">
        <v>31</v>
      </c>
      <c r="DWT73" s="254"/>
      <c r="DWU73" s="254"/>
      <c r="DWV73" s="264">
        <v>5.7000000000000002E-2</v>
      </c>
      <c r="DWW73" s="193"/>
      <c r="DWX73" s="263" t="s">
        <v>2</v>
      </c>
      <c r="DWY73" s="193"/>
      <c r="DWZ73" s="255" t="s">
        <v>168</v>
      </c>
      <c r="DXA73" s="263" t="s">
        <v>31</v>
      </c>
      <c r="DXB73" s="254"/>
      <c r="DXC73" s="254"/>
      <c r="DXD73" s="264">
        <v>5.7000000000000002E-2</v>
      </c>
      <c r="DXE73" s="193"/>
      <c r="DXF73" s="263" t="s">
        <v>2</v>
      </c>
      <c r="DXG73" s="193"/>
      <c r="DXH73" s="255" t="s">
        <v>168</v>
      </c>
      <c r="DXI73" s="263" t="s">
        <v>31</v>
      </c>
      <c r="DXJ73" s="254"/>
      <c r="DXK73" s="254"/>
      <c r="DXL73" s="264">
        <v>5.7000000000000002E-2</v>
      </c>
      <c r="DXM73" s="193"/>
      <c r="DXN73" s="263" t="s">
        <v>2</v>
      </c>
      <c r="DXO73" s="193"/>
      <c r="DXP73" s="255" t="s">
        <v>168</v>
      </c>
      <c r="DXQ73" s="263" t="s">
        <v>31</v>
      </c>
      <c r="DXR73" s="254"/>
      <c r="DXS73" s="254"/>
      <c r="DXT73" s="264">
        <v>5.7000000000000002E-2</v>
      </c>
      <c r="DXU73" s="193"/>
      <c r="DXV73" s="263" t="s">
        <v>2</v>
      </c>
      <c r="DXW73" s="193"/>
      <c r="DXX73" s="255" t="s">
        <v>168</v>
      </c>
      <c r="DXY73" s="263" t="s">
        <v>31</v>
      </c>
      <c r="DXZ73" s="254"/>
      <c r="DYA73" s="254"/>
      <c r="DYB73" s="264">
        <v>5.7000000000000002E-2</v>
      </c>
      <c r="DYC73" s="193"/>
      <c r="DYD73" s="263" t="s">
        <v>2</v>
      </c>
      <c r="DYE73" s="193"/>
      <c r="DYF73" s="255" t="s">
        <v>168</v>
      </c>
      <c r="DYG73" s="263" t="s">
        <v>31</v>
      </c>
      <c r="DYH73" s="254"/>
      <c r="DYI73" s="254"/>
      <c r="DYJ73" s="264">
        <v>5.7000000000000002E-2</v>
      </c>
      <c r="DYK73" s="193"/>
      <c r="DYL73" s="263" t="s">
        <v>2</v>
      </c>
      <c r="DYM73" s="193"/>
      <c r="DYN73" s="255" t="s">
        <v>168</v>
      </c>
      <c r="DYO73" s="263" t="s">
        <v>31</v>
      </c>
      <c r="DYP73" s="254"/>
      <c r="DYQ73" s="254"/>
      <c r="DYR73" s="264">
        <v>5.7000000000000002E-2</v>
      </c>
      <c r="DYS73" s="193"/>
      <c r="DYT73" s="263" t="s">
        <v>2</v>
      </c>
      <c r="DYU73" s="193"/>
      <c r="DYV73" s="255" t="s">
        <v>168</v>
      </c>
      <c r="DYW73" s="263" t="s">
        <v>31</v>
      </c>
      <c r="DYX73" s="254"/>
      <c r="DYY73" s="254"/>
      <c r="DYZ73" s="264">
        <v>5.7000000000000002E-2</v>
      </c>
      <c r="DZA73" s="193"/>
      <c r="DZB73" s="263" t="s">
        <v>2</v>
      </c>
      <c r="DZC73" s="193"/>
      <c r="DZD73" s="255" t="s">
        <v>168</v>
      </c>
      <c r="DZE73" s="263" t="s">
        <v>31</v>
      </c>
      <c r="DZF73" s="254"/>
      <c r="DZG73" s="254"/>
      <c r="DZH73" s="264">
        <v>5.7000000000000002E-2</v>
      </c>
      <c r="DZI73" s="193"/>
      <c r="DZJ73" s="263" t="s">
        <v>2</v>
      </c>
      <c r="DZK73" s="193"/>
      <c r="DZL73" s="255" t="s">
        <v>168</v>
      </c>
      <c r="DZM73" s="263" t="s">
        <v>31</v>
      </c>
      <c r="DZN73" s="254"/>
      <c r="DZO73" s="254"/>
      <c r="DZP73" s="264">
        <v>5.7000000000000002E-2</v>
      </c>
      <c r="DZQ73" s="193"/>
      <c r="DZR73" s="263" t="s">
        <v>2</v>
      </c>
      <c r="DZS73" s="193"/>
      <c r="DZT73" s="255" t="s">
        <v>168</v>
      </c>
      <c r="DZU73" s="263" t="s">
        <v>31</v>
      </c>
      <c r="DZV73" s="254"/>
      <c r="DZW73" s="254"/>
      <c r="DZX73" s="264">
        <v>5.7000000000000002E-2</v>
      </c>
      <c r="DZY73" s="193"/>
      <c r="DZZ73" s="263" t="s">
        <v>2</v>
      </c>
      <c r="EAA73" s="193"/>
      <c r="EAB73" s="255" t="s">
        <v>168</v>
      </c>
      <c r="EAC73" s="263" t="s">
        <v>31</v>
      </c>
      <c r="EAD73" s="254"/>
      <c r="EAE73" s="254"/>
      <c r="EAF73" s="264">
        <v>5.7000000000000002E-2</v>
      </c>
      <c r="EAG73" s="193"/>
      <c r="EAH73" s="263" t="s">
        <v>2</v>
      </c>
      <c r="EAI73" s="193"/>
      <c r="EAJ73" s="255" t="s">
        <v>168</v>
      </c>
      <c r="EAK73" s="263" t="s">
        <v>31</v>
      </c>
      <c r="EAL73" s="254"/>
      <c r="EAM73" s="254"/>
      <c r="EAN73" s="264">
        <v>5.7000000000000002E-2</v>
      </c>
      <c r="EAO73" s="193"/>
      <c r="EAP73" s="263" t="s">
        <v>2</v>
      </c>
      <c r="EAQ73" s="193"/>
      <c r="EAR73" s="255" t="s">
        <v>168</v>
      </c>
      <c r="EAS73" s="263" t="s">
        <v>31</v>
      </c>
      <c r="EAT73" s="254"/>
      <c r="EAU73" s="254"/>
      <c r="EAV73" s="264">
        <v>5.7000000000000002E-2</v>
      </c>
      <c r="EAW73" s="193"/>
      <c r="EAX73" s="263" t="s">
        <v>2</v>
      </c>
      <c r="EAY73" s="193"/>
      <c r="EAZ73" s="255" t="s">
        <v>168</v>
      </c>
      <c r="EBA73" s="263" t="s">
        <v>31</v>
      </c>
      <c r="EBB73" s="254"/>
      <c r="EBC73" s="254"/>
      <c r="EBD73" s="264">
        <v>5.7000000000000002E-2</v>
      </c>
      <c r="EBE73" s="193"/>
      <c r="EBF73" s="263" t="s">
        <v>2</v>
      </c>
      <c r="EBG73" s="193"/>
      <c r="EBH73" s="255" t="s">
        <v>168</v>
      </c>
      <c r="EBI73" s="263" t="s">
        <v>31</v>
      </c>
      <c r="EBJ73" s="254"/>
      <c r="EBK73" s="254"/>
      <c r="EBL73" s="264">
        <v>5.7000000000000002E-2</v>
      </c>
      <c r="EBM73" s="193"/>
      <c r="EBN73" s="263" t="s">
        <v>2</v>
      </c>
      <c r="EBO73" s="193"/>
      <c r="EBP73" s="255" t="s">
        <v>168</v>
      </c>
      <c r="EBQ73" s="263" t="s">
        <v>31</v>
      </c>
      <c r="EBR73" s="254"/>
      <c r="EBS73" s="254"/>
      <c r="EBT73" s="264">
        <v>5.7000000000000002E-2</v>
      </c>
      <c r="EBU73" s="193"/>
      <c r="EBV73" s="263" t="s">
        <v>2</v>
      </c>
      <c r="EBW73" s="193"/>
      <c r="EBX73" s="255" t="s">
        <v>168</v>
      </c>
      <c r="EBY73" s="263" t="s">
        <v>31</v>
      </c>
      <c r="EBZ73" s="254"/>
      <c r="ECA73" s="254"/>
      <c r="ECB73" s="264">
        <v>5.7000000000000002E-2</v>
      </c>
      <c r="ECC73" s="193"/>
      <c r="ECD73" s="263" t="s">
        <v>2</v>
      </c>
      <c r="ECE73" s="193"/>
      <c r="ECF73" s="255" t="s">
        <v>168</v>
      </c>
      <c r="ECG73" s="263" t="s">
        <v>31</v>
      </c>
      <c r="ECH73" s="254"/>
      <c r="ECI73" s="254"/>
      <c r="ECJ73" s="264">
        <v>5.7000000000000002E-2</v>
      </c>
      <c r="ECK73" s="193"/>
      <c r="ECL73" s="263" t="s">
        <v>2</v>
      </c>
      <c r="ECM73" s="193"/>
      <c r="ECN73" s="255" t="s">
        <v>168</v>
      </c>
      <c r="ECO73" s="263" t="s">
        <v>31</v>
      </c>
      <c r="ECP73" s="254"/>
      <c r="ECQ73" s="254"/>
      <c r="ECR73" s="264">
        <v>5.7000000000000002E-2</v>
      </c>
      <c r="ECS73" s="193"/>
      <c r="ECT73" s="263" t="s">
        <v>2</v>
      </c>
      <c r="ECU73" s="193"/>
      <c r="ECV73" s="255" t="s">
        <v>168</v>
      </c>
      <c r="ECW73" s="263" t="s">
        <v>31</v>
      </c>
      <c r="ECX73" s="254"/>
      <c r="ECY73" s="254"/>
      <c r="ECZ73" s="264">
        <v>5.7000000000000002E-2</v>
      </c>
      <c r="EDA73" s="193"/>
      <c r="EDB73" s="263" t="s">
        <v>2</v>
      </c>
      <c r="EDC73" s="193"/>
      <c r="EDD73" s="255" t="s">
        <v>168</v>
      </c>
      <c r="EDE73" s="263" t="s">
        <v>31</v>
      </c>
      <c r="EDF73" s="254"/>
      <c r="EDG73" s="254"/>
      <c r="EDH73" s="264">
        <v>5.7000000000000002E-2</v>
      </c>
      <c r="EDI73" s="193"/>
      <c r="EDJ73" s="263" t="s">
        <v>2</v>
      </c>
      <c r="EDK73" s="193"/>
      <c r="EDL73" s="255" t="s">
        <v>168</v>
      </c>
      <c r="EDM73" s="263" t="s">
        <v>31</v>
      </c>
      <c r="EDN73" s="254"/>
      <c r="EDO73" s="254"/>
      <c r="EDP73" s="264">
        <v>5.7000000000000002E-2</v>
      </c>
      <c r="EDQ73" s="193"/>
      <c r="EDR73" s="263" t="s">
        <v>2</v>
      </c>
      <c r="EDS73" s="193"/>
      <c r="EDT73" s="255" t="s">
        <v>168</v>
      </c>
      <c r="EDU73" s="263" t="s">
        <v>31</v>
      </c>
      <c r="EDV73" s="254"/>
      <c r="EDW73" s="254"/>
      <c r="EDX73" s="264">
        <v>5.7000000000000002E-2</v>
      </c>
      <c r="EDY73" s="193"/>
      <c r="EDZ73" s="263" t="s">
        <v>2</v>
      </c>
      <c r="EEA73" s="193"/>
      <c r="EEB73" s="255" t="s">
        <v>168</v>
      </c>
      <c r="EEC73" s="263" t="s">
        <v>31</v>
      </c>
      <c r="EED73" s="254"/>
      <c r="EEE73" s="254"/>
      <c r="EEF73" s="264">
        <v>5.7000000000000002E-2</v>
      </c>
      <c r="EEG73" s="193"/>
      <c r="EEH73" s="263" t="s">
        <v>2</v>
      </c>
      <c r="EEI73" s="193"/>
      <c r="EEJ73" s="255" t="s">
        <v>168</v>
      </c>
      <c r="EEK73" s="263" t="s">
        <v>31</v>
      </c>
      <c r="EEL73" s="254"/>
      <c r="EEM73" s="254"/>
      <c r="EEN73" s="264">
        <v>5.7000000000000002E-2</v>
      </c>
      <c r="EEO73" s="193"/>
      <c r="EEP73" s="263" t="s">
        <v>2</v>
      </c>
      <c r="EEQ73" s="193"/>
      <c r="EER73" s="255" t="s">
        <v>168</v>
      </c>
      <c r="EES73" s="263" t="s">
        <v>31</v>
      </c>
      <c r="EET73" s="254"/>
      <c r="EEU73" s="254"/>
      <c r="EEV73" s="264">
        <v>5.7000000000000002E-2</v>
      </c>
      <c r="EEW73" s="193"/>
      <c r="EEX73" s="263" t="s">
        <v>2</v>
      </c>
      <c r="EEY73" s="193"/>
      <c r="EEZ73" s="255" t="s">
        <v>168</v>
      </c>
      <c r="EFA73" s="263" t="s">
        <v>31</v>
      </c>
      <c r="EFB73" s="254"/>
      <c r="EFC73" s="254"/>
      <c r="EFD73" s="264">
        <v>5.7000000000000002E-2</v>
      </c>
      <c r="EFE73" s="193"/>
      <c r="EFF73" s="263" t="s">
        <v>2</v>
      </c>
      <c r="EFG73" s="193"/>
      <c r="EFH73" s="255" t="s">
        <v>168</v>
      </c>
      <c r="EFI73" s="263" t="s">
        <v>31</v>
      </c>
      <c r="EFJ73" s="254"/>
      <c r="EFK73" s="254"/>
      <c r="EFL73" s="264">
        <v>5.7000000000000002E-2</v>
      </c>
      <c r="EFM73" s="193"/>
      <c r="EFN73" s="263" t="s">
        <v>2</v>
      </c>
      <c r="EFO73" s="193"/>
      <c r="EFP73" s="255" t="s">
        <v>168</v>
      </c>
      <c r="EFQ73" s="263" t="s">
        <v>31</v>
      </c>
      <c r="EFR73" s="254"/>
      <c r="EFS73" s="254"/>
      <c r="EFT73" s="264">
        <v>5.7000000000000002E-2</v>
      </c>
      <c r="EFU73" s="193"/>
      <c r="EFV73" s="263" t="s">
        <v>2</v>
      </c>
      <c r="EFW73" s="193"/>
      <c r="EFX73" s="255" t="s">
        <v>168</v>
      </c>
      <c r="EFY73" s="263" t="s">
        <v>31</v>
      </c>
      <c r="EFZ73" s="254"/>
      <c r="EGA73" s="254"/>
      <c r="EGB73" s="264">
        <v>5.7000000000000002E-2</v>
      </c>
      <c r="EGC73" s="193"/>
      <c r="EGD73" s="263" t="s">
        <v>2</v>
      </c>
      <c r="EGE73" s="193"/>
      <c r="EGF73" s="255" t="s">
        <v>168</v>
      </c>
      <c r="EGG73" s="263" t="s">
        <v>31</v>
      </c>
      <c r="EGH73" s="254"/>
      <c r="EGI73" s="254"/>
      <c r="EGJ73" s="264">
        <v>5.7000000000000002E-2</v>
      </c>
      <c r="EGK73" s="193"/>
      <c r="EGL73" s="263" t="s">
        <v>2</v>
      </c>
      <c r="EGM73" s="193"/>
      <c r="EGN73" s="255" t="s">
        <v>168</v>
      </c>
      <c r="EGO73" s="263" t="s">
        <v>31</v>
      </c>
      <c r="EGP73" s="254"/>
      <c r="EGQ73" s="254"/>
      <c r="EGR73" s="264">
        <v>5.7000000000000002E-2</v>
      </c>
      <c r="EGS73" s="193"/>
      <c r="EGT73" s="263" t="s">
        <v>2</v>
      </c>
      <c r="EGU73" s="193"/>
      <c r="EGV73" s="255" t="s">
        <v>168</v>
      </c>
      <c r="EGW73" s="263" t="s">
        <v>31</v>
      </c>
      <c r="EGX73" s="254"/>
      <c r="EGY73" s="254"/>
      <c r="EGZ73" s="264">
        <v>5.7000000000000002E-2</v>
      </c>
      <c r="EHA73" s="193"/>
      <c r="EHB73" s="263" t="s">
        <v>2</v>
      </c>
      <c r="EHC73" s="193"/>
      <c r="EHD73" s="255" t="s">
        <v>168</v>
      </c>
      <c r="EHE73" s="263" t="s">
        <v>31</v>
      </c>
      <c r="EHF73" s="254"/>
      <c r="EHG73" s="254"/>
      <c r="EHH73" s="264">
        <v>5.7000000000000002E-2</v>
      </c>
      <c r="EHI73" s="193"/>
      <c r="EHJ73" s="263" t="s">
        <v>2</v>
      </c>
      <c r="EHK73" s="193"/>
      <c r="EHL73" s="255" t="s">
        <v>168</v>
      </c>
      <c r="EHM73" s="263" t="s">
        <v>31</v>
      </c>
      <c r="EHN73" s="254"/>
      <c r="EHO73" s="254"/>
      <c r="EHP73" s="264">
        <v>5.7000000000000002E-2</v>
      </c>
      <c r="EHQ73" s="193"/>
      <c r="EHR73" s="263" t="s">
        <v>2</v>
      </c>
      <c r="EHS73" s="193"/>
      <c r="EHT73" s="255" t="s">
        <v>168</v>
      </c>
      <c r="EHU73" s="263" t="s">
        <v>31</v>
      </c>
      <c r="EHV73" s="254"/>
      <c r="EHW73" s="254"/>
      <c r="EHX73" s="264">
        <v>5.7000000000000002E-2</v>
      </c>
      <c r="EHY73" s="193"/>
      <c r="EHZ73" s="263" t="s">
        <v>2</v>
      </c>
      <c r="EIA73" s="193"/>
      <c r="EIB73" s="255" t="s">
        <v>168</v>
      </c>
      <c r="EIC73" s="263" t="s">
        <v>31</v>
      </c>
      <c r="EID73" s="254"/>
      <c r="EIE73" s="254"/>
      <c r="EIF73" s="264">
        <v>5.7000000000000002E-2</v>
      </c>
      <c r="EIG73" s="193"/>
      <c r="EIH73" s="263" t="s">
        <v>2</v>
      </c>
      <c r="EII73" s="193"/>
      <c r="EIJ73" s="255" t="s">
        <v>168</v>
      </c>
      <c r="EIK73" s="263" t="s">
        <v>31</v>
      </c>
      <c r="EIL73" s="254"/>
      <c r="EIM73" s="254"/>
      <c r="EIN73" s="264">
        <v>5.7000000000000002E-2</v>
      </c>
      <c r="EIO73" s="193"/>
      <c r="EIP73" s="263" t="s">
        <v>2</v>
      </c>
      <c r="EIQ73" s="193"/>
      <c r="EIR73" s="255" t="s">
        <v>168</v>
      </c>
      <c r="EIS73" s="263" t="s">
        <v>31</v>
      </c>
      <c r="EIT73" s="254"/>
      <c r="EIU73" s="254"/>
      <c r="EIV73" s="264">
        <v>5.7000000000000002E-2</v>
      </c>
      <c r="EIW73" s="193"/>
      <c r="EIX73" s="263" t="s">
        <v>2</v>
      </c>
      <c r="EIY73" s="193"/>
      <c r="EIZ73" s="255" t="s">
        <v>168</v>
      </c>
      <c r="EJA73" s="263" t="s">
        <v>31</v>
      </c>
      <c r="EJB73" s="254"/>
      <c r="EJC73" s="254"/>
      <c r="EJD73" s="264">
        <v>5.7000000000000002E-2</v>
      </c>
      <c r="EJE73" s="193"/>
      <c r="EJF73" s="263" t="s">
        <v>2</v>
      </c>
      <c r="EJG73" s="193"/>
      <c r="EJH73" s="255" t="s">
        <v>168</v>
      </c>
      <c r="EJI73" s="263" t="s">
        <v>31</v>
      </c>
      <c r="EJJ73" s="254"/>
      <c r="EJK73" s="254"/>
      <c r="EJL73" s="264">
        <v>5.7000000000000002E-2</v>
      </c>
      <c r="EJM73" s="193"/>
      <c r="EJN73" s="263" t="s">
        <v>2</v>
      </c>
      <c r="EJO73" s="193"/>
      <c r="EJP73" s="255" t="s">
        <v>168</v>
      </c>
      <c r="EJQ73" s="263" t="s">
        <v>31</v>
      </c>
      <c r="EJR73" s="254"/>
      <c r="EJS73" s="254"/>
      <c r="EJT73" s="264">
        <v>5.7000000000000002E-2</v>
      </c>
      <c r="EJU73" s="193"/>
      <c r="EJV73" s="263" t="s">
        <v>2</v>
      </c>
      <c r="EJW73" s="193"/>
      <c r="EJX73" s="255" t="s">
        <v>168</v>
      </c>
      <c r="EJY73" s="263" t="s">
        <v>31</v>
      </c>
      <c r="EJZ73" s="254"/>
      <c r="EKA73" s="254"/>
      <c r="EKB73" s="264">
        <v>5.7000000000000002E-2</v>
      </c>
      <c r="EKC73" s="193"/>
      <c r="EKD73" s="263" t="s">
        <v>2</v>
      </c>
      <c r="EKE73" s="193"/>
      <c r="EKF73" s="255" t="s">
        <v>168</v>
      </c>
      <c r="EKG73" s="263" t="s">
        <v>31</v>
      </c>
      <c r="EKH73" s="254"/>
      <c r="EKI73" s="254"/>
      <c r="EKJ73" s="264">
        <v>5.7000000000000002E-2</v>
      </c>
      <c r="EKK73" s="193"/>
      <c r="EKL73" s="263" t="s">
        <v>2</v>
      </c>
      <c r="EKM73" s="193"/>
      <c r="EKN73" s="255" t="s">
        <v>168</v>
      </c>
      <c r="EKO73" s="263" t="s">
        <v>31</v>
      </c>
      <c r="EKP73" s="254"/>
      <c r="EKQ73" s="254"/>
      <c r="EKR73" s="264">
        <v>5.7000000000000002E-2</v>
      </c>
      <c r="EKS73" s="193"/>
      <c r="EKT73" s="263" t="s">
        <v>2</v>
      </c>
      <c r="EKU73" s="193"/>
      <c r="EKV73" s="255" t="s">
        <v>168</v>
      </c>
      <c r="EKW73" s="263" t="s">
        <v>31</v>
      </c>
      <c r="EKX73" s="254"/>
      <c r="EKY73" s="254"/>
      <c r="EKZ73" s="264">
        <v>5.7000000000000002E-2</v>
      </c>
      <c r="ELA73" s="193"/>
      <c r="ELB73" s="263" t="s">
        <v>2</v>
      </c>
      <c r="ELC73" s="193"/>
      <c r="ELD73" s="255" t="s">
        <v>168</v>
      </c>
      <c r="ELE73" s="263" t="s">
        <v>31</v>
      </c>
      <c r="ELF73" s="254"/>
      <c r="ELG73" s="254"/>
      <c r="ELH73" s="264">
        <v>5.7000000000000002E-2</v>
      </c>
      <c r="ELI73" s="193"/>
      <c r="ELJ73" s="263" t="s">
        <v>2</v>
      </c>
      <c r="ELK73" s="193"/>
      <c r="ELL73" s="255" t="s">
        <v>168</v>
      </c>
      <c r="ELM73" s="263" t="s">
        <v>31</v>
      </c>
      <c r="ELN73" s="254"/>
      <c r="ELO73" s="254"/>
      <c r="ELP73" s="264">
        <v>5.7000000000000002E-2</v>
      </c>
      <c r="ELQ73" s="193"/>
      <c r="ELR73" s="263" t="s">
        <v>2</v>
      </c>
      <c r="ELS73" s="193"/>
      <c r="ELT73" s="255" t="s">
        <v>168</v>
      </c>
      <c r="ELU73" s="263" t="s">
        <v>31</v>
      </c>
      <c r="ELV73" s="254"/>
      <c r="ELW73" s="254"/>
      <c r="ELX73" s="264">
        <v>5.7000000000000002E-2</v>
      </c>
      <c r="ELY73" s="193"/>
      <c r="ELZ73" s="263" t="s">
        <v>2</v>
      </c>
      <c r="EMA73" s="193"/>
      <c r="EMB73" s="255" t="s">
        <v>168</v>
      </c>
      <c r="EMC73" s="263" t="s">
        <v>31</v>
      </c>
      <c r="EMD73" s="254"/>
      <c r="EME73" s="254"/>
      <c r="EMF73" s="264">
        <v>5.7000000000000002E-2</v>
      </c>
      <c r="EMG73" s="193"/>
      <c r="EMH73" s="263" t="s">
        <v>2</v>
      </c>
      <c r="EMI73" s="193"/>
      <c r="EMJ73" s="255" t="s">
        <v>168</v>
      </c>
      <c r="EMK73" s="263" t="s">
        <v>31</v>
      </c>
      <c r="EML73" s="254"/>
      <c r="EMM73" s="254"/>
      <c r="EMN73" s="264">
        <v>5.7000000000000002E-2</v>
      </c>
      <c r="EMO73" s="193"/>
      <c r="EMP73" s="263" t="s">
        <v>2</v>
      </c>
      <c r="EMQ73" s="193"/>
      <c r="EMR73" s="255" t="s">
        <v>168</v>
      </c>
      <c r="EMS73" s="263" t="s">
        <v>31</v>
      </c>
      <c r="EMT73" s="254"/>
      <c r="EMU73" s="254"/>
      <c r="EMV73" s="264">
        <v>5.7000000000000002E-2</v>
      </c>
      <c r="EMW73" s="193"/>
      <c r="EMX73" s="263" t="s">
        <v>2</v>
      </c>
      <c r="EMY73" s="193"/>
      <c r="EMZ73" s="255" t="s">
        <v>168</v>
      </c>
      <c r="ENA73" s="263" t="s">
        <v>31</v>
      </c>
      <c r="ENB73" s="254"/>
      <c r="ENC73" s="254"/>
      <c r="END73" s="264">
        <v>5.7000000000000002E-2</v>
      </c>
      <c r="ENE73" s="193"/>
      <c r="ENF73" s="263" t="s">
        <v>2</v>
      </c>
      <c r="ENG73" s="193"/>
      <c r="ENH73" s="255" t="s">
        <v>168</v>
      </c>
      <c r="ENI73" s="263" t="s">
        <v>31</v>
      </c>
      <c r="ENJ73" s="254"/>
      <c r="ENK73" s="254"/>
      <c r="ENL73" s="264">
        <v>5.7000000000000002E-2</v>
      </c>
      <c r="ENM73" s="193"/>
      <c r="ENN73" s="263" t="s">
        <v>2</v>
      </c>
      <c r="ENO73" s="193"/>
      <c r="ENP73" s="255" t="s">
        <v>168</v>
      </c>
      <c r="ENQ73" s="263" t="s">
        <v>31</v>
      </c>
      <c r="ENR73" s="254"/>
      <c r="ENS73" s="254"/>
      <c r="ENT73" s="264">
        <v>5.7000000000000002E-2</v>
      </c>
      <c r="ENU73" s="193"/>
      <c r="ENV73" s="263" t="s">
        <v>2</v>
      </c>
      <c r="ENW73" s="193"/>
      <c r="ENX73" s="255" t="s">
        <v>168</v>
      </c>
      <c r="ENY73" s="263" t="s">
        <v>31</v>
      </c>
      <c r="ENZ73" s="254"/>
      <c r="EOA73" s="254"/>
      <c r="EOB73" s="264">
        <v>5.7000000000000002E-2</v>
      </c>
      <c r="EOC73" s="193"/>
      <c r="EOD73" s="263" t="s">
        <v>2</v>
      </c>
      <c r="EOE73" s="193"/>
      <c r="EOF73" s="255" t="s">
        <v>168</v>
      </c>
      <c r="EOG73" s="263" t="s">
        <v>31</v>
      </c>
      <c r="EOH73" s="254"/>
      <c r="EOI73" s="254"/>
      <c r="EOJ73" s="264">
        <v>5.7000000000000002E-2</v>
      </c>
      <c r="EOK73" s="193"/>
      <c r="EOL73" s="263" t="s">
        <v>2</v>
      </c>
      <c r="EOM73" s="193"/>
      <c r="EON73" s="255" t="s">
        <v>168</v>
      </c>
      <c r="EOO73" s="263" t="s">
        <v>31</v>
      </c>
      <c r="EOP73" s="254"/>
      <c r="EOQ73" s="254"/>
      <c r="EOR73" s="264">
        <v>5.7000000000000002E-2</v>
      </c>
      <c r="EOS73" s="193"/>
      <c r="EOT73" s="263" t="s">
        <v>2</v>
      </c>
      <c r="EOU73" s="193"/>
      <c r="EOV73" s="255" t="s">
        <v>168</v>
      </c>
      <c r="EOW73" s="263" t="s">
        <v>31</v>
      </c>
      <c r="EOX73" s="254"/>
      <c r="EOY73" s="254"/>
      <c r="EOZ73" s="264">
        <v>5.7000000000000002E-2</v>
      </c>
      <c r="EPA73" s="193"/>
      <c r="EPB73" s="263" t="s">
        <v>2</v>
      </c>
      <c r="EPC73" s="193"/>
      <c r="EPD73" s="255" t="s">
        <v>168</v>
      </c>
      <c r="EPE73" s="263" t="s">
        <v>31</v>
      </c>
      <c r="EPF73" s="254"/>
      <c r="EPG73" s="254"/>
      <c r="EPH73" s="264">
        <v>5.7000000000000002E-2</v>
      </c>
      <c r="EPI73" s="193"/>
      <c r="EPJ73" s="263" t="s">
        <v>2</v>
      </c>
      <c r="EPK73" s="193"/>
      <c r="EPL73" s="255" t="s">
        <v>168</v>
      </c>
      <c r="EPM73" s="263" t="s">
        <v>31</v>
      </c>
      <c r="EPN73" s="254"/>
      <c r="EPO73" s="254"/>
      <c r="EPP73" s="264">
        <v>5.7000000000000002E-2</v>
      </c>
      <c r="EPQ73" s="193"/>
      <c r="EPR73" s="263" t="s">
        <v>2</v>
      </c>
      <c r="EPS73" s="193"/>
      <c r="EPT73" s="255" t="s">
        <v>168</v>
      </c>
      <c r="EPU73" s="263" t="s">
        <v>31</v>
      </c>
      <c r="EPV73" s="254"/>
      <c r="EPW73" s="254"/>
      <c r="EPX73" s="264">
        <v>5.7000000000000002E-2</v>
      </c>
      <c r="EPY73" s="193"/>
      <c r="EPZ73" s="263" t="s">
        <v>2</v>
      </c>
      <c r="EQA73" s="193"/>
      <c r="EQB73" s="255" t="s">
        <v>168</v>
      </c>
      <c r="EQC73" s="263" t="s">
        <v>31</v>
      </c>
      <c r="EQD73" s="254"/>
      <c r="EQE73" s="254"/>
      <c r="EQF73" s="264">
        <v>5.7000000000000002E-2</v>
      </c>
      <c r="EQG73" s="193"/>
      <c r="EQH73" s="263" t="s">
        <v>2</v>
      </c>
      <c r="EQI73" s="193"/>
      <c r="EQJ73" s="255" t="s">
        <v>168</v>
      </c>
      <c r="EQK73" s="263" t="s">
        <v>31</v>
      </c>
      <c r="EQL73" s="254"/>
      <c r="EQM73" s="254"/>
      <c r="EQN73" s="264">
        <v>5.7000000000000002E-2</v>
      </c>
      <c r="EQO73" s="193"/>
      <c r="EQP73" s="263" t="s">
        <v>2</v>
      </c>
      <c r="EQQ73" s="193"/>
      <c r="EQR73" s="255" t="s">
        <v>168</v>
      </c>
      <c r="EQS73" s="263" t="s">
        <v>31</v>
      </c>
      <c r="EQT73" s="254"/>
      <c r="EQU73" s="254"/>
      <c r="EQV73" s="264">
        <v>5.7000000000000002E-2</v>
      </c>
      <c r="EQW73" s="193"/>
      <c r="EQX73" s="263" t="s">
        <v>2</v>
      </c>
      <c r="EQY73" s="193"/>
      <c r="EQZ73" s="255" t="s">
        <v>168</v>
      </c>
      <c r="ERA73" s="263" t="s">
        <v>31</v>
      </c>
      <c r="ERB73" s="254"/>
      <c r="ERC73" s="254"/>
      <c r="ERD73" s="264">
        <v>5.7000000000000002E-2</v>
      </c>
      <c r="ERE73" s="193"/>
      <c r="ERF73" s="263" t="s">
        <v>2</v>
      </c>
      <c r="ERG73" s="193"/>
      <c r="ERH73" s="255" t="s">
        <v>168</v>
      </c>
      <c r="ERI73" s="263" t="s">
        <v>31</v>
      </c>
      <c r="ERJ73" s="254"/>
      <c r="ERK73" s="254"/>
      <c r="ERL73" s="264">
        <v>5.7000000000000002E-2</v>
      </c>
      <c r="ERM73" s="193"/>
      <c r="ERN73" s="263" t="s">
        <v>2</v>
      </c>
      <c r="ERO73" s="193"/>
      <c r="ERP73" s="255" t="s">
        <v>168</v>
      </c>
      <c r="ERQ73" s="263" t="s">
        <v>31</v>
      </c>
      <c r="ERR73" s="254"/>
      <c r="ERS73" s="254"/>
      <c r="ERT73" s="264">
        <v>5.7000000000000002E-2</v>
      </c>
      <c r="ERU73" s="193"/>
      <c r="ERV73" s="263" t="s">
        <v>2</v>
      </c>
      <c r="ERW73" s="193"/>
      <c r="ERX73" s="255" t="s">
        <v>168</v>
      </c>
      <c r="ERY73" s="263" t="s">
        <v>31</v>
      </c>
      <c r="ERZ73" s="254"/>
      <c r="ESA73" s="254"/>
      <c r="ESB73" s="264">
        <v>5.7000000000000002E-2</v>
      </c>
      <c r="ESC73" s="193"/>
      <c r="ESD73" s="263" t="s">
        <v>2</v>
      </c>
      <c r="ESE73" s="193"/>
      <c r="ESF73" s="255" t="s">
        <v>168</v>
      </c>
      <c r="ESG73" s="263" t="s">
        <v>31</v>
      </c>
      <c r="ESH73" s="254"/>
      <c r="ESI73" s="254"/>
      <c r="ESJ73" s="264">
        <v>5.7000000000000002E-2</v>
      </c>
      <c r="ESK73" s="193"/>
      <c r="ESL73" s="263" t="s">
        <v>2</v>
      </c>
      <c r="ESM73" s="193"/>
      <c r="ESN73" s="255" t="s">
        <v>168</v>
      </c>
      <c r="ESO73" s="263" t="s">
        <v>31</v>
      </c>
      <c r="ESP73" s="254"/>
      <c r="ESQ73" s="254"/>
      <c r="ESR73" s="264">
        <v>5.7000000000000002E-2</v>
      </c>
      <c r="ESS73" s="193"/>
      <c r="EST73" s="263" t="s">
        <v>2</v>
      </c>
      <c r="ESU73" s="193"/>
      <c r="ESV73" s="255" t="s">
        <v>168</v>
      </c>
      <c r="ESW73" s="263" t="s">
        <v>31</v>
      </c>
      <c r="ESX73" s="254"/>
      <c r="ESY73" s="254"/>
      <c r="ESZ73" s="264">
        <v>5.7000000000000002E-2</v>
      </c>
      <c r="ETA73" s="193"/>
      <c r="ETB73" s="263" t="s">
        <v>2</v>
      </c>
      <c r="ETC73" s="193"/>
      <c r="ETD73" s="255" t="s">
        <v>168</v>
      </c>
      <c r="ETE73" s="263" t="s">
        <v>31</v>
      </c>
      <c r="ETF73" s="254"/>
      <c r="ETG73" s="254"/>
      <c r="ETH73" s="264">
        <v>5.7000000000000002E-2</v>
      </c>
      <c r="ETI73" s="193"/>
      <c r="ETJ73" s="263" t="s">
        <v>2</v>
      </c>
      <c r="ETK73" s="193"/>
      <c r="ETL73" s="255" t="s">
        <v>168</v>
      </c>
      <c r="ETM73" s="263" t="s">
        <v>31</v>
      </c>
      <c r="ETN73" s="254"/>
      <c r="ETO73" s="254"/>
      <c r="ETP73" s="264">
        <v>5.7000000000000002E-2</v>
      </c>
      <c r="ETQ73" s="193"/>
      <c r="ETR73" s="263" t="s">
        <v>2</v>
      </c>
      <c r="ETS73" s="193"/>
      <c r="ETT73" s="255" t="s">
        <v>168</v>
      </c>
      <c r="ETU73" s="263" t="s">
        <v>31</v>
      </c>
      <c r="ETV73" s="254"/>
      <c r="ETW73" s="254"/>
      <c r="ETX73" s="264">
        <v>5.7000000000000002E-2</v>
      </c>
      <c r="ETY73" s="193"/>
      <c r="ETZ73" s="263" t="s">
        <v>2</v>
      </c>
      <c r="EUA73" s="193"/>
      <c r="EUB73" s="255" t="s">
        <v>168</v>
      </c>
      <c r="EUC73" s="263" t="s">
        <v>31</v>
      </c>
      <c r="EUD73" s="254"/>
      <c r="EUE73" s="254"/>
      <c r="EUF73" s="264">
        <v>5.7000000000000002E-2</v>
      </c>
      <c r="EUG73" s="193"/>
      <c r="EUH73" s="263" t="s">
        <v>2</v>
      </c>
      <c r="EUI73" s="193"/>
      <c r="EUJ73" s="255" t="s">
        <v>168</v>
      </c>
      <c r="EUK73" s="263" t="s">
        <v>31</v>
      </c>
      <c r="EUL73" s="254"/>
      <c r="EUM73" s="254"/>
      <c r="EUN73" s="264">
        <v>5.7000000000000002E-2</v>
      </c>
      <c r="EUO73" s="193"/>
      <c r="EUP73" s="263" t="s">
        <v>2</v>
      </c>
      <c r="EUQ73" s="193"/>
      <c r="EUR73" s="255" t="s">
        <v>168</v>
      </c>
      <c r="EUS73" s="263" t="s">
        <v>31</v>
      </c>
      <c r="EUT73" s="254"/>
      <c r="EUU73" s="254"/>
      <c r="EUV73" s="264">
        <v>5.7000000000000002E-2</v>
      </c>
      <c r="EUW73" s="193"/>
      <c r="EUX73" s="263" t="s">
        <v>2</v>
      </c>
      <c r="EUY73" s="193"/>
      <c r="EUZ73" s="255" t="s">
        <v>168</v>
      </c>
      <c r="EVA73" s="263" t="s">
        <v>31</v>
      </c>
      <c r="EVB73" s="254"/>
      <c r="EVC73" s="254"/>
      <c r="EVD73" s="264">
        <v>5.7000000000000002E-2</v>
      </c>
      <c r="EVE73" s="193"/>
      <c r="EVF73" s="263" t="s">
        <v>2</v>
      </c>
      <c r="EVG73" s="193"/>
      <c r="EVH73" s="255" t="s">
        <v>168</v>
      </c>
      <c r="EVI73" s="263" t="s">
        <v>31</v>
      </c>
      <c r="EVJ73" s="254"/>
      <c r="EVK73" s="254"/>
      <c r="EVL73" s="264">
        <v>5.7000000000000002E-2</v>
      </c>
      <c r="EVM73" s="193"/>
      <c r="EVN73" s="263" t="s">
        <v>2</v>
      </c>
      <c r="EVO73" s="193"/>
      <c r="EVP73" s="255" t="s">
        <v>168</v>
      </c>
      <c r="EVQ73" s="263" t="s">
        <v>31</v>
      </c>
      <c r="EVR73" s="254"/>
      <c r="EVS73" s="254"/>
      <c r="EVT73" s="264">
        <v>5.7000000000000002E-2</v>
      </c>
      <c r="EVU73" s="193"/>
      <c r="EVV73" s="263" t="s">
        <v>2</v>
      </c>
      <c r="EVW73" s="193"/>
      <c r="EVX73" s="255" t="s">
        <v>168</v>
      </c>
      <c r="EVY73" s="263" t="s">
        <v>31</v>
      </c>
      <c r="EVZ73" s="254"/>
      <c r="EWA73" s="254"/>
      <c r="EWB73" s="264">
        <v>5.7000000000000002E-2</v>
      </c>
      <c r="EWC73" s="193"/>
      <c r="EWD73" s="263" t="s">
        <v>2</v>
      </c>
      <c r="EWE73" s="193"/>
      <c r="EWF73" s="255" t="s">
        <v>168</v>
      </c>
      <c r="EWG73" s="263" t="s">
        <v>31</v>
      </c>
      <c r="EWH73" s="254"/>
      <c r="EWI73" s="254"/>
      <c r="EWJ73" s="264">
        <v>5.7000000000000002E-2</v>
      </c>
      <c r="EWK73" s="193"/>
      <c r="EWL73" s="263" t="s">
        <v>2</v>
      </c>
      <c r="EWM73" s="193"/>
      <c r="EWN73" s="255" t="s">
        <v>168</v>
      </c>
      <c r="EWO73" s="263" t="s">
        <v>31</v>
      </c>
      <c r="EWP73" s="254"/>
      <c r="EWQ73" s="254"/>
      <c r="EWR73" s="264">
        <v>5.7000000000000002E-2</v>
      </c>
      <c r="EWS73" s="193"/>
      <c r="EWT73" s="263" t="s">
        <v>2</v>
      </c>
      <c r="EWU73" s="193"/>
      <c r="EWV73" s="255" t="s">
        <v>168</v>
      </c>
      <c r="EWW73" s="263" t="s">
        <v>31</v>
      </c>
      <c r="EWX73" s="254"/>
      <c r="EWY73" s="254"/>
      <c r="EWZ73" s="264">
        <v>5.7000000000000002E-2</v>
      </c>
      <c r="EXA73" s="193"/>
      <c r="EXB73" s="263" t="s">
        <v>2</v>
      </c>
      <c r="EXC73" s="193"/>
      <c r="EXD73" s="255" t="s">
        <v>168</v>
      </c>
      <c r="EXE73" s="263" t="s">
        <v>31</v>
      </c>
      <c r="EXF73" s="254"/>
      <c r="EXG73" s="254"/>
      <c r="EXH73" s="264">
        <v>5.7000000000000002E-2</v>
      </c>
      <c r="EXI73" s="193"/>
      <c r="EXJ73" s="263" t="s">
        <v>2</v>
      </c>
      <c r="EXK73" s="193"/>
      <c r="EXL73" s="255" t="s">
        <v>168</v>
      </c>
      <c r="EXM73" s="263" t="s">
        <v>31</v>
      </c>
      <c r="EXN73" s="254"/>
      <c r="EXO73" s="254"/>
      <c r="EXP73" s="264">
        <v>5.7000000000000002E-2</v>
      </c>
      <c r="EXQ73" s="193"/>
      <c r="EXR73" s="263" t="s">
        <v>2</v>
      </c>
      <c r="EXS73" s="193"/>
      <c r="EXT73" s="255" t="s">
        <v>168</v>
      </c>
      <c r="EXU73" s="263" t="s">
        <v>31</v>
      </c>
      <c r="EXV73" s="254"/>
      <c r="EXW73" s="254"/>
      <c r="EXX73" s="264">
        <v>5.7000000000000002E-2</v>
      </c>
      <c r="EXY73" s="193"/>
      <c r="EXZ73" s="263" t="s">
        <v>2</v>
      </c>
      <c r="EYA73" s="193"/>
      <c r="EYB73" s="255" t="s">
        <v>168</v>
      </c>
      <c r="EYC73" s="263" t="s">
        <v>31</v>
      </c>
      <c r="EYD73" s="254"/>
      <c r="EYE73" s="254"/>
      <c r="EYF73" s="264">
        <v>5.7000000000000002E-2</v>
      </c>
      <c r="EYG73" s="193"/>
      <c r="EYH73" s="263" t="s">
        <v>2</v>
      </c>
      <c r="EYI73" s="193"/>
      <c r="EYJ73" s="255" t="s">
        <v>168</v>
      </c>
      <c r="EYK73" s="263" t="s">
        <v>31</v>
      </c>
      <c r="EYL73" s="254"/>
      <c r="EYM73" s="254"/>
      <c r="EYN73" s="264">
        <v>5.7000000000000002E-2</v>
      </c>
      <c r="EYO73" s="193"/>
      <c r="EYP73" s="263" t="s">
        <v>2</v>
      </c>
      <c r="EYQ73" s="193"/>
      <c r="EYR73" s="255" t="s">
        <v>168</v>
      </c>
      <c r="EYS73" s="263" t="s">
        <v>31</v>
      </c>
      <c r="EYT73" s="254"/>
      <c r="EYU73" s="254"/>
      <c r="EYV73" s="264">
        <v>5.7000000000000002E-2</v>
      </c>
      <c r="EYW73" s="193"/>
      <c r="EYX73" s="263" t="s">
        <v>2</v>
      </c>
      <c r="EYY73" s="193"/>
      <c r="EYZ73" s="255" t="s">
        <v>168</v>
      </c>
      <c r="EZA73" s="263" t="s">
        <v>31</v>
      </c>
      <c r="EZB73" s="254"/>
      <c r="EZC73" s="254"/>
      <c r="EZD73" s="264">
        <v>5.7000000000000002E-2</v>
      </c>
      <c r="EZE73" s="193"/>
      <c r="EZF73" s="263" t="s">
        <v>2</v>
      </c>
      <c r="EZG73" s="193"/>
      <c r="EZH73" s="255" t="s">
        <v>168</v>
      </c>
      <c r="EZI73" s="263" t="s">
        <v>31</v>
      </c>
      <c r="EZJ73" s="254"/>
      <c r="EZK73" s="254"/>
      <c r="EZL73" s="264">
        <v>5.7000000000000002E-2</v>
      </c>
      <c r="EZM73" s="193"/>
      <c r="EZN73" s="263" t="s">
        <v>2</v>
      </c>
      <c r="EZO73" s="193"/>
      <c r="EZP73" s="255" t="s">
        <v>168</v>
      </c>
      <c r="EZQ73" s="263" t="s">
        <v>31</v>
      </c>
      <c r="EZR73" s="254"/>
      <c r="EZS73" s="254"/>
      <c r="EZT73" s="264">
        <v>5.7000000000000002E-2</v>
      </c>
      <c r="EZU73" s="193"/>
      <c r="EZV73" s="263" t="s">
        <v>2</v>
      </c>
      <c r="EZW73" s="193"/>
      <c r="EZX73" s="255" t="s">
        <v>168</v>
      </c>
      <c r="EZY73" s="263" t="s">
        <v>31</v>
      </c>
      <c r="EZZ73" s="254"/>
      <c r="FAA73" s="254"/>
      <c r="FAB73" s="264">
        <v>5.7000000000000002E-2</v>
      </c>
      <c r="FAC73" s="193"/>
      <c r="FAD73" s="263" t="s">
        <v>2</v>
      </c>
      <c r="FAE73" s="193"/>
      <c r="FAF73" s="255" t="s">
        <v>168</v>
      </c>
      <c r="FAG73" s="263" t="s">
        <v>31</v>
      </c>
      <c r="FAH73" s="254"/>
      <c r="FAI73" s="254"/>
      <c r="FAJ73" s="264">
        <v>5.7000000000000002E-2</v>
      </c>
      <c r="FAK73" s="193"/>
      <c r="FAL73" s="263" t="s">
        <v>2</v>
      </c>
      <c r="FAM73" s="193"/>
      <c r="FAN73" s="255" t="s">
        <v>168</v>
      </c>
      <c r="FAO73" s="263" t="s">
        <v>31</v>
      </c>
      <c r="FAP73" s="254"/>
      <c r="FAQ73" s="254"/>
      <c r="FAR73" s="264">
        <v>5.7000000000000002E-2</v>
      </c>
      <c r="FAS73" s="193"/>
      <c r="FAT73" s="263" t="s">
        <v>2</v>
      </c>
      <c r="FAU73" s="193"/>
      <c r="FAV73" s="255" t="s">
        <v>168</v>
      </c>
      <c r="FAW73" s="263" t="s">
        <v>31</v>
      </c>
      <c r="FAX73" s="254"/>
      <c r="FAY73" s="254"/>
      <c r="FAZ73" s="264">
        <v>5.7000000000000002E-2</v>
      </c>
      <c r="FBA73" s="193"/>
      <c r="FBB73" s="263" t="s">
        <v>2</v>
      </c>
      <c r="FBC73" s="193"/>
      <c r="FBD73" s="255" t="s">
        <v>168</v>
      </c>
      <c r="FBE73" s="263" t="s">
        <v>31</v>
      </c>
      <c r="FBF73" s="254"/>
      <c r="FBG73" s="254"/>
      <c r="FBH73" s="264">
        <v>5.7000000000000002E-2</v>
      </c>
      <c r="FBI73" s="193"/>
      <c r="FBJ73" s="263" t="s">
        <v>2</v>
      </c>
      <c r="FBK73" s="193"/>
      <c r="FBL73" s="255" t="s">
        <v>168</v>
      </c>
      <c r="FBM73" s="263" t="s">
        <v>31</v>
      </c>
      <c r="FBN73" s="254"/>
      <c r="FBO73" s="254"/>
      <c r="FBP73" s="264">
        <v>5.7000000000000002E-2</v>
      </c>
      <c r="FBQ73" s="193"/>
      <c r="FBR73" s="263" t="s">
        <v>2</v>
      </c>
      <c r="FBS73" s="193"/>
      <c r="FBT73" s="255" t="s">
        <v>168</v>
      </c>
      <c r="FBU73" s="263" t="s">
        <v>31</v>
      </c>
      <c r="FBV73" s="254"/>
      <c r="FBW73" s="254"/>
      <c r="FBX73" s="264">
        <v>5.7000000000000002E-2</v>
      </c>
      <c r="FBY73" s="193"/>
      <c r="FBZ73" s="263" t="s">
        <v>2</v>
      </c>
      <c r="FCA73" s="193"/>
      <c r="FCB73" s="255" t="s">
        <v>168</v>
      </c>
      <c r="FCC73" s="263" t="s">
        <v>31</v>
      </c>
      <c r="FCD73" s="254"/>
      <c r="FCE73" s="254"/>
      <c r="FCF73" s="264">
        <v>5.7000000000000002E-2</v>
      </c>
      <c r="FCG73" s="193"/>
      <c r="FCH73" s="263" t="s">
        <v>2</v>
      </c>
      <c r="FCI73" s="193"/>
      <c r="FCJ73" s="255" t="s">
        <v>168</v>
      </c>
      <c r="FCK73" s="263" t="s">
        <v>31</v>
      </c>
      <c r="FCL73" s="254"/>
      <c r="FCM73" s="254"/>
      <c r="FCN73" s="264">
        <v>5.7000000000000002E-2</v>
      </c>
      <c r="FCO73" s="193"/>
      <c r="FCP73" s="263" t="s">
        <v>2</v>
      </c>
      <c r="FCQ73" s="193"/>
      <c r="FCR73" s="255" t="s">
        <v>168</v>
      </c>
      <c r="FCS73" s="263" t="s">
        <v>31</v>
      </c>
      <c r="FCT73" s="254"/>
      <c r="FCU73" s="254"/>
      <c r="FCV73" s="264">
        <v>5.7000000000000002E-2</v>
      </c>
      <c r="FCW73" s="193"/>
      <c r="FCX73" s="263" t="s">
        <v>2</v>
      </c>
      <c r="FCY73" s="193"/>
      <c r="FCZ73" s="255" t="s">
        <v>168</v>
      </c>
      <c r="FDA73" s="263" t="s">
        <v>31</v>
      </c>
      <c r="FDB73" s="254"/>
      <c r="FDC73" s="254"/>
      <c r="FDD73" s="264">
        <v>5.7000000000000002E-2</v>
      </c>
      <c r="FDE73" s="193"/>
      <c r="FDF73" s="263" t="s">
        <v>2</v>
      </c>
      <c r="FDG73" s="193"/>
      <c r="FDH73" s="255" t="s">
        <v>168</v>
      </c>
      <c r="FDI73" s="263" t="s">
        <v>31</v>
      </c>
      <c r="FDJ73" s="254"/>
      <c r="FDK73" s="254"/>
      <c r="FDL73" s="264">
        <v>5.7000000000000002E-2</v>
      </c>
      <c r="FDM73" s="193"/>
      <c r="FDN73" s="263" t="s">
        <v>2</v>
      </c>
      <c r="FDO73" s="193"/>
      <c r="FDP73" s="255" t="s">
        <v>168</v>
      </c>
      <c r="FDQ73" s="263" t="s">
        <v>31</v>
      </c>
      <c r="FDR73" s="254"/>
      <c r="FDS73" s="254"/>
      <c r="FDT73" s="264">
        <v>5.7000000000000002E-2</v>
      </c>
      <c r="FDU73" s="193"/>
      <c r="FDV73" s="263" t="s">
        <v>2</v>
      </c>
      <c r="FDW73" s="193"/>
      <c r="FDX73" s="255" t="s">
        <v>168</v>
      </c>
      <c r="FDY73" s="263" t="s">
        <v>31</v>
      </c>
      <c r="FDZ73" s="254"/>
      <c r="FEA73" s="254"/>
      <c r="FEB73" s="264">
        <v>5.7000000000000002E-2</v>
      </c>
      <c r="FEC73" s="193"/>
      <c r="FED73" s="263" t="s">
        <v>2</v>
      </c>
      <c r="FEE73" s="193"/>
      <c r="FEF73" s="255" t="s">
        <v>168</v>
      </c>
      <c r="FEG73" s="263" t="s">
        <v>31</v>
      </c>
      <c r="FEH73" s="254"/>
      <c r="FEI73" s="254"/>
      <c r="FEJ73" s="264">
        <v>5.7000000000000002E-2</v>
      </c>
      <c r="FEK73" s="193"/>
      <c r="FEL73" s="263" t="s">
        <v>2</v>
      </c>
      <c r="FEM73" s="193"/>
      <c r="FEN73" s="255" t="s">
        <v>168</v>
      </c>
      <c r="FEO73" s="263" t="s">
        <v>31</v>
      </c>
      <c r="FEP73" s="254"/>
      <c r="FEQ73" s="254"/>
      <c r="FER73" s="264">
        <v>5.7000000000000002E-2</v>
      </c>
      <c r="FES73" s="193"/>
      <c r="FET73" s="263" t="s">
        <v>2</v>
      </c>
      <c r="FEU73" s="193"/>
      <c r="FEV73" s="255" t="s">
        <v>168</v>
      </c>
      <c r="FEW73" s="263" t="s">
        <v>31</v>
      </c>
      <c r="FEX73" s="254"/>
      <c r="FEY73" s="254"/>
      <c r="FEZ73" s="264">
        <v>5.7000000000000002E-2</v>
      </c>
      <c r="FFA73" s="193"/>
      <c r="FFB73" s="263" t="s">
        <v>2</v>
      </c>
      <c r="FFC73" s="193"/>
      <c r="FFD73" s="255" t="s">
        <v>168</v>
      </c>
      <c r="FFE73" s="263" t="s">
        <v>31</v>
      </c>
      <c r="FFF73" s="254"/>
      <c r="FFG73" s="254"/>
      <c r="FFH73" s="264">
        <v>5.7000000000000002E-2</v>
      </c>
      <c r="FFI73" s="193"/>
      <c r="FFJ73" s="263" t="s">
        <v>2</v>
      </c>
      <c r="FFK73" s="193"/>
      <c r="FFL73" s="255" t="s">
        <v>168</v>
      </c>
      <c r="FFM73" s="263" t="s">
        <v>31</v>
      </c>
      <c r="FFN73" s="254"/>
      <c r="FFO73" s="254"/>
      <c r="FFP73" s="264">
        <v>5.7000000000000002E-2</v>
      </c>
      <c r="FFQ73" s="193"/>
      <c r="FFR73" s="263" t="s">
        <v>2</v>
      </c>
      <c r="FFS73" s="193"/>
      <c r="FFT73" s="255" t="s">
        <v>168</v>
      </c>
      <c r="FFU73" s="263" t="s">
        <v>31</v>
      </c>
      <c r="FFV73" s="254"/>
      <c r="FFW73" s="254"/>
      <c r="FFX73" s="264">
        <v>5.7000000000000002E-2</v>
      </c>
      <c r="FFY73" s="193"/>
      <c r="FFZ73" s="263" t="s">
        <v>2</v>
      </c>
      <c r="FGA73" s="193"/>
      <c r="FGB73" s="255" t="s">
        <v>168</v>
      </c>
      <c r="FGC73" s="263" t="s">
        <v>31</v>
      </c>
      <c r="FGD73" s="254"/>
      <c r="FGE73" s="254"/>
      <c r="FGF73" s="264">
        <v>5.7000000000000002E-2</v>
      </c>
      <c r="FGG73" s="193"/>
      <c r="FGH73" s="263" t="s">
        <v>2</v>
      </c>
      <c r="FGI73" s="193"/>
      <c r="FGJ73" s="255" t="s">
        <v>168</v>
      </c>
      <c r="FGK73" s="263" t="s">
        <v>31</v>
      </c>
      <c r="FGL73" s="254"/>
      <c r="FGM73" s="254"/>
      <c r="FGN73" s="264">
        <v>5.7000000000000002E-2</v>
      </c>
      <c r="FGO73" s="193"/>
      <c r="FGP73" s="263" t="s">
        <v>2</v>
      </c>
      <c r="FGQ73" s="193"/>
      <c r="FGR73" s="255" t="s">
        <v>168</v>
      </c>
      <c r="FGS73" s="263" t="s">
        <v>31</v>
      </c>
      <c r="FGT73" s="254"/>
      <c r="FGU73" s="254"/>
      <c r="FGV73" s="264">
        <v>5.7000000000000002E-2</v>
      </c>
      <c r="FGW73" s="193"/>
      <c r="FGX73" s="263" t="s">
        <v>2</v>
      </c>
      <c r="FGY73" s="193"/>
      <c r="FGZ73" s="255" t="s">
        <v>168</v>
      </c>
      <c r="FHA73" s="263" t="s">
        <v>31</v>
      </c>
      <c r="FHB73" s="254"/>
      <c r="FHC73" s="254"/>
      <c r="FHD73" s="264">
        <v>5.7000000000000002E-2</v>
      </c>
      <c r="FHE73" s="193"/>
      <c r="FHF73" s="263" t="s">
        <v>2</v>
      </c>
      <c r="FHG73" s="193"/>
      <c r="FHH73" s="255" t="s">
        <v>168</v>
      </c>
      <c r="FHI73" s="263" t="s">
        <v>31</v>
      </c>
      <c r="FHJ73" s="254"/>
      <c r="FHK73" s="254"/>
      <c r="FHL73" s="264">
        <v>5.7000000000000002E-2</v>
      </c>
      <c r="FHM73" s="193"/>
      <c r="FHN73" s="263" t="s">
        <v>2</v>
      </c>
      <c r="FHO73" s="193"/>
      <c r="FHP73" s="255" t="s">
        <v>168</v>
      </c>
      <c r="FHQ73" s="263" t="s">
        <v>31</v>
      </c>
      <c r="FHR73" s="254"/>
      <c r="FHS73" s="254"/>
      <c r="FHT73" s="264">
        <v>5.7000000000000002E-2</v>
      </c>
      <c r="FHU73" s="193"/>
      <c r="FHV73" s="263" t="s">
        <v>2</v>
      </c>
      <c r="FHW73" s="193"/>
      <c r="FHX73" s="255" t="s">
        <v>168</v>
      </c>
      <c r="FHY73" s="263" t="s">
        <v>31</v>
      </c>
      <c r="FHZ73" s="254"/>
      <c r="FIA73" s="254"/>
      <c r="FIB73" s="264">
        <v>5.7000000000000002E-2</v>
      </c>
      <c r="FIC73" s="193"/>
      <c r="FID73" s="263" t="s">
        <v>2</v>
      </c>
      <c r="FIE73" s="193"/>
      <c r="FIF73" s="255" t="s">
        <v>168</v>
      </c>
      <c r="FIG73" s="263" t="s">
        <v>31</v>
      </c>
      <c r="FIH73" s="254"/>
      <c r="FII73" s="254"/>
      <c r="FIJ73" s="264">
        <v>5.7000000000000002E-2</v>
      </c>
      <c r="FIK73" s="193"/>
      <c r="FIL73" s="263" t="s">
        <v>2</v>
      </c>
      <c r="FIM73" s="193"/>
      <c r="FIN73" s="255" t="s">
        <v>168</v>
      </c>
      <c r="FIO73" s="263" t="s">
        <v>31</v>
      </c>
      <c r="FIP73" s="254"/>
      <c r="FIQ73" s="254"/>
      <c r="FIR73" s="264">
        <v>5.7000000000000002E-2</v>
      </c>
      <c r="FIS73" s="193"/>
      <c r="FIT73" s="263" t="s">
        <v>2</v>
      </c>
      <c r="FIU73" s="193"/>
      <c r="FIV73" s="255" t="s">
        <v>168</v>
      </c>
      <c r="FIW73" s="263" t="s">
        <v>31</v>
      </c>
      <c r="FIX73" s="254"/>
      <c r="FIY73" s="254"/>
      <c r="FIZ73" s="264">
        <v>5.7000000000000002E-2</v>
      </c>
      <c r="FJA73" s="193"/>
      <c r="FJB73" s="263" t="s">
        <v>2</v>
      </c>
      <c r="FJC73" s="193"/>
      <c r="FJD73" s="255" t="s">
        <v>168</v>
      </c>
      <c r="FJE73" s="263" t="s">
        <v>31</v>
      </c>
      <c r="FJF73" s="254"/>
      <c r="FJG73" s="254"/>
      <c r="FJH73" s="264">
        <v>5.7000000000000002E-2</v>
      </c>
      <c r="FJI73" s="193"/>
      <c r="FJJ73" s="263" t="s">
        <v>2</v>
      </c>
      <c r="FJK73" s="193"/>
      <c r="FJL73" s="255" t="s">
        <v>168</v>
      </c>
      <c r="FJM73" s="263" t="s">
        <v>31</v>
      </c>
      <c r="FJN73" s="254"/>
      <c r="FJO73" s="254"/>
      <c r="FJP73" s="264">
        <v>5.7000000000000002E-2</v>
      </c>
      <c r="FJQ73" s="193"/>
      <c r="FJR73" s="263" t="s">
        <v>2</v>
      </c>
      <c r="FJS73" s="193"/>
      <c r="FJT73" s="255" t="s">
        <v>168</v>
      </c>
      <c r="FJU73" s="263" t="s">
        <v>31</v>
      </c>
      <c r="FJV73" s="254"/>
      <c r="FJW73" s="254"/>
      <c r="FJX73" s="264">
        <v>5.7000000000000002E-2</v>
      </c>
      <c r="FJY73" s="193"/>
      <c r="FJZ73" s="263" t="s">
        <v>2</v>
      </c>
      <c r="FKA73" s="193"/>
      <c r="FKB73" s="255" t="s">
        <v>168</v>
      </c>
      <c r="FKC73" s="263" t="s">
        <v>31</v>
      </c>
      <c r="FKD73" s="254"/>
      <c r="FKE73" s="254"/>
      <c r="FKF73" s="264">
        <v>5.7000000000000002E-2</v>
      </c>
      <c r="FKG73" s="193"/>
      <c r="FKH73" s="263" t="s">
        <v>2</v>
      </c>
      <c r="FKI73" s="193"/>
      <c r="FKJ73" s="255" t="s">
        <v>168</v>
      </c>
      <c r="FKK73" s="263" t="s">
        <v>31</v>
      </c>
      <c r="FKL73" s="254"/>
      <c r="FKM73" s="254"/>
      <c r="FKN73" s="264">
        <v>5.7000000000000002E-2</v>
      </c>
      <c r="FKO73" s="193"/>
      <c r="FKP73" s="263" t="s">
        <v>2</v>
      </c>
      <c r="FKQ73" s="193"/>
      <c r="FKR73" s="255" t="s">
        <v>168</v>
      </c>
      <c r="FKS73" s="263" t="s">
        <v>31</v>
      </c>
      <c r="FKT73" s="254"/>
      <c r="FKU73" s="254"/>
      <c r="FKV73" s="264">
        <v>5.7000000000000002E-2</v>
      </c>
      <c r="FKW73" s="193"/>
      <c r="FKX73" s="263" t="s">
        <v>2</v>
      </c>
      <c r="FKY73" s="193"/>
      <c r="FKZ73" s="255" t="s">
        <v>168</v>
      </c>
      <c r="FLA73" s="263" t="s">
        <v>31</v>
      </c>
      <c r="FLB73" s="254"/>
      <c r="FLC73" s="254"/>
      <c r="FLD73" s="264">
        <v>5.7000000000000002E-2</v>
      </c>
      <c r="FLE73" s="193"/>
      <c r="FLF73" s="263" t="s">
        <v>2</v>
      </c>
      <c r="FLG73" s="193"/>
      <c r="FLH73" s="255" t="s">
        <v>168</v>
      </c>
      <c r="FLI73" s="263" t="s">
        <v>31</v>
      </c>
      <c r="FLJ73" s="254"/>
      <c r="FLK73" s="254"/>
      <c r="FLL73" s="264">
        <v>5.7000000000000002E-2</v>
      </c>
      <c r="FLM73" s="193"/>
      <c r="FLN73" s="263" t="s">
        <v>2</v>
      </c>
      <c r="FLO73" s="193"/>
      <c r="FLP73" s="255" t="s">
        <v>168</v>
      </c>
      <c r="FLQ73" s="263" t="s">
        <v>31</v>
      </c>
      <c r="FLR73" s="254"/>
      <c r="FLS73" s="254"/>
      <c r="FLT73" s="264">
        <v>5.7000000000000002E-2</v>
      </c>
      <c r="FLU73" s="193"/>
      <c r="FLV73" s="263" t="s">
        <v>2</v>
      </c>
      <c r="FLW73" s="193"/>
      <c r="FLX73" s="255" t="s">
        <v>168</v>
      </c>
      <c r="FLY73" s="263" t="s">
        <v>31</v>
      </c>
      <c r="FLZ73" s="254"/>
      <c r="FMA73" s="254"/>
      <c r="FMB73" s="264">
        <v>5.7000000000000002E-2</v>
      </c>
      <c r="FMC73" s="193"/>
      <c r="FMD73" s="263" t="s">
        <v>2</v>
      </c>
      <c r="FME73" s="193"/>
      <c r="FMF73" s="255" t="s">
        <v>168</v>
      </c>
      <c r="FMG73" s="263" t="s">
        <v>31</v>
      </c>
      <c r="FMH73" s="254"/>
      <c r="FMI73" s="254"/>
      <c r="FMJ73" s="264">
        <v>5.7000000000000002E-2</v>
      </c>
      <c r="FMK73" s="193"/>
      <c r="FML73" s="263" t="s">
        <v>2</v>
      </c>
      <c r="FMM73" s="193"/>
      <c r="FMN73" s="255" t="s">
        <v>168</v>
      </c>
      <c r="FMO73" s="263" t="s">
        <v>31</v>
      </c>
      <c r="FMP73" s="254"/>
      <c r="FMQ73" s="254"/>
      <c r="FMR73" s="264">
        <v>5.7000000000000002E-2</v>
      </c>
      <c r="FMS73" s="193"/>
      <c r="FMT73" s="263" t="s">
        <v>2</v>
      </c>
      <c r="FMU73" s="193"/>
      <c r="FMV73" s="255" t="s">
        <v>168</v>
      </c>
      <c r="FMW73" s="263" t="s">
        <v>31</v>
      </c>
      <c r="FMX73" s="254"/>
      <c r="FMY73" s="254"/>
      <c r="FMZ73" s="264">
        <v>5.7000000000000002E-2</v>
      </c>
      <c r="FNA73" s="193"/>
      <c r="FNB73" s="263" t="s">
        <v>2</v>
      </c>
      <c r="FNC73" s="193"/>
      <c r="FND73" s="255" t="s">
        <v>168</v>
      </c>
      <c r="FNE73" s="263" t="s">
        <v>31</v>
      </c>
      <c r="FNF73" s="254"/>
      <c r="FNG73" s="254"/>
      <c r="FNH73" s="264">
        <v>5.7000000000000002E-2</v>
      </c>
      <c r="FNI73" s="193"/>
      <c r="FNJ73" s="263" t="s">
        <v>2</v>
      </c>
      <c r="FNK73" s="193"/>
      <c r="FNL73" s="255" t="s">
        <v>168</v>
      </c>
      <c r="FNM73" s="263" t="s">
        <v>31</v>
      </c>
      <c r="FNN73" s="254"/>
      <c r="FNO73" s="254"/>
      <c r="FNP73" s="264">
        <v>5.7000000000000002E-2</v>
      </c>
      <c r="FNQ73" s="193"/>
      <c r="FNR73" s="263" t="s">
        <v>2</v>
      </c>
      <c r="FNS73" s="193"/>
      <c r="FNT73" s="255" t="s">
        <v>168</v>
      </c>
      <c r="FNU73" s="263" t="s">
        <v>31</v>
      </c>
      <c r="FNV73" s="254"/>
      <c r="FNW73" s="254"/>
      <c r="FNX73" s="264">
        <v>5.7000000000000002E-2</v>
      </c>
      <c r="FNY73" s="193"/>
      <c r="FNZ73" s="263" t="s">
        <v>2</v>
      </c>
      <c r="FOA73" s="193"/>
      <c r="FOB73" s="255" t="s">
        <v>168</v>
      </c>
      <c r="FOC73" s="263" t="s">
        <v>31</v>
      </c>
      <c r="FOD73" s="254"/>
      <c r="FOE73" s="254"/>
      <c r="FOF73" s="264">
        <v>5.7000000000000002E-2</v>
      </c>
      <c r="FOG73" s="193"/>
      <c r="FOH73" s="263" t="s">
        <v>2</v>
      </c>
      <c r="FOI73" s="193"/>
      <c r="FOJ73" s="255" t="s">
        <v>168</v>
      </c>
      <c r="FOK73" s="263" t="s">
        <v>31</v>
      </c>
      <c r="FOL73" s="254"/>
      <c r="FOM73" s="254"/>
      <c r="FON73" s="264">
        <v>5.7000000000000002E-2</v>
      </c>
      <c r="FOO73" s="193"/>
      <c r="FOP73" s="263" t="s">
        <v>2</v>
      </c>
      <c r="FOQ73" s="193"/>
      <c r="FOR73" s="255" t="s">
        <v>168</v>
      </c>
      <c r="FOS73" s="263" t="s">
        <v>31</v>
      </c>
      <c r="FOT73" s="254"/>
      <c r="FOU73" s="254"/>
      <c r="FOV73" s="264">
        <v>5.7000000000000002E-2</v>
      </c>
      <c r="FOW73" s="193"/>
      <c r="FOX73" s="263" t="s">
        <v>2</v>
      </c>
      <c r="FOY73" s="193"/>
      <c r="FOZ73" s="255" t="s">
        <v>168</v>
      </c>
      <c r="FPA73" s="263" t="s">
        <v>31</v>
      </c>
      <c r="FPB73" s="254"/>
      <c r="FPC73" s="254"/>
      <c r="FPD73" s="264">
        <v>5.7000000000000002E-2</v>
      </c>
      <c r="FPE73" s="193"/>
      <c r="FPF73" s="263" t="s">
        <v>2</v>
      </c>
      <c r="FPG73" s="193"/>
      <c r="FPH73" s="255" t="s">
        <v>168</v>
      </c>
      <c r="FPI73" s="263" t="s">
        <v>31</v>
      </c>
      <c r="FPJ73" s="254"/>
      <c r="FPK73" s="254"/>
      <c r="FPL73" s="264">
        <v>5.7000000000000002E-2</v>
      </c>
      <c r="FPM73" s="193"/>
      <c r="FPN73" s="263" t="s">
        <v>2</v>
      </c>
      <c r="FPO73" s="193"/>
      <c r="FPP73" s="255" t="s">
        <v>168</v>
      </c>
      <c r="FPQ73" s="263" t="s">
        <v>31</v>
      </c>
      <c r="FPR73" s="254"/>
      <c r="FPS73" s="254"/>
      <c r="FPT73" s="264">
        <v>5.7000000000000002E-2</v>
      </c>
      <c r="FPU73" s="193"/>
      <c r="FPV73" s="263" t="s">
        <v>2</v>
      </c>
      <c r="FPW73" s="193"/>
      <c r="FPX73" s="255" t="s">
        <v>168</v>
      </c>
      <c r="FPY73" s="263" t="s">
        <v>31</v>
      </c>
      <c r="FPZ73" s="254"/>
      <c r="FQA73" s="254"/>
      <c r="FQB73" s="264">
        <v>5.7000000000000002E-2</v>
      </c>
      <c r="FQC73" s="193"/>
      <c r="FQD73" s="263" t="s">
        <v>2</v>
      </c>
      <c r="FQE73" s="193"/>
      <c r="FQF73" s="255" t="s">
        <v>168</v>
      </c>
      <c r="FQG73" s="263" t="s">
        <v>31</v>
      </c>
      <c r="FQH73" s="254"/>
      <c r="FQI73" s="254"/>
      <c r="FQJ73" s="264">
        <v>5.7000000000000002E-2</v>
      </c>
      <c r="FQK73" s="193"/>
      <c r="FQL73" s="263" t="s">
        <v>2</v>
      </c>
      <c r="FQM73" s="193"/>
      <c r="FQN73" s="255" t="s">
        <v>168</v>
      </c>
      <c r="FQO73" s="263" t="s">
        <v>31</v>
      </c>
      <c r="FQP73" s="254"/>
      <c r="FQQ73" s="254"/>
      <c r="FQR73" s="264">
        <v>5.7000000000000002E-2</v>
      </c>
      <c r="FQS73" s="193"/>
      <c r="FQT73" s="263" t="s">
        <v>2</v>
      </c>
      <c r="FQU73" s="193"/>
      <c r="FQV73" s="255" t="s">
        <v>168</v>
      </c>
      <c r="FQW73" s="263" t="s">
        <v>31</v>
      </c>
      <c r="FQX73" s="254"/>
      <c r="FQY73" s="254"/>
      <c r="FQZ73" s="264">
        <v>5.7000000000000002E-2</v>
      </c>
      <c r="FRA73" s="193"/>
      <c r="FRB73" s="263" t="s">
        <v>2</v>
      </c>
      <c r="FRC73" s="193"/>
      <c r="FRD73" s="255" t="s">
        <v>168</v>
      </c>
      <c r="FRE73" s="263" t="s">
        <v>31</v>
      </c>
      <c r="FRF73" s="254"/>
      <c r="FRG73" s="254"/>
      <c r="FRH73" s="264">
        <v>5.7000000000000002E-2</v>
      </c>
      <c r="FRI73" s="193"/>
      <c r="FRJ73" s="263" t="s">
        <v>2</v>
      </c>
      <c r="FRK73" s="193"/>
      <c r="FRL73" s="255" t="s">
        <v>168</v>
      </c>
      <c r="FRM73" s="263" t="s">
        <v>31</v>
      </c>
      <c r="FRN73" s="254"/>
      <c r="FRO73" s="254"/>
      <c r="FRP73" s="264">
        <v>5.7000000000000002E-2</v>
      </c>
      <c r="FRQ73" s="193"/>
      <c r="FRR73" s="263" t="s">
        <v>2</v>
      </c>
      <c r="FRS73" s="193"/>
      <c r="FRT73" s="255" t="s">
        <v>168</v>
      </c>
      <c r="FRU73" s="263" t="s">
        <v>31</v>
      </c>
      <c r="FRV73" s="254"/>
      <c r="FRW73" s="254"/>
      <c r="FRX73" s="264">
        <v>5.7000000000000002E-2</v>
      </c>
      <c r="FRY73" s="193"/>
      <c r="FRZ73" s="263" t="s">
        <v>2</v>
      </c>
      <c r="FSA73" s="193"/>
      <c r="FSB73" s="255" t="s">
        <v>168</v>
      </c>
      <c r="FSC73" s="263" t="s">
        <v>31</v>
      </c>
      <c r="FSD73" s="254"/>
      <c r="FSE73" s="254"/>
      <c r="FSF73" s="264">
        <v>5.7000000000000002E-2</v>
      </c>
      <c r="FSG73" s="193"/>
      <c r="FSH73" s="263" t="s">
        <v>2</v>
      </c>
      <c r="FSI73" s="193"/>
      <c r="FSJ73" s="255" t="s">
        <v>168</v>
      </c>
      <c r="FSK73" s="263" t="s">
        <v>31</v>
      </c>
      <c r="FSL73" s="254"/>
      <c r="FSM73" s="254"/>
      <c r="FSN73" s="264">
        <v>5.7000000000000002E-2</v>
      </c>
      <c r="FSO73" s="193"/>
      <c r="FSP73" s="263" t="s">
        <v>2</v>
      </c>
      <c r="FSQ73" s="193"/>
      <c r="FSR73" s="255" t="s">
        <v>168</v>
      </c>
      <c r="FSS73" s="263" t="s">
        <v>31</v>
      </c>
      <c r="FST73" s="254"/>
      <c r="FSU73" s="254"/>
      <c r="FSV73" s="264">
        <v>5.7000000000000002E-2</v>
      </c>
      <c r="FSW73" s="193"/>
      <c r="FSX73" s="263" t="s">
        <v>2</v>
      </c>
      <c r="FSY73" s="193"/>
      <c r="FSZ73" s="255" t="s">
        <v>168</v>
      </c>
      <c r="FTA73" s="263" t="s">
        <v>31</v>
      </c>
      <c r="FTB73" s="254"/>
      <c r="FTC73" s="254"/>
      <c r="FTD73" s="264">
        <v>5.7000000000000002E-2</v>
      </c>
      <c r="FTE73" s="193"/>
      <c r="FTF73" s="263" t="s">
        <v>2</v>
      </c>
      <c r="FTG73" s="193"/>
      <c r="FTH73" s="255" t="s">
        <v>168</v>
      </c>
      <c r="FTI73" s="263" t="s">
        <v>31</v>
      </c>
      <c r="FTJ73" s="254"/>
      <c r="FTK73" s="254"/>
      <c r="FTL73" s="264">
        <v>5.7000000000000002E-2</v>
      </c>
      <c r="FTM73" s="193"/>
      <c r="FTN73" s="263" t="s">
        <v>2</v>
      </c>
      <c r="FTO73" s="193"/>
      <c r="FTP73" s="255" t="s">
        <v>168</v>
      </c>
      <c r="FTQ73" s="263" t="s">
        <v>31</v>
      </c>
      <c r="FTR73" s="254"/>
      <c r="FTS73" s="254"/>
      <c r="FTT73" s="264">
        <v>5.7000000000000002E-2</v>
      </c>
      <c r="FTU73" s="193"/>
      <c r="FTV73" s="263" t="s">
        <v>2</v>
      </c>
      <c r="FTW73" s="193"/>
      <c r="FTX73" s="255" t="s">
        <v>168</v>
      </c>
      <c r="FTY73" s="263" t="s">
        <v>31</v>
      </c>
      <c r="FTZ73" s="254"/>
      <c r="FUA73" s="254"/>
      <c r="FUB73" s="264">
        <v>5.7000000000000002E-2</v>
      </c>
      <c r="FUC73" s="193"/>
      <c r="FUD73" s="263" t="s">
        <v>2</v>
      </c>
      <c r="FUE73" s="193"/>
      <c r="FUF73" s="255" t="s">
        <v>168</v>
      </c>
      <c r="FUG73" s="263" t="s">
        <v>31</v>
      </c>
      <c r="FUH73" s="254"/>
      <c r="FUI73" s="254"/>
      <c r="FUJ73" s="264">
        <v>5.7000000000000002E-2</v>
      </c>
      <c r="FUK73" s="193"/>
      <c r="FUL73" s="263" t="s">
        <v>2</v>
      </c>
      <c r="FUM73" s="193"/>
      <c r="FUN73" s="255" t="s">
        <v>168</v>
      </c>
      <c r="FUO73" s="263" t="s">
        <v>31</v>
      </c>
      <c r="FUP73" s="254"/>
      <c r="FUQ73" s="254"/>
      <c r="FUR73" s="264">
        <v>5.7000000000000002E-2</v>
      </c>
      <c r="FUS73" s="193"/>
      <c r="FUT73" s="263" t="s">
        <v>2</v>
      </c>
      <c r="FUU73" s="193"/>
      <c r="FUV73" s="255" t="s">
        <v>168</v>
      </c>
      <c r="FUW73" s="263" t="s">
        <v>31</v>
      </c>
      <c r="FUX73" s="254"/>
      <c r="FUY73" s="254"/>
      <c r="FUZ73" s="264">
        <v>5.7000000000000002E-2</v>
      </c>
      <c r="FVA73" s="193"/>
      <c r="FVB73" s="263" t="s">
        <v>2</v>
      </c>
      <c r="FVC73" s="193"/>
      <c r="FVD73" s="255" t="s">
        <v>168</v>
      </c>
      <c r="FVE73" s="263" t="s">
        <v>31</v>
      </c>
      <c r="FVF73" s="254"/>
      <c r="FVG73" s="254"/>
      <c r="FVH73" s="264">
        <v>5.7000000000000002E-2</v>
      </c>
      <c r="FVI73" s="193"/>
      <c r="FVJ73" s="263" t="s">
        <v>2</v>
      </c>
      <c r="FVK73" s="193"/>
      <c r="FVL73" s="255" t="s">
        <v>168</v>
      </c>
      <c r="FVM73" s="263" t="s">
        <v>31</v>
      </c>
      <c r="FVN73" s="254"/>
      <c r="FVO73" s="254"/>
      <c r="FVP73" s="264">
        <v>5.7000000000000002E-2</v>
      </c>
      <c r="FVQ73" s="193"/>
      <c r="FVR73" s="263" t="s">
        <v>2</v>
      </c>
      <c r="FVS73" s="193"/>
      <c r="FVT73" s="255" t="s">
        <v>168</v>
      </c>
      <c r="FVU73" s="263" t="s">
        <v>31</v>
      </c>
      <c r="FVV73" s="254"/>
      <c r="FVW73" s="254"/>
      <c r="FVX73" s="264">
        <v>5.7000000000000002E-2</v>
      </c>
      <c r="FVY73" s="193"/>
      <c r="FVZ73" s="263" t="s">
        <v>2</v>
      </c>
      <c r="FWA73" s="193"/>
      <c r="FWB73" s="255" t="s">
        <v>168</v>
      </c>
      <c r="FWC73" s="263" t="s">
        <v>31</v>
      </c>
      <c r="FWD73" s="254"/>
      <c r="FWE73" s="254"/>
      <c r="FWF73" s="264">
        <v>5.7000000000000002E-2</v>
      </c>
      <c r="FWG73" s="193"/>
      <c r="FWH73" s="263" t="s">
        <v>2</v>
      </c>
      <c r="FWI73" s="193"/>
      <c r="FWJ73" s="255" t="s">
        <v>168</v>
      </c>
      <c r="FWK73" s="263" t="s">
        <v>31</v>
      </c>
      <c r="FWL73" s="254"/>
      <c r="FWM73" s="254"/>
      <c r="FWN73" s="264">
        <v>5.7000000000000002E-2</v>
      </c>
      <c r="FWO73" s="193"/>
      <c r="FWP73" s="263" t="s">
        <v>2</v>
      </c>
      <c r="FWQ73" s="193"/>
      <c r="FWR73" s="255" t="s">
        <v>168</v>
      </c>
      <c r="FWS73" s="263" t="s">
        <v>31</v>
      </c>
      <c r="FWT73" s="254"/>
      <c r="FWU73" s="254"/>
      <c r="FWV73" s="264">
        <v>5.7000000000000002E-2</v>
      </c>
      <c r="FWW73" s="193"/>
      <c r="FWX73" s="263" t="s">
        <v>2</v>
      </c>
      <c r="FWY73" s="193"/>
      <c r="FWZ73" s="255" t="s">
        <v>168</v>
      </c>
      <c r="FXA73" s="263" t="s">
        <v>31</v>
      </c>
      <c r="FXB73" s="254"/>
      <c r="FXC73" s="254"/>
      <c r="FXD73" s="264">
        <v>5.7000000000000002E-2</v>
      </c>
      <c r="FXE73" s="193"/>
      <c r="FXF73" s="263" t="s">
        <v>2</v>
      </c>
      <c r="FXG73" s="193"/>
      <c r="FXH73" s="255" t="s">
        <v>168</v>
      </c>
      <c r="FXI73" s="263" t="s">
        <v>31</v>
      </c>
      <c r="FXJ73" s="254"/>
      <c r="FXK73" s="254"/>
      <c r="FXL73" s="264">
        <v>5.7000000000000002E-2</v>
      </c>
      <c r="FXM73" s="193"/>
      <c r="FXN73" s="263" t="s">
        <v>2</v>
      </c>
      <c r="FXO73" s="193"/>
      <c r="FXP73" s="255" t="s">
        <v>168</v>
      </c>
      <c r="FXQ73" s="263" t="s">
        <v>31</v>
      </c>
      <c r="FXR73" s="254"/>
      <c r="FXS73" s="254"/>
      <c r="FXT73" s="264">
        <v>5.7000000000000002E-2</v>
      </c>
      <c r="FXU73" s="193"/>
      <c r="FXV73" s="263" t="s">
        <v>2</v>
      </c>
      <c r="FXW73" s="193"/>
      <c r="FXX73" s="255" t="s">
        <v>168</v>
      </c>
      <c r="FXY73" s="263" t="s">
        <v>31</v>
      </c>
      <c r="FXZ73" s="254"/>
      <c r="FYA73" s="254"/>
      <c r="FYB73" s="264">
        <v>5.7000000000000002E-2</v>
      </c>
      <c r="FYC73" s="193"/>
      <c r="FYD73" s="263" t="s">
        <v>2</v>
      </c>
      <c r="FYE73" s="193"/>
      <c r="FYF73" s="255" t="s">
        <v>168</v>
      </c>
      <c r="FYG73" s="263" t="s">
        <v>31</v>
      </c>
      <c r="FYH73" s="254"/>
      <c r="FYI73" s="254"/>
      <c r="FYJ73" s="264">
        <v>5.7000000000000002E-2</v>
      </c>
      <c r="FYK73" s="193"/>
      <c r="FYL73" s="263" t="s">
        <v>2</v>
      </c>
      <c r="FYM73" s="193"/>
      <c r="FYN73" s="255" t="s">
        <v>168</v>
      </c>
      <c r="FYO73" s="263" t="s">
        <v>31</v>
      </c>
      <c r="FYP73" s="254"/>
      <c r="FYQ73" s="254"/>
      <c r="FYR73" s="264">
        <v>5.7000000000000002E-2</v>
      </c>
      <c r="FYS73" s="193"/>
      <c r="FYT73" s="263" t="s">
        <v>2</v>
      </c>
      <c r="FYU73" s="193"/>
      <c r="FYV73" s="255" t="s">
        <v>168</v>
      </c>
      <c r="FYW73" s="263" t="s">
        <v>31</v>
      </c>
      <c r="FYX73" s="254"/>
      <c r="FYY73" s="254"/>
      <c r="FYZ73" s="264">
        <v>5.7000000000000002E-2</v>
      </c>
      <c r="FZA73" s="193"/>
      <c r="FZB73" s="263" t="s">
        <v>2</v>
      </c>
      <c r="FZC73" s="193"/>
      <c r="FZD73" s="255" t="s">
        <v>168</v>
      </c>
      <c r="FZE73" s="263" t="s">
        <v>31</v>
      </c>
      <c r="FZF73" s="254"/>
      <c r="FZG73" s="254"/>
      <c r="FZH73" s="264">
        <v>5.7000000000000002E-2</v>
      </c>
      <c r="FZI73" s="193"/>
      <c r="FZJ73" s="263" t="s">
        <v>2</v>
      </c>
      <c r="FZK73" s="193"/>
      <c r="FZL73" s="255" t="s">
        <v>168</v>
      </c>
      <c r="FZM73" s="263" t="s">
        <v>31</v>
      </c>
      <c r="FZN73" s="254"/>
      <c r="FZO73" s="254"/>
      <c r="FZP73" s="264">
        <v>5.7000000000000002E-2</v>
      </c>
      <c r="FZQ73" s="193"/>
      <c r="FZR73" s="263" t="s">
        <v>2</v>
      </c>
      <c r="FZS73" s="193"/>
      <c r="FZT73" s="255" t="s">
        <v>168</v>
      </c>
      <c r="FZU73" s="263" t="s">
        <v>31</v>
      </c>
      <c r="FZV73" s="254"/>
      <c r="FZW73" s="254"/>
      <c r="FZX73" s="264">
        <v>5.7000000000000002E-2</v>
      </c>
      <c r="FZY73" s="193"/>
      <c r="FZZ73" s="263" t="s">
        <v>2</v>
      </c>
      <c r="GAA73" s="193"/>
      <c r="GAB73" s="255" t="s">
        <v>168</v>
      </c>
      <c r="GAC73" s="263" t="s">
        <v>31</v>
      </c>
      <c r="GAD73" s="254"/>
      <c r="GAE73" s="254"/>
      <c r="GAF73" s="264">
        <v>5.7000000000000002E-2</v>
      </c>
      <c r="GAG73" s="193"/>
      <c r="GAH73" s="263" t="s">
        <v>2</v>
      </c>
      <c r="GAI73" s="193"/>
      <c r="GAJ73" s="255" t="s">
        <v>168</v>
      </c>
      <c r="GAK73" s="263" t="s">
        <v>31</v>
      </c>
      <c r="GAL73" s="254"/>
      <c r="GAM73" s="254"/>
      <c r="GAN73" s="264">
        <v>5.7000000000000002E-2</v>
      </c>
      <c r="GAO73" s="193"/>
      <c r="GAP73" s="263" t="s">
        <v>2</v>
      </c>
      <c r="GAQ73" s="193"/>
      <c r="GAR73" s="255" t="s">
        <v>168</v>
      </c>
      <c r="GAS73" s="263" t="s">
        <v>31</v>
      </c>
      <c r="GAT73" s="254"/>
      <c r="GAU73" s="254"/>
      <c r="GAV73" s="264">
        <v>5.7000000000000002E-2</v>
      </c>
      <c r="GAW73" s="193"/>
      <c r="GAX73" s="263" t="s">
        <v>2</v>
      </c>
      <c r="GAY73" s="193"/>
      <c r="GAZ73" s="255" t="s">
        <v>168</v>
      </c>
      <c r="GBA73" s="263" t="s">
        <v>31</v>
      </c>
      <c r="GBB73" s="254"/>
      <c r="GBC73" s="254"/>
      <c r="GBD73" s="264">
        <v>5.7000000000000002E-2</v>
      </c>
      <c r="GBE73" s="193"/>
      <c r="GBF73" s="263" t="s">
        <v>2</v>
      </c>
      <c r="GBG73" s="193"/>
      <c r="GBH73" s="255" t="s">
        <v>168</v>
      </c>
      <c r="GBI73" s="263" t="s">
        <v>31</v>
      </c>
      <c r="GBJ73" s="254"/>
      <c r="GBK73" s="254"/>
      <c r="GBL73" s="264">
        <v>5.7000000000000002E-2</v>
      </c>
      <c r="GBM73" s="193"/>
      <c r="GBN73" s="263" t="s">
        <v>2</v>
      </c>
      <c r="GBO73" s="193"/>
      <c r="GBP73" s="255" t="s">
        <v>168</v>
      </c>
      <c r="GBQ73" s="263" t="s">
        <v>31</v>
      </c>
      <c r="GBR73" s="254"/>
      <c r="GBS73" s="254"/>
      <c r="GBT73" s="264">
        <v>5.7000000000000002E-2</v>
      </c>
      <c r="GBU73" s="193"/>
      <c r="GBV73" s="263" t="s">
        <v>2</v>
      </c>
      <c r="GBW73" s="193"/>
      <c r="GBX73" s="255" t="s">
        <v>168</v>
      </c>
      <c r="GBY73" s="263" t="s">
        <v>31</v>
      </c>
      <c r="GBZ73" s="254"/>
      <c r="GCA73" s="254"/>
      <c r="GCB73" s="264">
        <v>5.7000000000000002E-2</v>
      </c>
      <c r="GCC73" s="193"/>
      <c r="GCD73" s="263" t="s">
        <v>2</v>
      </c>
      <c r="GCE73" s="193"/>
      <c r="GCF73" s="255" t="s">
        <v>168</v>
      </c>
      <c r="GCG73" s="263" t="s">
        <v>31</v>
      </c>
      <c r="GCH73" s="254"/>
      <c r="GCI73" s="254"/>
      <c r="GCJ73" s="264">
        <v>5.7000000000000002E-2</v>
      </c>
      <c r="GCK73" s="193"/>
      <c r="GCL73" s="263" t="s">
        <v>2</v>
      </c>
      <c r="GCM73" s="193"/>
      <c r="GCN73" s="255" t="s">
        <v>168</v>
      </c>
      <c r="GCO73" s="263" t="s">
        <v>31</v>
      </c>
      <c r="GCP73" s="254"/>
      <c r="GCQ73" s="254"/>
      <c r="GCR73" s="264">
        <v>5.7000000000000002E-2</v>
      </c>
      <c r="GCS73" s="193"/>
      <c r="GCT73" s="263" t="s">
        <v>2</v>
      </c>
      <c r="GCU73" s="193"/>
      <c r="GCV73" s="255" t="s">
        <v>168</v>
      </c>
      <c r="GCW73" s="263" t="s">
        <v>31</v>
      </c>
      <c r="GCX73" s="254"/>
      <c r="GCY73" s="254"/>
      <c r="GCZ73" s="264">
        <v>5.7000000000000002E-2</v>
      </c>
      <c r="GDA73" s="193"/>
      <c r="GDB73" s="263" t="s">
        <v>2</v>
      </c>
      <c r="GDC73" s="193"/>
      <c r="GDD73" s="255" t="s">
        <v>168</v>
      </c>
      <c r="GDE73" s="263" t="s">
        <v>31</v>
      </c>
      <c r="GDF73" s="254"/>
      <c r="GDG73" s="254"/>
      <c r="GDH73" s="264">
        <v>5.7000000000000002E-2</v>
      </c>
      <c r="GDI73" s="193"/>
      <c r="GDJ73" s="263" t="s">
        <v>2</v>
      </c>
      <c r="GDK73" s="193"/>
      <c r="GDL73" s="255" t="s">
        <v>168</v>
      </c>
      <c r="GDM73" s="263" t="s">
        <v>31</v>
      </c>
      <c r="GDN73" s="254"/>
      <c r="GDO73" s="254"/>
      <c r="GDP73" s="264">
        <v>5.7000000000000002E-2</v>
      </c>
      <c r="GDQ73" s="193"/>
      <c r="GDR73" s="263" t="s">
        <v>2</v>
      </c>
      <c r="GDS73" s="193"/>
      <c r="GDT73" s="255" t="s">
        <v>168</v>
      </c>
      <c r="GDU73" s="263" t="s">
        <v>31</v>
      </c>
      <c r="GDV73" s="254"/>
      <c r="GDW73" s="254"/>
      <c r="GDX73" s="264">
        <v>5.7000000000000002E-2</v>
      </c>
      <c r="GDY73" s="193"/>
      <c r="GDZ73" s="263" t="s">
        <v>2</v>
      </c>
      <c r="GEA73" s="193"/>
      <c r="GEB73" s="255" t="s">
        <v>168</v>
      </c>
      <c r="GEC73" s="263" t="s">
        <v>31</v>
      </c>
      <c r="GED73" s="254"/>
      <c r="GEE73" s="254"/>
      <c r="GEF73" s="264">
        <v>5.7000000000000002E-2</v>
      </c>
      <c r="GEG73" s="193"/>
      <c r="GEH73" s="263" t="s">
        <v>2</v>
      </c>
      <c r="GEI73" s="193"/>
      <c r="GEJ73" s="255" t="s">
        <v>168</v>
      </c>
      <c r="GEK73" s="263" t="s">
        <v>31</v>
      </c>
      <c r="GEL73" s="254"/>
      <c r="GEM73" s="254"/>
      <c r="GEN73" s="264">
        <v>5.7000000000000002E-2</v>
      </c>
      <c r="GEO73" s="193"/>
      <c r="GEP73" s="263" t="s">
        <v>2</v>
      </c>
      <c r="GEQ73" s="193"/>
      <c r="GER73" s="255" t="s">
        <v>168</v>
      </c>
      <c r="GES73" s="263" t="s">
        <v>31</v>
      </c>
      <c r="GET73" s="254"/>
      <c r="GEU73" s="254"/>
      <c r="GEV73" s="264">
        <v>5.7000000000000002E-2</v>
      </c>
      <c r="GEW73" s="193"/>
      <c r="GEX73" s="263" t="s">
        <v>2</v>
      </c>
      <c r="GEY73" s="193"/>
      <c r="GEZ73" s="255" t="s">
        <v>168</v>
      </c>
      <c r="GFA73" s="263" t="s">
        <v>31</v>
      </c>
      <c r="GFB73" s="254"/>
      <c r="GFC73" s="254"/>
      <c r="GFD73" s="264">
        <v>5.7000000000000002E-2</v>
      </c>
      <c r="GFE73" s="193"/>
      <c r="GFF73" s="263" t="s">
        <v>2</v>
      </c>
      <c r="GFG73" s="193"/>
      <c r="GFH73" s="255" t="s">
        <v>168</v>
      </c>
      <c r="GFI73" s="263" t="s">
        <v>31</v>
      </c>
      <c r="GFJ73" s="254"/>
      <c r="GFK73" s="254"/>
      <c r="GFL73" s="264">
        <v>5.7000000000000002E-2</v>
      </c>
      <c r="GFM73" s="193"/>
      <c r="GFN73" s="263" t="s">
        <v>2</v>
      </c>
      <c r="GFO73" s="193"/>
      <c r="GFP73" s="255" t="s">
        <v>168</v>
      </c>
      <c r="GFQ73" s="263" t="s">
        <v>31</v>
      </c>
      <c r="GFR73" s="254"/>
      <c r="GFS73" s="254"/>
      <c r="GFT73" s="264">
        <v>5.7000000000000002E-2</v>
      </c>
      <c r="GFU73" s="193"/>
      <c r="GFV73" s="263" t="s">
        <v>2</v>
      </c>
      <c r="GFW73" s="193"/>
      <c r="GFX73" s="255" t="s">
        <v>168</v>
      </c>
      <c r="GFY73" s="263" t="s">
        <v>31</v>
      </c>
      <c r="GFZ73" s="254"/>
      <c r="GGA73" s="254"/>
      <c r="GGB73" s="264">
        <v>5.7000000000000002E-2</v>
      </c>
      <c r="GGC73" s="193"/>
      <c r="GGD73" s="263" t="s">
        <v>2</v>
      </c>
      <c r="GGE73" s="193"/>
      <c r="GGF73" s="255" t="s">
        <v>168</v>
      </c>
      <c r="GGG73" s="263" t="s">
        <v>31</v>
      </c>
      <c r="GGH73" s="254"/>
      <c r="GGI73" s="254"/>
      <c r="GGJ73" s="264">
        <v>5.7000000000000002E-2</v>
      </c>
      <c r="GGK73" s="193"/>
      <c r="GGL73" s="263" t="s">
        <v>2</v>
      </c>
      <c r="GGM73" s="193"/>
      <c r="GGN73" s="255" t="s">
        <v>168</v>
      </c>
      <c r="GGO73" s="263" t="s">
        <v>31</v>
      </c>
      <c r="GGP73" s="254"/>
      <c r="GGQ73" s="254"/>
      <c r="GGR73" s="264">
        <v>5.7000000000000002E-2</v>
      </c>
      <c r="GGS73" s="193"/>
      <c r="GGT73" s="263" t="s">
        <v>2</v>
      </c>
      <c r="GGU73" s="193"/>
      <c r="GGV73" s="255" t="s">
        <v>168</v>
      </c>
      <c r="GGW73" s="263" t="s">
        <v>31</v>
      </c>
      <c r="GGX73" s="254"/>
      <c r="GGY73" s="254"/>
      <c r="GGZ73" s="264">
        <v>5.7000000000000002E-2</v>
      </c>
      <c r="GHA73" s="193"/>
      <c r="GHB73" s="263" t="s">
        <v>2</v>
      </c>
      <c r="GHC73" s="193"/>
      <c r="GHD73" s="255" t="s">
        <v>168</v>
      </c>
      <c r="GHE73" s="263" t="s">
        <v>31</v>
      </c>
      <c r="GHF73" s="254"/>
      <c r="GHG73" s="254"/>
      <c r="GHH73" s="264">
        <v>5.7000000000000002E-2</v>
      </c>
      <c r="GHI73" s="193"/>
      <c r="GHJ73" s="263" t="s">
        <v>2</v>
      </c>
      <c r="GHK73" s="193"/>
      <c r="GHL73" s="255" t="s">
        <v>168</v>
      </c>
      <c r="GHM73" s="263" t="s">
        <v>31</v>
      </c>
      <c r="GHN73" s="254"/>
      <c r="GHO73" s="254"/>
      <c r="GHP73" s="264">
        <v>5.7000000000000002E-2</v>
      </c>
      <c r="GHQ73" s="193"/>
      <c r="GHR73" s="263" t="s">
        <v>2</v>
      </c>
      <c r="GHS73" s="193"/>
      <c r="GHT73" s="255" t="s">
        <v>168</v>
      </c>
      <c r="GHU73" s="263" t="s">
        <v>31</v>
      </c>
      <c r="GHV73" s="254"/>
      <c r="GHW73" s="254"/>
      <c r="GHX73" s="264">
        <v>5.7000000000000002E-2</v>
      </c>
      <c r="GHY73" s="193"/>
      <c r="GHZ73" s="263" t="s">
        <v>2</v>
      </c>
      <c r="GIA73" s="193"/>
      <c r="GIB73" s="255" t="s">
        <v>168</v>
      </c>
      <c r="GIC73" s="263" t="s">
        <v>31</v>
      </c>
      <c r="GID73" s="254"/>
      <c r="GIE73" s="254"/>
      <c r="GIF73" s="264">
        <v>5.7000000000000002E-2</v>
      </c>
      <c r="GIG73" s="193"/>
      <c r="GIH73" s="263" t="s">
        <v>2</v>
      </c>
      <c r="GII73" s="193"/>
      <c r="GIJ73" s="255" t="s">
        <v>168</v>
      </c>
      <c r="GIK73" s="263" t="s">
        <v>31</v>
      </c>
      <c r="GIL73" s="254"/>
      <c r="GIM73" s="254"/>
      <c r="GIN73" s="264">
        <v>5.7000000000000002E-2</v>
      </c>
      <c r="GIO73" s="193"/>
      <c r="GIP73" s="263" t="s">
        <v>2</v>
      </c>
      <c r="GIQ73" s="193"/>
      <c r="GIR73" s="255" t="s">
        <v>168</v>
      </c>
      <c r="GIS73" s="263" t="s">
        <v>31</v>
      </c>
      <c r="GIT73" s="254"/>
      <c r="GIU73" s="254"/>
      <c r="GIV73" s="264">
        <v>5.7000000000000002E-2</v>
      </c>
      <c r="GIW73" s="193"/>
      <c r="GIX73" s="263" t="s">
        <v>2</v>
      </c>
      <c r="GIY73" s="193"/>
      <c r="GIZ73" s="255" t="s">
        <v>168</v>
      </c>
      <c r="GJA73" s="263" t="s">
        <v>31</v>
      </c>
      <c r="GJB73" s="254"/>
      <c r="GJC73" s="254"/>
      <c r="GJD73" s="264">
        <v>5.7000000000000002E-2</v>
      </c>
      <c r="GJE73" s="193"/>
      <c r="GJF73" s="263" t="s">
        <v>2</v>
      </c>
      <c r="GJG73" s="193"/>
      <c r="GJH73" s="255" t="s">
        <v>168</v>
      </c>
      <c r="GJI73" s="263" t="s">
        <v>31</v>
      </c>
      <c r="GJJ73" s="254"/>
      <c r="GJK73" s="254"/>
      <c r="GJL73" s="264">
        <v>5.7000000000000002E-2</v>
      </c>
      <c r="GJM73" s="193"/>
      <c r="GJN73" s="263" t="s">
        <v>2</v>
      </c>
      <c r="GJO73" s="193"/>
      <c r="GJP73" s="255" t="s">
        <v>168</v>
      </c>
      <c r="GJQ73" s="263" t="s">
        <v>31</v>
      </c>
      <c r="GJR73" s="254"/>
      <c r="GJS73" s="254"/>
      <c r="GJT73" s="264">
        <v>5.7000000000000002E-2</v>
      </c>
      <c r="GJU73" s="193"/>
      <c r="GJV73" s="263" t="s">
        <v>2</v>
      </c>
      <c r="GJW73" s="193"/>
      <c r="GJX73" s="255" t="s">
        <v>168</v>
      </c>
      <c r="GJY73" s="263" t="s">
        <v>31</v>
      </c>
      <c r="GJZ73" s="254"/>
      <c r="GKA73" s="254"/>
      <c r="GKB73" s="264">
        <v>5.7000000000000002E-2</v>
      </c>
      <c r="GKC73" s="193"/>
      <c r="GKD73" s="263" t="s">
        <v>2</v>
      </c>
      <c r="GKE73" s="193"/>
      <c r="GKF73" s="255" t="s">
        <v>168</v>
      </c>
      <c r="GKG73" s="263" t="s">
        <v>31</v>
      </c>
      <c r="GKH73" s="254"/>
      <c r="GKI73" s="254"/>
      <c r="GKJ73" s="264">
        <v>5.7000000000000002E-2</v>
      </c>
      <c r="GKK73" s="193"/>
      <c r="GKL73" s="263" t="s">
        <v>2</v>
      </c>
      <c r="GKM73" s="193"/>
      <c r="GKN73" s="255" t="s">
        <v>168</v>
      </c>
      <c r="GKO73" s="263" t="s">
        <v>31</v>
      </c>
      <c r="GKP73" s="254"/>
      <c r="GKQ73" s="254"/>
      <c r="GKR73" s="264">
        <v>5.7000000000000002E-2</v>
      </c>
      <c r="GKS73" s="193"/>
      <c r="GKT73" s="263" t="s">
        <v>2</v>
      </c>
      <c r="GKU73" s="193"/>
      <c r="GKV73" s="255" t="s">
        <v>168</v>
      </c>
      <c r="GKW73" s="263" t="s">
        <v>31</v>
      </c>
      <c r="GKX73" s="254"/>
      <c r="GKY73" s="254"/>
      <c r="GKZ73" s="264">
        <v>5.7000000000000002E-2</v>
      </c>
      <c r="GLA73" s="193"/>
      <c r="GLB73" s="263" t="s">
        <v>2</v>
      </c>
      <c r="GLC73" s="193"/>
      <c r="GLD73" s="255" t="s">
        <v>168</v>
      </c>
      <c r="GLE73" s="263" t="s">
        <v>31</v>
      </c>
      <c r="GLF73" s="254"/>
      <c r="GLG73" s="254"/>
      <c r="GLH73" s="264">
        <v>5.7000000000000002E-2</v>
      </c>
      <c r="GLI73" s="193"/>
      <c r="GLJ73" s="263" t="s">
        <v>2</v>
      </c>
      <c r="GLK73" s="193"/>
      <c r="GLL73" s="255" t="s">
        <v>168</v>
      </c>
      <c r="GLM73" s="263" t="s">
        <v>31</v>
      </c>
      <c r="GLN73" s="254"/>
      <c r="GLO73" s="254"/>
      <c r="GLP73" s="264">
        <v>5.7000000000000002E-2</v>
      </c>
      <c r="GLQ73" s="193"/>
      <c r="GLR73" s="263" t="s">
        <v>2</v>
      </c>
      <c r="GLS73" s="193"/>
      <c r="GLT73" s="255" t="s">
        <v>168</v>
      </c>
      <c r="GLU73" s="263" t="s">
        <v>31</v>
      </c>
      <c r="GLV73" s="254"/>
      <c r="GLW73" s="254"/>
      <c r="GLX73" s="264">
        <v>5.7000000000000002E-2</v>
      </c>
      <c r="GLY73" s="193"/>
      <c r="GLZ73" s="263" t="s">
        <v>2</v>
      </c>
      <c r="GMA73" s="193"/>
      <c r="GMB73" s="255" t="s">
        <v>168</v>
      </c>
      <c r="GMC73" s="263" t="s">
        <v>31</v>
      </c>
      <c r="GMD73" s="254"/>
      <c r="GME73" s="254"/>
      <c r="GMF73" s="264">
        <v>5.7000000000000002E-2</v>
      </c>
      <c r="GMG73" s="193"/>
      <c r="GMH73" s="263" t="s">
        <v>2</v>
      </c>
      <c r="GMI73" s="193"/>
      <c r="GMJ73" s="255" t="s">
        <v>168</v>
      </c>
      <c r="GMK73" s="263" t="s">
        <v>31</v>
      </c>
      <c r="GML73" s="254"/>
      <c r="GMM73" s="254"/>
      <c r="GMN73" s="264">
        <v>5.7000000000000002E-2</v>
      </c>
      <c r="GMO73" s="193"/>
      <c r="GMP73" s="263" t="s">
        <v>2</v>
      </c>
      <c r="GMQ73" s="193"/>
      <c r="GMR73" s="255" t="s">
        <v>168</v>
      </c>
      <c r="GMS73" s="263" t="s">
        <v>31</v>
      </c>
      <c r="GMT73" s="254"/>
      <c r="GMU73" s="254"/>
      <c r="GMV73" s="264">
        <v>5.7000000000000002E-2</v>
      </c>
      <c r="GMW73" s="193"/>
      <c r="GMX73" s="263" t="s">
        <v>2</v>
      </c>
      <c r="GMY73" s="193"/>
      <c r="GMZ73" s="255" t="s">
        <v>168</v>
      </c>
      <c r="GNA73" s="263" t="s">
        <v>31</v>
      </c>
      <c r="GNB73" s="254"/>
      <c r="GNC73" s="254"/>
      <c r="GND73" s="264">
        <v>5.7000000000000002E-2</v>
      </c>
      <c r="GNE73" s="193"/>
      <c r="GNF73" s="263" t="s">
        <v>2</v>
      </c>
      <c r="GNG73" s="193"/>
      <c r="GNH73" s="255" t="s">
        <v>168</v>
      </c>
      <c r="GNI73" s="263" t="s">
        <v>31</v>
      </c>
      <c r="GNJ73" s="254"/>
      <c r="GNK73" s="254"/>
      <c r="GNL73" s="264">
        <v>5.7000000000000002E-2</v>
      </c>
      <c r="GNM73" s="193"/>
      <c r="GNN73" s="263" t="s">
        <v>2</v>
      </c>
      <c r="GNO73" s="193"/>
      <c r="GNP73" s="255" t="s">
        <v>168</v>
      </c>
      <c r="GNQ73" s="263" t="s">
        <v>31</v>
      </c>
      <c r="GNR73" s="254"/>
      <c r="GNS73" s="254"/>
      <c r="GNT73" s="264">
        <v>5.7000000000000002E-2</v>
      </c>
      <c r="GNU73" s="193"/>
      <c r="GNV73" s="263" t="s">
        <v>2</v>
      </c>
      <c r="GNW73" s="193"/>
      <c r="GNX73" s="255" t="s">
        <v>168</v>
      </c>
      <c r="GNY73" s="263" t="s">
        <v>31</v>
      </c>
      <c r="GNZ73" s="254"/>
      <c r="GOA73" s="254"/>
      <c r="GOB73" s="264">
        <v>5.7000000000000002E-2</v>
      </c>
      <c r="GOC73" s="193"/>
      <c r="GOD73" s="263" t="s">
        <v>2</v>
      </c>
      <c r="GOE73" s="193"/>
      <c r="GOF73" s="255" t="s">
        <v>168</v>
      </c>
      <c r="GOG73" s="263" t="s">
        <v>31</v>
      </c>
      <c r="GOH73" s="254"/>
      <c r="GOI73" s="254"/>
      <c r="GOJ73" s="264">
        <v>5.7000000000000002E-2</v>
      </c>
      <c r="GOK73" s="193"/>
      <c r="GOL73" s="263" t="s">
        <v>2</v>
      </c>
      <c r="GOM73" s="193"/>
      <c r="GON73" s="255" t="s">
        <v>168</v>
      </c>
      <c r="GOO73" s="263" t="s">
        <v>31</v>
      </c>
      <c r="GOP73" s="254"/>
      <c r="GOQ73" s="254"/>
      <c r="GOR73" s="264">
        <v>5.7000000000000002E-2</v>
      </c>
      <c r="GOS73" s="193"/>
      <c r="GOT73" s="263" t="s">
        <v>2</v>
      </c>
      <c r="GOU73" s="193"/>
      <c r="GOV73" s="255" t="s">
        <v>168</v>
      </c>
      <c r="GOW73" s="263" t="s">
        <v>31</v>
      </c>
      <c r="GOX73" s="254"/>
      <c r="GOY73" s="254"/>
      <c r="GOZ73" s="264">
        <v>5.7000000000000002E-2</v>
      </c>
      <c r="GPA73" s="193"/>
      <c r="GPB73" s="263" t="s">
        <v>2</v>
      </c>
      <c r="GPC73" s="193"/>
      <c r="GPD73" s="255" t="s">
        <v>168</v>
      </c>
      <c r="GPE73" s="263" t="s">
        <v>31</v>
      </c>
      <c r="GPF73" s="254"/>
      <c r="GPG73" s="254"/>
      <c r="GPH73" s="264">
        <v>5.7000000000000002E-2</v>
      </c>
      <c r="GPI73" s="193"/>
      <c r="GPJ73" s="263" t="s">
        <v>2</v>
      </c>
      <c r="GPK73" s="193"/>
      <c r="GPL73" s="255" t="s">
        <v>168</v>
      </c>
      <c r="GPM73" s="263" t="s">
        <v>31</v>
      </c>
      <c r="GPN73" s="254"/>
      <c r="GPO73" s="254"/>
      <c r="GPP73" s="264">
        <v>5.7000000000000002E-2</v>
      </c>
      <c r="GPQ73" s="193"/>
      <c r="GPR73" s="263" t="s">
        <v>2</v>
      </c>
      <c r="GPS73" s="193"/>
      <c r="GPT73" s="255" t="s">
        <v>168</v>
      </c>
      <c r="GPU73" s="263" t="s">
        <v>31</v>
      </c>
      <c r="GPV73" s="254"/>
      <c r="GPW73" s="254"/>
      <c r="GPX73" s="264">
        <v>5.7000000000000002E-2</v>
      </c>
      <c r="GPY73" s="193"/>
      <c r="GPZ73" s="263" t="s">
        <v>2</v>
      </c>
      <c r="GQA73" s="193"/>
      <c r="GQB73" s="255" t="s">
        <v>168</v>
      </c>
      <c r="GQC73" s="263" t="s">
        <v>31</v>
      </c>
      <c r="GQD73" s="254"/>
      <c r="GQE73" s="254"/>
      <c r="GQF73" s="264">
        <v>5.7000000000000002E-2</v>
      </c>
      <c r="GQG73" s="193"/>
      <c r="GQH73" s="263" t="s">
        <v>2</v>
      </c>
      <c r="GQI73" s="193"/>
      <c r="GQJ73" s="255" t="s">
        <v>168</v>
      </c>
      <c r="GQK73" s="263" t="s">
        <v>31</v>
      </c>
      <c r="GQL73" s="254"/>
      <c r="GQM73" s="254"/>
      <c r="GQN73" s="264">
        <v>5.7000000000000002E-2</v>
      </c>
      <c r="GQO73" s="193"/>
      <c r="GQP73" s="263" t="s">
        <v>2</v>
      </c>
      <c r="GQQ73" s="193"/>
      <c r="GQR73" s="255" t="s">
        <v>168</v>
      </c>
      <c r="GQS73" s="263" t="s">
        <v>31</v>
      </c>
      <c r="GQT73" s="254"/>
      <c r="GQU73" s="254"/>
      <c r="GQV73" s="264">
        <v>5.7000000000000002E-2</v>
      </c>
      <c r="GQW73" s="193"/>
      <c r="GQX73" s="263" t="s">
        <v>2</v>
      </c>
      <c r="GQY73" s="193"/>
      <c r="GQZ73" s="255" t="s">
        <v>168</v>
      </c>
      <c r="GRA73" s="263" t="s">
        <v>31</v>
      </c>
      <c r="GRB73" s="254"/>
      <c r="GRC73" s="254"/>
      <c r="GRD73" s="264">
        <v>5.7000000000000002E-2</v>
      </c>
      <c r="GRE73" s="193"/>
      <c r="GRF73" s="263" t="s">
        <v>2</v>
      </c>
      <c r="GRG73" s="193"/>
      <c r="GRH73" s="255" t="s">
        <v>168</v>
      </c>
      <c r="GRI73" s="263" t="s">
        <v>31</v>
      </c>
      <c r="GRJ73" s="254"/>
      <c r="GRK73" s="254"/>
      <c r="GRL73" s="264">
        <v>5.7000000000000002E-2</v>
      </c>
      <c r="GRM73" s="193"/>
      <c r="GRN73" s="263" t="s">
        <v>2</v>
      </c>
      <c r="GRO73" s="193"/>
      <c r="GRP73" s="255" t="s">
        <v>168</v>
      </c>
      <c r="GRQ73" s="263" t="s">
        <v>31</v>
      </c>
      <c r="GRR73" s="254"/>
      <c r="GRS73" s="254"/>
      <c r="GRT73" s="264">
        <v>5.7000000000000002E-2</v>
      </c>
      <c r="GRU73" s="193"/>
      <c r="GRV73" s="263" t="s">
        <v>2</v>
      </c>
      <c r="GRW73" s="193"/>
      <c r="GRX73" s="255" t="s">
        <v>168</v>
      </c>
      <c r="GRY73" s="263" t="s">
        <v>31</v>
      </c>
      <c r="GRZ73" s="254"/>
      <c r="GSA73" s="254"/>
      <c r="GSB73" s="264">
        <v>5.7000000000000002E-2</v>
      </c>
      <c r="GSC73" s="193"/>
      <c r="GSD73" s="263" t="s">
        <v>2</v>
      </c>
      <c r="GSE73" s="193"/>
      <c r="GSF73" s="255" t="s">
        <v>168</v>
      </c>
      <c r="GSG73" s="263" t="s">
        <v>31</v>
      </c>
      <c r="GSH73" s="254"/>
      <c r="GSI73" s="254"/>
      <c r="GSJ73" s="264">
        <v>5.7000000000000002E-2</v>
      </c>
      <c r="GSK73" s="193"/>
      <c r="GSL73" s="263" t="s">
        <v>2</v>
      </c>
      <c r="GSM73" s="193"/>
      <c r="GSN73" s="255" t="s">
        <v>168</v>
      </c>
      <c r="GSO73" s="263" t="s">
        <v>31</v>
      </c>
      <c r="GSP73" s="254"/>
      <c r="GSQ73" s="254"/>
      <c r="GSR73" s="264">
        <v>5.7000000000000002E-2</v>
      </c>
      <c r="GSS73" s="193"/>
      <c r="GST73" s="263" t="s">
        <v>2</v>
      </c>
      <c r="GSU73" s="193"/>
      <c r="GSV73" s="255" t="s">
        <v>168</v>
      </c>
      <c r="GSW73" s="263" t="s">
        <v>31</v>
      </c>
      <c r="GSX73" s="254"/>
      <c r="GSY73" s="254"/>
      <c r="GSZ73" s="264">
        <v>5.7000000000000002E-2</v>
      </c>
      <c r="GTA73" s="193"/>
      <c r="GTB73" s="263" t="s">
        <v>2</v>
      </c>
      <c r="GTC73" s="193"/>
      <c r="GTD73" s="255" t="s">
        <v>168</v>
      </c>
      <c r="GTE73" s="263" t="s">
        <v>31</v>
      </c>
      <c r="GTF73" s="254"/>
      <c r="GTG73" s="254"/>
      <c r="GTH73" s="264">
        <v>5.7000000000000002E-2</v>
      </c>
      <c r="GTI73" s="193"/>
      <c r="GTJ73" s="263" t="s">
        <v>2</v>
      </c>
      <c r="GTK73" s="193"/>
      <c r="GTL73" s="255" t="s">
        <v>168</v>
      </c>
      <c r="GTM73" s="263" t="s">
        <v>31</v>
      </c>
      <c r="GTN73" s="254"/>
      <c r="GTO73" s="254"/>
      <c r="GTP73" s="264">
        <v>5.7000000000000002E-2</v>
      </c>
      <c r="GTQ73" s="193"/>
      <c r="GTR73" s="263" t="s">
        <v>2</v>
      </c>
      <c r="GTS73" s="193"/>
      <c r="GTT73" s="255" t="s">
        <v>168</v>
      </c>
      <c r="GTU73" s="263" t="s">
        <v>31</v>
      </c>
      <c r="GTV73" s="254"/>
      <c r="GTW73" s="254"/>
      <c r="GTX73" s="264">
        <v>5.7000000000000002E-2</v>
      </c>
      <c r="GTY73" s="193"/>
      <c r="GTZ73" s="263" t="s">
        <v>2</v>
      </c>
      <c r="GUA73" s="193"/>
      <c r="GUB73" s="255" t="s">
        <v>168</v>
      </c>
      <c r="GUC73" s="263" t="s">
        <v>31</v>
      </c>
      <c r="GUD73" s="254"/>
      <c r="GUE73" s="254"/>
      <c r="GUF73" s="264">
        <v>5.7000000000000002E-2</v>
      </c>
      <c r="GUG73" s="193"/>
      <c r="GUH73" s="263" t="s">
        <v>2</v>
      </c>
      <c r="GUI73" s="193"/>
      <c r="GUJ73" s="255" t="s">
        <v>168</v>
      </c>
      <c r="GUK73" s="263" t="s">
        <v>31</v>
      </c>
      <c r="GUL73" s="254"/>
      <c r="GUM73" s="254"/>
      <c r="GUN73" s="264">
        <v>5.7000000000000002E-2</v>
      </c>
      <c r="GUO73" s="193"/>
      <c r="GUP73" s="263" t="s">
        <v>2</v>
      </c>
      <c r="GUQ73" s="193"/>
      <c r="GUR73" s="255" t="s">
        <v>168</v>
      </c>
      <c r="GUS73" s="263" t="s">
        <v>31</v>
      </c>
      <c r="GUT73" s="254"/>
      <c r="GUU73" s="254"/>
      <c r="GUV73" s="264">
        <v>5.7000000000000002E-2</v>
      </c>
      <c r="GUW73" s="193"/>
      <c r="GUX73" s="263" t="s">
        <v>2</v>
      </c>
      <c r="GUY73" s="193"/>
      <c r="GUZ73" s="255" t="s">
        <v>168</v>
      </c>
      <c r="GVA73" s="263" t="s">
        <v>31</v>
      </c>
      <c r="GVB73" s="254"/>
      <c r="GVC73" s="254"/>
      <c r="GVD73" s="264">
        <v>5.7000000000000002E-2</v>
      </c>
      <c r="GVE73" s="193"/>
      <c r="GVF73" s="263" t="s">
        <v>2</v>
      </c>
      <c r="GVG73" s="193"/>
      <c r="GVH73" s="255" t="s">
        <v>168</v>
      </c>
      <c r="GVI73" s="263" t="s">
        <v>31</v>
      </c>
      <c r="GVJ73" s="254"/>
      <c r="GVK73" s="254"/>
      <c r="GVL73" s="264">
        <v>5.7000000000000002E-2</v>
      </c>
      <c r="GVM73" s="193"/>
      <c r="GVN73" s="263" t="s">
        <v>2</v>
      </c>
      <c r="GVO73" s="193"/>
      <c r="GVP73" s="255" t="s">
        <v>168</v>
      </c>
      <c r="GVQ73" s="263" t="s">
        <v>31</v>
      </c>
      <c r="GVR73" s="254"/>
      <c r="GVS73" s="254"/>
      <c r="GVT73" s="264">
        <v>5.7000000000000002E-2</v>
      </c>
      <c r="GVU73" s="193"/>
      <c r="GVV73" s="263" t="s">
        <v>2</v>
      </c>
      <c r="GVW73" s="193"/>
      <c r="GVX73" s="255" t="s">
        <v>168</v>
      </c>
      <c r="GVY73" s="263" t="s">
        <v>31</v>
      </c>
      <c r="GVZ73" s="254"/>
      <c r="GWA73" s="254"/>
      <c r="GWB73" s="264">
        <v>5.7000000000000002E-2</v>
      </c>
      <c r="GWC73" s="193"/>
      <c r="GWD73" s="263" t="s">
        <v>2</v>
      </c>
      <c r="GWE73" s="193"/>
      <c r="GWF73" s="255" t="s">
        <v>168</v>
      </c>
      <c r="GWG73" s="263" t="s">
        <v>31</v>
      </c>
      <c r="GWH73" s="254"/>
      <c r="GWI73" s="254"/>
      <c r="GWJ73" s="264">
        <v>5.7000000000000002E-2</v>
      </c>
      <c r="GWK73" s="193"/>
      <c r="GWL73" s="263" t="s">
        <v>2</v>
      </c>
      <c r="GWM73" s="193"/>
      <c r="GWN73" s="255" t="s">
        <v>168</v>
      </c>
      <c r="GWO73" s="263" t="s">
        <v>31</v>
      </c>
      <c r="GWP73" s="254"/>
      <c r="GWQ73" s="254"/>
      <c r="GWR73" s="264">
        <v>5.7000000000000002E-2</v>
      </c>
      <c r="GWS73" s="193"/>
      <c r="GWT73" s="263" t="s">
        <v>2</v>
      </c>
      <c r="GWU73" s="193"/>
      <c r="GWV73" s="255" t="s">
        <v>168</v>
      </c>
      <c r="GWW73" s="263" t="s">
        <v>31</v>
      </c>
      <c r="GWX73" s="254"/>
      <c r="GWY73" s="254"/>
      <c r="GWZ73" s="264">
        <v>5.7000000000000002E-2</v>
      </c>
      <c r="GXA73" s="193"/>
      <c r="GXB73" s="263" t="s">
        <v>2</v>
      </c>
      <c r="GXC73" s="193"/>
      <c r="GXD73" s="255" t="s">
        <v>168</v>
      </c>
      <c r="GXE73" s="263" t="s">
        <v>31</v>
      </c>
      <c r="GXF73" s="254"/>
      <c r="GXG73" s="254"/>
      <c r="GXH73" s="264">
        <v>5.7000000000000002E-2</v>
      </c>
      <c r="GXI73" s="193"/>
      <c r="GXJ73" s="263" t="s">
        <v>2</v>
      </c>
      <c r="GXK73" s="193"/>
      <c r="GXL73" s="255" t="s">
        <v>168</v>
      </c>
      <c r="GXM73" s="263" t="s">
        <v>31</v>
      </c>
      <c r="GXN73" s="254"/>
      <c r="GXO73" s="254"/>
      <c r="GXP73" s="264">
        <v>5.7000000000000002E-2</v>
      </c>
      <c r="GXQ73" s="193"/>
      <c r="GXR73" s="263" t="s">
        <v>2</v>
      </c>
      <c r="GXS73" s="193"/>
      <c r="GXT73" s="255" t="s">
        <v>168</v>
      </c>
      <c r="GXU73" s="263" t="s">
        <v>31</v>
      </c>
      <c r="GXV73" s="254"/>
      <c r="GXW73" s="254"/>
      <c r="GXX73" s="264">
        <v>5.7000000000000002E-2</v>
      </c>
      <c r="GXY73" s="193"/>
      <c r="GXZ73" s="263" t="s">
        <v>2</v>
      </c>
      <c r="GYA73" s="193"/>
      <c r="GYB73" s="255" t="s">
        <v>168</v>
      </c>
      <c r="GYC73" s="263" t="s">
        <v>31</v>
      </c>
      <c r="GYD73" s="254"/>
      <c r="GYE73" s="254"/>
      <c r="GYF73" s="264">
        <v>5.7000000000000002E-2</v>
      </c>
      <c r="GYG73" s="193"/>
      <c r="GYH73" s="263" t="s">
        <v>2</v>
      </c>
      <c r="GYI73" s="193"/>
      <c r="GYJ73" s="255" t="s">
        <v>168</v>
      </c>
      <c r="GYK73" s="263" t="s">
        <v>31</v>
      </c>
      <c r="GYL73" s="254"/>
      <c r="GYM73" s="254"/>
      <c r="GYN73" s="264">
        <v>5.7000000000000002E-2</v>
      </c>
      <c r="GYO73" s="193"/>
      <c r="GYP73" s="263" t="s">
        <v>2</v>
      </c>
      <c r="GYQ73" s="193"/>
      <c r="GYR73" s="255" t="s">
        <v>168</v>
      </c>
      <c r="GYS73" s="263" t="s">
        <v>31</v>
      </c>
      <c r="GYT73" s="254"/>
      <c r="GYU73" s="254"/>
      <c r="GYV73" s="264">
        <v>5.7000000000000002E-2</v>
      </c>
      <c r="GYW73" s="193"/>
      <c r="GYX73" s="263" t="s">
        <v>2</v>
      </c>
      <c r="GYY73" s="193"/>
      <c r="GYZ73" s="255" t="s">
        <v>168</v>
      </c>
      <c r="GZA73" s="263" t="s">
        <v>31</v>
      </c>
      <c r="GZB73" s="254"/>
      <c r="GZC73" s="254"/>
      <c r="GZD73" s="264">
        <v>5.7000000000000002E-2</v>
      </c>
      <c r="GZE73" s="193"/>
      <c r="GZF73" s="263" t="s">
        <v>2</v>
      </c>
      <c r="GZG73" s="193"/>
      <c r="GZH73" s="255" t="s">
        <v>168</v>
      </c>
      <c r="GZI73" s="263" t="s">
        <v>31</v>
      </c>
      <c r="GZJ73" s="254"/>
      <c r="GZK73" s="254"/>
      <c r="GZL73" s="264">
        <v>5.7000000000000002E-2</v>
      </c>
      <c r="GZM73" s="193"/>
      <c r="GZN73" s="263" t="s">
        <v>2</v>
      </c>
      <c r="GZO73" s="193"/>
      <c r="GZP73" s="255" t="s">
        <v>168</v>
      </c>
      <c r="GZQ73" s="263" t="s">
        <v>31</v>
      </c>
      <c r="GZR73" s="254"/>
      <c r="GZS73" s="254"/>
      <c r="GZT73" s="264">
        <v>5.7000000000000002E-2</v>
      </c>
      <c r="GZU73" s="193"/>
      <c r="GZV73" s="263" t="s">
        <v>2</v>
      </c>
      <c r="GZW73" s="193"/>
      <c r="GZX73" s="255" t="s">
        <v>168</v>
      </c>
      <c r="GZY73" s="263" t="s">
        <v>31</v>
      </c>
      <c r="GZZ73" s="254"/>
      <c r="HAA73" s="254"/>
      <c r="HAB73" s="264">
        <v>5.7000000000000002E-2</v>
      </c>
      <c r="HAC73" s="193"/>
      <c r="HAD73" s="263" t="s">
        <v>2</v>
      </c>
      <c r="HAE73" s="193"/>
      <c r="HAF73" s="255" t="s">
        <v>168</v>
      </c>
      <c r="HAG73" s="263" t="s">
        <v>31</v>
      </c>
      <c r="HAH73" s="254"/>
      <c r="HAI73" s="254"/>
      <c r="HAJ73" s="264">
        <v>5.7000000000000002E-2</v>
      </c>
      <c r="HAK73" s="193"/>
      <c r="HAL73" s="263" t="s">
        <v>2</v>
      </c>
      <c r="HAM73" s="193"/>
      <c r="HAN73" s="255" t="s">
        <v>168</v>
      </c>
      <c r="HAO73" s="263" t="s">
        <v>31</v>
      </c>
      <c r="HAP73" s="254"/>
      <c r="HAQ73" s="254"/>
      <c r="HAR73" s="264">
        <v>5.7000000000000002E-2</v>
      </c>
      <c r="HAS73" s="193"/>
      <c r="HAT73" s="263" t="s">
        <v>2</v>
      </c>
      <c r="HAU73" s="193"/>
      <c r="HAV73" s="255" t="s">
        <v>168</v>
      </c>
      <c r="HAW73" s="263" t="s">
        <v>31</v>
      </c>
      <c r="HAX73" s="254"/>
      <c r="HAY73" s="254"/>
      <c r="HAZ73" s="264">
        <v>5.7000000000000002E-2</v>
      </c>
      <c r="HBA73" s="193"/>
      <c r="HBB73" s="263" t="s">
        <v>2</v>
      </c>
      <c r="HBC73" s="193"/>
      <c r="HBD73" s="255" t="s">
        <v>168</v>
      </c>
      <c r="HBE73" s="263" t="s">
        <v>31</v>
      </c>
      <c r="HBF73" s="254"/>
      <c r="HBG73" s="254"/>
      <c r="HBH73" s="264">
        <v>5.7000000000000002E-2</v>
      </c>
      <c r="HBI73" s="193"/>
      <c r="HBJ73" s="263" t="s">
        <v>2</v>
      </c>
      <c r="HBK73" s="193"/>
      <c r="HBL73" s="255" t="s">
        <v>168</v>
      </c>
      <c r="HBM73" s="263" t="s">
        <v>31</v>
      </c>
      <c r="HBN73" s="254"/>
      <c r="HBO73" s="254"/>
      <c r="HBP73" s="264">
        <v>5.7000000000000002E-2</v>
      </c>
      <c r="HBQ73" s="193"/>
      <c r="HBR73" s="263" t="s">
        <v>2</v>
      </c>
      <c r="HBS73" s="193"/>
      <c r="HBT73" s="255" t="s">
        <v>168</v>
      </c>
      <c r="HBU73" s="263" t="s">
        <v>31</v>
      </c>
      <c r="HBV73" s="254"/>
      <c r="HBW73" s="254"/>
      <c r="HBX73" s="264">
        <v>5.7000000000000002E-2</v>
      </c>
      <c r="HBY73" s="193"/>
      <c r="HBZ73" s="263" t="s">
        <v>2</v>
      </c>
      <c r="HCA73" s="193"/>
      <c r="HCB73" s="255" t="s">
        <v>168</v>
      </c>
      <c r="HCC73" s="263" t="s">
        <v>31</v>
      </c>
      <c r="HCD73" s="254"/>
      <c r="HCE73" s="254"/>
      <c r="HCF73" s="264">
        <v>5.7000000000000002E-2</v>
      </c>
      <c r="HCG73" s="193"/>
      <c r="HCH73" s="263" t="s">
        <v>2</v>
      </c>
      <c r="HCI73" s="193"/>
      <c r="HCJ73" s="255" t="s">
        <v>168</v>
      </c>
      <c r="HCK73" s="263" t="s">
        <v>31</v>
      </c>
      <c r="HCL73" s="254"/>
      <c r="HCM73" s="254"/>
      <c r="HCN73" s="264">
        <v>5.7000000000000002E-2</v>
      </c>
      <c r="HCO73" s="193"/>
      <c r="HCP73" s="263" t="s">
        <v>2</v>
      </c>
      <c r="HCQ73" s="193"/>
      <c r="HCR73" s="255" t="s">
        <v>168</v>
      </c>
      <c r="HCS73" s="263" t="s">
        <v>31</v>
      </c>
      <c r="HCT73" s="254"/>
      <c r="HCU73" s="254"/>
      <c r="HCV73" s="264">
        <v>5.7000000000000002E-2</v>
      </c>
      <c r="HCW73" s="193"/>
      <c r="HCX73" s="263" t="s">
        <v>2</v>
      </c>
      <c r="HCY73" s="193"/>
      <c r="HCZ73" s="255" t="s">
        <v>168</v>
      </c>
      <c r="HDA73" s="263" t="s">
        <v>31</v>
      </c>
      <c r="HDB73" s="254"/>
      <c r="HDC73" s="254"/>
      <c r="HDD73" s="264">
        <v>5.7000000000000002E-2</v>
      </c>
      <c r="HDE73" s="193"/>
      <c r="HDF73" s="263" t="s">
        <v>2</v>
      </c>
      <c r="HDG73" s="193"/>
      <c r="HDH73" s="255" t="s">
        <v>168</v>
      </c>
      <c r="HDI73" s="263" t="s">
        <v>31</v>
      </c>
      <c r="HDJ73" s="254"/>
      <c r="HDK73" s="254"/>
      <c r="HDL73" s="264">
        <v>5.7000000000000002E-2</v>
      </c>
      <c r="HDM73" s="193"/>
      <c r="HDN73" s="263" t="s">
        <v>2</v>
      </c>
      <c r="HDO73" s="193"/>
      <c r="HDP73" s="255" t="s">
        <v>168</v>
      </c>
      <c r="HDQ73" s="263" t="s">
        <v>31</v>
      </c>
      <c r="HDR73" s="254"/>
      <c r="HDS73" s="254"/>
      <c r="HDT73" s="264">
        <v>5.7000000000000002E-2</v>
      </c>
      <c r="HDU73" s="193"/>
      <c r="HDV73" s="263" t="s">
        <v>2</v>
      </c>
      <c r="HDW73" s="193"/>
      <c r="HDX73" s="255" t="s">
        <v>168</v>
      </c>
      <c r="HDY73" s="263" t="s">
        <v>31</v>
      </c>
      <c r="HDZ73" s="254"/>
      <c r="HEA73" s="254"/>
      <c r="HEB73" s="264">
        <v>5.7000000000000002E-2</v>
      </c>
      <c r="HEC73" s="193"/>
      <c r="HED73" s="263" t="s">
        <v>2</v>
      </c>
      <c r="HEE73" s="193"/>
      <c r="HEF73" s="255" t="s">
        <v>168</v>
      </c>
      <c r="HEG73" s="263" t="s">
        <v>31</v>
      </c>
      <c r="HEH73" s="254"/>
      <c r="HEI73" s="254"/>
      <c r="HEJ73" s="264">
        <v>5.7000000000000002E-2</v>
      </c>
      <c r="HEK73" s="193"/>
      <c r="HEL73" s="263" t="s">
        <v>2</v>
      </c>
      <c r="HEM73" s="193"/>
      <c r="HEN73" s="255" t="s">
        <v>168</v>
      </c>
      <c r="HEO73" s="263" t="s">
        <v>31</v>
      </c>
      <c r="HEP73" s="254"/>
      <c r="HEQ73" s="254"/>
      <c r="HER73" s="264">
        <v>5.7000000000000002E-2</v>
      </c>
      <c r="HES73" s="193"/>
      <c r="HET73" s="263" t="s">
        <v>2</v>
      </c>
      <c r="HEU73" s="193"/>
      <c r="HEV73" s="255" t="s">
        <v>168</v>
      </c>
      <c r="HEW73" s="263" t="s">
        <v>31</v>
      </c>
      <c r="HEX73" s="254"/>
      <c r="HEY73" s="254"/>
      <c r="HEZ73" s="264">
        <v>5.7000000000000002E-2</v>
      </c>
      <c r="HFA73" s="193"/>
      <c r="HFB73" s="263" t="s">
        <v>2</v>
      </c>
      <c r="HFC73" s="193"/>
      <c r="HFD73" s="255" t="s">
        <v>168</v>
      </c>
      <c r="HFE73" s="263" t="s">
        <v>31</v>
      </c>
      <c r="HFF73" s="254"/>
      <c r="HFG73" s="254"/>
      <c r="HFH73" s="264">
        <v>5.7000000000000002E-2</v>
      </c>
      <c r="HFI73" s="193"/>
      <c r="HFJ73" s="263" t="s">
        <v>2</v>
      </c>
      <c r="HFK73" s="193"/>
      <c r="HFL73" s="255" t="s">
        <v>168</v>
      </c>
      <c r="HFM73" s="263" t="s">
        <v>31</v>
      </c>
      <c r="HFN73" s="254"/>
      <c r="HFO73" s="254"/>
      <c r="HFP73" s="264">
        <v>5.7000000000000002E-2</v>
      </c>
      <c r="HFQ73" s="193"/>
      <c r="HFR73" s="263" t="s">
        <v>2</v>
      </c>
      <c r="HFS73" s="193"/>
      <c r="HFT73" s="255" t="s">
        <v>168</v>
      </c>
      <c r="HFU73" s="263" t="s">
        <v>31</v>
      </c>
      <c r="HFV73" s="254"/>
      <c r="HFW73" s="254"/>
      <c r="HFX73" s="264">
        <v>5.7000000000000002E-2</v>
      </c>
      <c r="HFY73" s="193"/>
      <c r="HFZ73" s="263" t="s">
        <v>2</v>
      </c>
      <c r="HGA73" s="193"/>
      <c r="HGB73" s="255" t="s">
        <v>168</v>
      </c>
      <c r="HGC73" s="263" t="s">
        <v>31</v>
      </c>
      <c r="HGD73" s="254"/>
      <c r="HGE73" s="254"/>
      <c r="HGF73" s="264">
        <v>5.7000000000000002E-2</v>
      </c>
      <c r="HGG73" s="193"/>
      <c r="HGH73" s="263" t="s">
        <v>2</v>
      </c>
      <c r="HGI73" s="193"/>
      <c r="HGJ73" s="255" t="s">
        <v>168</v>
      </c>
      <c r="HGK73" s="263" t="s">
        <v>31</v>
      </c>
      <c r="HGL73" s="254"/>
      <c r="HGM73" s="254"/>
      <c r="HGN73" s="264">
        <v>5.7000000000000002E-2</v>
      </c>
      <c r="HGO73" s="193"/>
      <c r="HGP73" s="263" t="s">
        <v>2</v>
      </c>
      <c r="HGQ73" s="193"/>
      <c r="HGR73" s="255" t="s">
        <v>168</v>
      </c>
      <c r="HGS73" s="263" t="s">
        <v>31</v>
      </c>
      <c r="HGT73" s="254"/>
      <c r="HGU73" s="254"/>
      <c r="HGV73" s="264">
        <v>5.7000000000000002E-2</v>
      </c>
      <c r="HGW73" s="193"/>
      <c r="HGX73" s="263" t="s">
        <v>2</v>
      </c>
      <c r="HGY73" s="193"/>
      <c r="HGZ73" s="255" t="s">
        <v>168</v>
      </c>
      <c r="HHA73" s="263" t="s">
        <v>31</v>
      </c>
      <c r="HHB73" s="254"/>
      <c r="HHC73" s="254"/>
      <c r="HHD73" s="264">
        <v>5.7000000000000002E-2</v>
      </c>
      <c r="HHE73" s="193"/>
      <c r="HHF73" s="263" t="s">
        <v>2</v>
      </c>
      <c r="HHG73" s="193"/>
      <c r="HHH73" s="255" t="s">
        <v>168</v>
      </c>
      <c r="HHI73" s="263" t="s">
        <v>31</v>
      </c>
      <c r="HHJ73" s="254"/>
      <c r="HHK73" s="254"/>
      <c r="HHL73" s="264">
        <v>5.7000000000000002E-2</v>
      </c>
      <c r="HHM73" s="193"/>
      <c r="HHN73" s="263" t="s">
        <v>2</v>
      </c>
      <c r="HHO73" s="193"/>
      <c r="HHP73" s="255" t="s">
        <v>168</v>
      </c>
      <c r="HHQ73" s="263" t="s">
        <v>31</v>
      </c>
      <c r="HHR73" s="254"/>
      <c r="HHS73" s="254"/>
      <c r="HHT73" s="264">
        <v>5.7000000000000002E-2</v>
      </c>
      <c r="HHU73" s="193"/>
      <c r="HHV73" s="263" t="s">
        <v>2</v>
      </c>
      <c r="HHW73" s="193"/>
      <c r="HHX73" s="255" t="s">
        <v>168</v>
      </c>
      <c r="HHY73" s="263" t="s">
        <v>31</v>
      </c>
      <c r="HHZ73" s="254"/>
      <c r="HIA73" s="254"/>
      <c r="HIB73" s="264">
        <v>5.7000000000000002E-2</v>
      </c>
      <c r="HIC73" s="193"/>
      <c r="HID73" s="263" t="s">
        <v>2</v>
      </c>
      <c r="HIE73" s="193"/>
      <c r="HIF73" s="255" t="s">
        <v>168</v>
      </c>
      <c r="HIG73" s="263" t="s">
        <v>31</v>
      </c>
      <c r="HIH73" s="254"/>
      <c r="HII73" s="254"/>
      <c r="HIJ73" s="264">
        <v>5.7000000000000002E-2</v>
      </c>
      <c r="HIK73" s="193"/>
      <c r="HIL73" s="263" t="s">
        <v>2</v>
      </c>
      <c r="HIM73" s="193"/>
      <c r="HIN73" s="255" t="s">
        <v>168</v>
      </c>
      <c r="HIO73" s="263" t="s">
        <v>31</v>
      </c>
      <c r="HIP73" s="254"/>
      <c r="HIQ73" s="254"/>
      <c r="HIR73" s="264">
        <v>5.7000000000000002E-2</v>
      </c>
      <c r="HIS73" s="193"/>
      <c r="HIT73" s="263" t="s">
        <v>2</v>
      </c>
      <c r="HIU73" s="193"/>
      <c r="HIV73" s="255" t="s">
        <v>168</v>
      </c>
      <c r="HIW73" s="263" t="s">
        <v>31</v>
      </c>
      <c r="HIX73" s="254"/>
      <c r="HIY73" s="254"/>
      <c r="HIZ73" s="264">
        <v>5.7000000000000002E-2</v>
      </c>
      <c r="HJA73" s="193"/>
      <c r="HJB73" s="263" t="s">
        <v>2</v>
      </c>
      <c r="HJC73" s="193"/>
      <c r="HJD73" s="255" t="s">
        <v>168</v>
      </c>
      <c r="HJE73" s="263" t="s">
        <v>31</v>
      </c>
      <c r="HJF73" s="254"/>
      <c r="HJG73" s="254"/>
      <c r="HJH73" s="264">
        <v>5.7000000000000002E-2</v>
      </c>
      <c r="HJI73" s="193"/>
      <c r="HJJ73" s="263" t="s">
        <v>2</v>
      </c>
      <c r="HJK73" s="193"/>
      <c r="HJL73" s="255" t="s">
        <v>168</v>
      </c>
      <c r="HJM73" s="263" t="s">
        <v>31</v>
      </c>
      <c r="HJN73" s="254"/>
      <c r="HJO73" s="254"/>
      <c r="HJP73" s="264">
        <v>5.7000000000000002E-2</v>
      </c>
      <c r="HJQ73" s="193"/>
      <c r="HJR73" s="263" t="s">
        <v>2</v>
      </c>
      <c r="HJS73" s="193"/>
      <c r="HJT73" s="255" t="s">
        <v>168</v>
      </c>
      <c r="HJU73" s="263" t="s">
        <v>31</v>
      </c>
      <c r="HJV73" s="254"/>
      <c r="HJW73" s="254"/>
      <c r="HJX73" s="264">
        <v>5.7000000000000002E-2</v>
      </c>
      <c r="HJY73" s="193"/>
      <c r="HJZ73" s="263" t="s">
        <v>2</v>
      </c>
      <c r="HKA73" s="193"/>
      <c r="HKB73" s="255" t="s">
        <v>168</v>
      </c>
      <c r="HKC73" s="263" t="s">
        <v>31</v>
      </c>
      <c r="HKD73" s="254"/>
      <c r="HKE73" s="254"/>
      <c r="HKF73" s="264">
        <v>5.7000000000000002E-2</v>
      </c>
      <c r="HKG73" s="193"/>
      <c r="HKH73" s="263" t="s">
        <v>2</v>
      </c>
      <c r="HKI73" s="193"/>
      <c r="HKJ73" s="255" t="s">
        <v>168</v>
      </c>
      <c r="HKK73" s="263" t="s">
        <v>31</v>
      </c>
      <c r="HKL73" s="254"/>
      <c r="HKM73" s="254"/>
      <c r="HKN73" s="264">
        <v>5.7000000000000002E-2</v>
      </c>
      <c r="HKO73" s="193"/>
      <c r="HKP73" s="263" t="s">
        <v>2</v>
      </c>
      <c r="HKQ73" s="193"/>
      <c r="HKR73" s="255" t="s">
        <v>168</v>
      </c>
      <c r="HKS73" s="263" t="s">
        <v>31</v>
      </c>
      <c r="HKT73" s="254"/>
      <c r="HKU73" s="254"/>
      <c r="HKV73" s="264">
        <v>5.7000000000000002E-2</v>
      </c>
      <c r="HKW73" s="193"/>
      <c r="HKX73" s="263" t="s">
        <v>2</v>
      </c>
      <c r="HKY73" s="193"/>
      <c r="HKZ73" s="255" t="s">
        <v>168</v>
      </c>
      <c r="HLA73" s="263" t="s">
        <v>31</v>
      </c>
      <c r="HLB73" s="254"/>
      <c r="HLC73" s="254"/>
      <c r="HLD73" s="264">
        <v>5.7000000000000002E-2</v>
      </c>
      <c r="HLE73" s="193"/>
      <c r="HLF73" s="263" t="s">
        <v>2</v>
      </c>
      <c r="HLG73" s="193"/>
      <c r="HLH73" s="255" t="s">
        <v>168</v>
      </c>
      <c r="HLI73" s="263" t="s">
        <v>31</v>
      </c>
      <c r="HLJ73" s="254"/>
      <c r="HLK73" s="254"/>
      <c r="HLL73" s="264">
        <v>5.7000000000000002E-2</v>
      </c>
      <c r="HLM73" s="193"/>
      <c r="HLN73" s="263" t="s">
        <v>2</v>
      </c>
      <c r="HLO73" s="193"/>
      <c r="HLP73" s="255" t="s">
        <v>168</v>
      </c>
      <c r="HLQ73" s="263" t="s">
        <v>31</v>
      </c>
      <c r="HLR73" s="254"/>
      <c r="HLS73" s="254"/>
      <c r="HLT73" s="264">
        <v>5.7000000000000002E-2</v>
      </c>
      <c r="HLU73" s="193"/>
      <c r="HLV73" s="263" t="s">
        <v>2</v>
      </c>
      <c r="HLW73" s="193"/>
      <c r="HLX73" s="255" t="s">
        <v>168</v>
      </c>
      <c r="HLY73" s="263" t="s">
        <v>31</v>
      </c>
      <c r="HLZ73" s="254"/>
      <c r="HMA73" s="254"/>
      <c r="HMB73" s="264">
        <v>5.7000000000000002E-2</v>
      </c>
      <c r="HMC73" s="193"/>
      <c r="HMD73" s="263" t="s">
        <v>2</v>
      </c>
      <c r="HME73" s="193"/>
      <c r="HMF73" s="255" t="s">
        <v>168</v>
      </c>
      <c r="HMG73" s="263" t="s">
        <v>31</v>
      </c>
      <c r="HMH73" s="254"/>
      <c r="HMI73" s="254"/>
      <c r="HMJ73" s="264">
        <v>5.7000000000000002E-2</v>
      </c>
      <c r="HMK73" s="193"/>
      <c r="HML73" s="263" t="s">
        <v>2</v>
      </c>
      <c r="HMM73" s="193"/>
      <c r="HMN73" s="255" t="s">
        <v>168</v>
      </c>
      <c r="HMO73" s="263" t="s">
        <v>31</v>
      </c>
      <c r="HMP73" s="254"/>
      <c r="HMQ73" s="254"/>
      <c r="HMR73" s="264">
        <v>5.7000000000000002E-2</v>
      </c>
      <c r="HMS73" s="193"/>
      <c r="HMT73" s="263" t="s">
        <v>2</v>
      </c>
      <c r="HMU73" s="193"/>
      <c r="HMV73" s="255" t="s">
        <v>168</v>
      </c>
      <c r="HMW73" s="263" t="s">
        <v>31</v>
      </c>
      <c r="HMX73" s="254"/>
      <c r="HMY73" s="254"/>
      <c r="HMZ73" s="264">
        <v>5.7000000000000002E-2</v>
      </c>
      <c r="HNA73" s="193"/>
      <c r="HNB73" s="263" t="s">
        <v>2</v>
      </c>
      <c r="HNC73" s="193"/>
      <c r="HND73" s="255" t="s">
        <v>168</v>
      </c>
      <c r="HNE73" s="263" t="s">
        <v>31</v>
      </c>
      <c r="HNF73" s="254"/>
      <c r="HNG73" s="254"/>
      <c r="HNH73" s="264">
        <v>5.7000000000000002E-2</v>
      </c>
      <c r="HNI73" s="193"/>
      <c r="HNJ73" s="263" t="s">
        <v>2</v>
      </c>
      <c r="HNK73" s="193"/>
      <c r="HNL73" s="255" t="s">
        <v>168</v>
      </c>
      <c r="HNM73" s="263" t="s">
        <v>31</v>
      </c>
      <c r="HNN73" s="254"/>
      <c r="HNO73" s="254"/>
      <c r="HNP73" s="264">
        <v>5.7000000000000002E-2</v>
      </c>
      <c r="HNQ73" s="193"/>
      <c r="HNR73" s="263" t="s">
        <v>2</v>
      </c>
      <c r="HNS73" s="193"/>
      <c r="HNT73" s="255" t="s">
        <v>168</v>
      </c>
      <c r="HNU73" s="263" t="s">
        <v>31</v>
      </c>
      <c r="HNV73" s="254"/>
      <c r="HNW73" s="254"/>
      <c r="HNX73" s="264">
        <v>5.7000000000000002E-2</v>
      </c>
      <c r="HNY73" s="193"/>
      <c r="HNZ73" s="263" t="s">
        <v>2</v>
      </c>
      <c r="HOA73" s="193"/>
      <c r="HOB73" s="255" t="s">
        <v>168</v>
      </c>
      <c r="HOC73" s="263" t="s">
        <v>31</v>
      </c>
      <c r="HOD73" s="254"/>
      <c r="HOE73" s="254"/>
      <c r="HOF73" s="264">
        <v>5.7000000000000002E-2</v>
      </c>
      <c r="HOG73" s="193"/>
      <c r="HOH73" s="263" t="s">
        <v>2</v>
      </c>
      <c r="HOI73" s="193"/>
      <c r="HOJ73" s="255" t="s">
        <v>168</v>
      </c>
      <c r="HOK73" s="263" t="s">
        <v>31</v>
      </c>
      <c r="HOL73" s="254"/>
      <c r="HOM73" s="254"/>
      <c r="HON73" s="264">
        <v>5.7000000000000002E-2</v>
      </c>
      <c r="HOO73" s="193"/>
      <c r="HOP73" s="263" t="s">
        <v>2</v>
      </c>
      <c r="HOQ73" s="193"/>
      <c r="HOR73" s="255" t="s">
        <v>168</v>
      </c>
      <c r="HOS73" s="263" t="s">
        <v>31</v>
      </c>
      <c r="HOT73" s="254"/>
      <c r="HOU73" s="254"/>
      <c r="HOV73" s="264">
        <v>5.7000000000000002E-2</v>
      </c>
      <c r="HOW73" s="193"/>
      <c r="HOX73" s="263" t="s">
        <v>2</v>
      </c>
      <c r="HOY73" s="193"/>
      <c r="HOZ73" s="255" t="s">
        <v>168</v>
      </c>
      <c r="HPA73" s="263" t="s">
        <v>31</v>
      </c>
      <c r="HPB73" s="254"/>
      <c r="HPC73" s="254"/>
      <c r="HPD73" s="264">
        <v>5.7000000000000002E-2</v>
      </c>
      <c r="HPE73" s="193"/>
      <c r="HPF73" s="263" t="s">
        <v>2</v>
      </c>
      <c r="HPG73" s="193"/>
      <c r="HPH73" s="255" t="s">
        <v>168</v>
      </c>
      <c r="HPI73" s="263" t="s">
        <v>31</v>
      </c>
      <c r="HPJ73" s="254"/>
      <c r="HPK73" s="254"/>
      <c r="HPL73" s="264">
        <v>5.7000000000000002E-2</v>
      </c>
      <c r="HPM73" s="193"/>
      <c r="HPN73" s="263" t="s">
        <v>2</v>
      </c>
      <c r="HPO73" s="193"/>
      <c r="HPP73" s="255" t="s">
        <v>168</v>
      </c>
      <c r="HPQ73" s="263" t="s">
        <v>31</v>
      </c>
      <c r="HPR73" s="254"/>
      <c r="HPS73" s="254"/>
      <c r="HPT73" s="264">
        <v>5.7000000000000002E-2</v>
      </c>
      <c r="HPU73" s="193"/>
      <c r="HPV73" s="263" t="s">
        <v>2</v>
      </c>
      <c r="HPW73" s="193"/>
      <c r="HPX73" s="255" t="s">
        <v>168</v>
      </c>
      <c r="HPY73" s="263" t="s">
        <v>31</v>
      </c>
      <c r="HPZ73" s="254"/>
      <c r="HQA73" s="254"/>
      <c r="HQB73" s="264">
        <v>5.7000000000000002E-2</v>
      </c>
      <c r="HQC73" s="193"/>
      <c r="HQD73" s="263" t="s">
        <v>2</v>
      </c>
      <c r="HQE73" s="193"/>
      <c r="HQF73" s="255" t="s">
        <v>168</v>
      </c>
      <c r="HQG73" s="263" t="s">
        <v>31</v>
      </c>
      <c r="HQH73" s="254"/>
      <c r="HQI73" s="254"/>
      <c r="HQJ73" s="264">
        <v>5.7000000000000002E-2</v>
      </c>
      <c r="HQK73" s="193"/>
      <c r="HQL73" s="263" t="s">
        <v>2</v>
      </c>
      <c r="HQM73" s="193"/>
      <c r="HQN73" s="255" t="s">
        <v>168</v>
      </c>
      <c r="HQO73" s="263" t="s">
        <v>31</v>
      </c>
      <c r="HQP73" s="254"/>
      <c r="HQQ73" s="254"/>
      <c r="HQR73" s="264">
        <v>5.7000000000000002E-2</v>
      </c>
      <c r="HQS73" s="193"/>
      <c r="HQT73" s="263" t="s">
        <v>2</v>
      </c>
      <c r="HQU73" s="193"/>
      <c r="HQV73" s="255" t="s">
        <v>168</v>
      </c>
      <c r="HQW73" s="263" t="s">
        <v>31</v>
      </c>
      <c r="HQX73" s="254"/>
      <c r="HQY73" s="254"/>
      <c r="HQZ73" s="264">
        <v>5.7000000000000002E-2</v>
      </c>
      <c r="HRA73" s="193"/>
      <c r="HRB73" s="263" t="s">
        <v>2</v>
      </c>
      <c r="HRC73" s="193"/>
      <c r="HRD73" s="255" t="s">
        <v>168</v>
      </c>
      <c r="HRE73" s="263" t="s">
        <v>31</v>
      </c>
      <c r="HRF73" s="254"/>
      <c r="HRG73" s="254"/>
      <c r="HRH73" s="264">
        <v>5.7000000000000002E-2</v>
      </c>
      <c r="HRI73" s="193"/>
      <c r="HRJ73" s="263" t="s">
        <v>2</v>
      </c>
      <c r="HRK73" s="193"/>
      <c r="HRL73" s="255" t="s">
        <v>168</v>
      </c>
      <c r="HRM73" s="263" t="s">
        <v>31</v>
      </c>
      <c r="HRN73" s="254"/>
      <c r="HRO73" s="254"/>
      <c r="HRP73" s="264">
        <v>5.7000000000000002E-2</v>
      </c>
      <c r="HRQ73" s="193"/>
      <c r="HRR73" s="263" t="s">
        <v>2</v>
      </c>
      <c r="HRS73" s="193"/>
      <c r="HRT73" s="255" t="s">
        <v>168</v>
      </c>
      <c r="HRU73" s="263" t="s">
        <v>31</v>
      </c>
      <c r="HRV73" s="254"/>
      <c r="HRW73" s="254"/>
      <c r="HRX73" s="264">
        <v>5.7000000000000002E-2</v>
      </c>
      <c r="HRY73" s="193"/>
      <c r="HRZ73" s="263" t="s">
        <v>2</v>
      </c>
      <c r="HSA73" s="193"/>
      <c r="HSB73" s="255" t="s">
        <v>168</v>
      </c>
      <c r="HSC73" s="263" t="s">
        <v>31</v>
      </c>
      <c r="HSD73" s="254"/>
      <c r="HSE73" s="254"/>
      <c r="HSF73" s="264">
        <v>5.7000000000000002E-2</v>
      </c>
      <c r="HSG73" s="193"/>
      <c r="HSH73" s="263" t="s">
        <v>2</v>
      </c>
      <c r="HSI73" s="193"/>
      <c r="HSJ73" s="255" t="s">
        <v>168</v>
      </c>
      <c r="HSK73" s="263" t="s">
        <v>31</v>
      </c>
      <c r="HSL73" s="254"/>
      <c r="HSM73" s="254"/>
      <c r="HSN73" s="264">
        <v>5.7000000000000002E-2</v>
      </c>
      <c r="HSO73" s="193"/>
      <c r="HSP73" s="263" t="s">
        <v>2</v>
      </c>
      <c r="HSQ73" s="193"/>
      <c r="HSR73" s="255" t="s">
        <v>168</v>
      </c>
      <c r="HSS73" s="263" t="s">
        <v>31</v>
      </c>
      <c r="HST73" s="254"/>
      <c r="HSU73" s="254"/>
      <c r="HSV73" s="264">
        <v>5.7000000000000002E-2</v>
      </c>
      <c r="HSW73" s="193"/>
      <c r="HSX73" s="263" t="s">
        <v>2</v>
      </c>
      <c r="HSY73" s="193"/>
      <c r="HSZ73" s="255" t="s">
        <v>168</v>
      </c>
      <c r="HTA73" s="263" t="s">
        <v>31</v>
      </c>
      <c r="HTB73" s="254"/>
      <c r="HTC73" s="254"/>
      <c r="HTD73" s="264">
        <v>5.7000000000000002E-2</v>
      </c>
      <c r="HTE73" s="193"/>
      <c r="HTF73" s="263" t="s">
        <v>2</v>
      </c>
      <c r="HTG73" s="193"/>
      <c r="HTH73" s="255" t="s">
        <v>168</v>
      </c>
      <c r="HTI73" s="263" t="s">
        <v>31</v>
      </c>
      <c r="HTJ73" s="254"/>
      <c r="HTK73" s="254"/>
      <c r="HTL73" s="264">
        <v>5.7000000000000002E-2</v>
      </c>
      <c r="HTM73" s="193"/>
      <c r="HTN73" s="263" t="s">
        <v>2</v>
      </c>
      <c r="HTO73" s="193"/>
      <c r="HTP73" s="255" t="s">
        <v>168</v>
      </c>
      <c r="HTQ73" s="263" t="s">
        <v>31</v>
      </c>
      <c r="HTR73" s="254"/>
      <c r="HTS73" s="254"/>
      <c r="HTT73" s="264">
        <v>5.7000000000000002E-2</v>
      </c>
      <c r="HTU73" s="193"/>
      <c r="HTV73" s="263" t="s">
        <v>2</v>
      </c>
      <c r="HTW73" s="193"/>
      <c r="HTX73" s="255" t="s">
        <v>168</v>
      </c>
      <c r="HTY73" s="263" t="s">
        <v>31</v>
      </c>
      <c r="HTZ73" s="254"/>
      <c r="HUA73" s="254"/>
      <c r="HUB73" s="264">
        <v>5.7000000000000002E-2</v>
      </c>
      <c r="HUC73" s="193"/>
      <c r="HUD73" s="263" t="s">
        <v>2</v>
      </c>
      <c r="HUE73" s="193"/>
      <c r="HUF73" s="255" t="s">
        <v>168</v>
      </c>
      <c r="HUG73" s="263" t="s">
        <v>31</v>
      </c>
      <c r="HUH73" s="254"/>
      <c r="HUI73" s="254"/>
      <c r="HUJ73" s="264">
        <v>5.7000000000000002E-2</v>
      </c>
      <c r="HUK73" s="193"/>
      <c r="HUL73" s="263" t="s">
        <v>2</v>
      </c>
      <c r="HUM73" s="193"/>
      <c r="HUN73" s="255" t="s">
        <v>168</v>
      </c>
      <c r="HUO73" s="263" t="s">
        <v>31</v>
      </c>
      <c r="HUP73" s="254"/>
      <c r="HUQ73" s="254"/>
      <c r="HUR73" s="264">
        <v>5.7000000000000002E-2</v>
      </c>
      <c r="HUS73" s="193"/>
      <c r="HUT73" s="263" t="s">
        <v>2</v>
      </c>
      <c r="HUU73" s="193"/>
      <c r="HUV73" s="255" t="s">
        <v>168</v>
      </c>
      <c r="HUW73" s="263" t="s">
        <v>31</v>
      </c>
      <c r="HUX73" s="254"/>
      <c r="HUY73" s="254"/>
      <c r="HUZ73" s="264">
        <v>5.7000000000000002E-2</v>
      </c>
      <c r="HVA73" s="193"/>
      <c r="HVB73" s="263" t="s">
        <v>2</v>
      </c>
      <c r="HVC73" s="193"/>
      <c r="HVD73" s="255" t="s">
        <v>168</v>
      </c>
      <c r="HVE73" s="263" t="s">
        <v>31</v>
      </c>
      <c r="HVF73" s="254"/>
      <c r="HVG73" s="254"/>
      <c r="HVH73" s="264">
        <v>5.7000000000000002E-2</v>
      </c>
      <c r="HVI73" s="193"/>
      <c r="HVJ73" s="263" t="s">
        <v>2</v>
      </c>
      <c r="HVK73" s="193"/>
      <c r="HVL73" s="255" t="s">
        <v>168</v>
      </c>
      <c r="HVM73" s="263" t="s">
        <v>31</v>
      </c>
      <c r="HVN73" s="254"/>
      <c r="HVO73" s="254"/>
      <c r="HVP73" s="264">
        <v>5.7000000000000002E-2</v>
      </c>
      <c r="HVQ73" s="193"/>
      <c r="HVR73" s="263" t="s">
        <v>2</v>
      </c>
      <c r="HVS73" s="193"/>
      <c r="HVT73" s="255" t="s">
        <v>168</v>
      </c>
      <c r="HVU73" s="263" t="s">
        <v>31</v>
      </c>
      <c r="HVV73" s="254"/>
      <c r="HVW73" s="254"/>
      <c r="HVX73" s="264">
        <v>5.7000000000000002E-2</v>
      </c>
      <c r="HVY73" s="193"/>
      <c r="HVZ73" s="263" t="s">
        <v>2</v>
      </c>
      <c r="HWA73" s="193"/>
      <c r="HWB73" s="255" t="s">
        <v>168</v>
      </c>
      <c r="HWC73" s="263" t="s">
        <v>31</v>
      </c>
      <c r="HWD73" s="254"/>
      <c r="HWE73" s="254"/>
      <c r="HWF73" s="264">
        <v>5.7000000000000002E-2</v>
      </c>
      <c r="HWG73" s="193"/>
      <c r="HWH73" s="263" t="s">
        <v>2</v>
      </c>
      <c r="HWI73" s="193"/>
      <c r="HWJ73" s="255" t="s">
        <v>168</v>
      </c>
      <c r="HWK73" s="263" t="s">
        <v>31</v>
      </c>
      <c r="HWL73" s="254"/>
      <c r="HWM73" s="254"/>
      <c r="HWN73" s="264">
        <v>5.7000000000000002E-2</v>
      </c>
      <c r="HWO73" s="193"/>
      <c r="HWP73" s="263" t="s">
        <v>2</v>
      </c>
      <c r="HWQ73" s="193"/>
      <c r="HWR73" s="255" t="s">
        <v>168</v>
      </c>
      <c r="HWS73" s="263" t="s">
        <v>31</v>
      </c>
      <c r="HWT73" s="254"/>
      <c r="HWU73" s="254"/>
      <c r="HWV73" s="264">
        <v>5.7000000000000002E-2</v>
      </c>
      <c r="HWW73" s="193"/>
      <c r="HWX73" s="263" t="s">
        <v>2</v>
      </c>
      <c r="HWY73" s="193"/>
      <c r="HWZ73" s="255" t="s">
        <v>168</v>
      </c>
      <c r="HXA73" s="263" t="s">
        <v>31</v>
      </c>
      <c r="HXB73" s="254"/>
      <c r="HXC73" s="254"/>
      <c r="HXD73" s="264">
        <v>5.7000000000000002E-2</v>
      </c>
      <c r="HXE73" s="193"/>
      <c r="HXF73" s="263" t="s">
        <v>2</v>
      </c>
      <c r="HXG73" s="193"/>
      <c r="HXH73" s="255" t="s">
        <v>168</v>
      </c>
      <c r="HXI73" s="263" t="s">
        <v>31</v>
      </c>
      <c r="HXJ73" s="254"/>
      <c r="HXK73" s="254"/>
      <c r="HXL73" s="264">
        <v>5.7000000000000002E-2</v>
      </c>
      <c r="HXM73" s="193"/>
      <c r="HXN73" s="263" t="s">
        <v>2</v>
      </c>
      <c r="HXO73" s="193"/>
      <c r="HXP73" s="255" t="s">
        <v>168</v>
      </c>
      <c r="HXQ73" s="263" t="s">
        <v>31</v>
      </c>
      <c r="HXR73" s="254"/>
      <c r="HXS73" s="254"/>
      <c r="HXT73" s="264">
        <v>5.7000000000000002E-2</v>
      </c>
      <c r="HXU73" s="193"/>
      <c r="HXV73" s="263" t="s">
        <v>2</v>
      </c>
      <c r="HXW73" s="193"/>
      <c r="HXX73" s="255" t="s">
        <v>168</v>
      </c>
      <c r="HXY73" s="263" t="s">
        <v>31</v>
      </c>
      <c r="HXZ73" s="254"/>
      <c r="HYA73" s="254"/>
      <c r="HYB73" s="264">
        <v>5.7000000000000002E-2</v>
      </c>
      <c r="HYC73" s="193"/>
      <c r="HYD73" s="263" t="s">
        <v>2</v>
      </c>
      <c r="HYE73" s="193"/>
      <c r="HYF73" s="255" t="s">
        <v>168</v>
      </c>
      <c r="HYG73" s="263" t="s">
        <v>31</v>
      </c>
      <c r="HYH73" s="254"/>
      <c r="HYI73" s="254"/>
      <c r="HYJ73" s="264">
        <v>5.7000000000000002E-2</v>
      </c>
      <c r="HYK73" s="193"/>
      <c r="HYL73" s="263" t="s">
        <v>2</v>
      </c>
      <c r="HYM73" s="193"/>
      <c r="HYN73" s="255" t="s">
        <v>168</v>
      </c>
      <c r="HYO73" s="263" t="s">
        <v>31</v>
      </c>
      <c r="HYP73" s="254"/>
      <c r="HYQ73" s="254"/>
      <c r="HYR73" s="264">
        <v>5.7000000000000002E-2</v>
      </c>
      <c r="HYS73" s="193"/>
      <c r="HYT73" s="263" t="s">
        <v>2</v>
      </c>
      <c r="HYU73" s="193"/>
      <c r="HYV73" s="255" t="s">
        <v>168</v>
      </c>
      <c r="HYW73" s="263" t="s">
        <v>31</v>
      </c>
      <c r="HYX73" s="254"/>
      <c r="HYY73" s="254"/>
      <c r="HYZ73" s="264">
        <v>5.7000000000000002E-2</v>
      </c>
      <c r="HZA73" s="193"/>
      <c r="HZB73" s="263" t="s">
        <v>2</v>
      </c>
      <c r="HZC73" s="193"/>
      <c r="HZD73" s="255" t="s">
        <v>168</v>
      </c>
      <c r="HZE73" s="263" t="s">
        <v>31</v>
      </c>
      <c r="HZF73" s="254"/>
      <c r="HZG73" s="254"/>
      <c r="HZH73" s="264">
        <v>5.7000000000000002E-2</v>
      </c>
      <c r="HZI73" s="193"/>
      <c r="HZJ73" s="263" t="s">
        <v>2</v>
      </c>
      <c r="HZK73" s="193"/>
      <c r="HZL73" s="255" t="s">
        <v>168</v>
      </c>
      <c r="HZM73" s="263" t="s">
        <v>31</v>
      </c>
      <c r="HZN73" s="254"/>
      <c r="HZO73" s="254"/>
      <c r="HZP73" s="264">
        <v>5.7000000000000002E-2</v>
      </c>
      <c r="HZQ73" s="193"/>
      <c r="HZR73" s="263" t="s">
        <v>2</v>
      </c>
      <c r="HZS73" s="193"/>
      <c r="HZT73" s="255" t="s">
        <v>168</v>
      </c>
      <c r="HZU73" s="263" t="s">
        <v>31</v>
      </c>
      <c r="HZV73" s="254"/>
      <c r="HZW73" s="254"/>
      <c r="HZX73" s="264">
        <v>5.7000000000000002E-2</v>
      </c>
      <c r="HZY73" s="193"/>
      <c r="HZZ73" s="263" t="s">
        <v>2</v>
      </c>
      <c r="IAA73" s="193"/>
      <c r="IAB73" s="255" t="s">
        <v>168</v>
      </c>
      <c r="IAC73" s="263" t="s">
        <v>31</v>
      </c>
      <c r="IAD73" s="254"/>
      <c r="IAE73" s="254"/>
      <c r="IAF73" s="264">
        <v>5.7000000000000002E-2</v>
      </c>
      <c r="IAG73" s="193"/>
      <c r="IAH73" s="263" t="s">
        <v>2</v>
      </c>
      <c r="IAI73" s="193"/>
      <c r="IAJ73" s="255" t="s">
        <v>168</v>
      </c>
      <c r="IAK73" s="263" t="s">
        <v>31</v>
      </c>
      <c r="IAL73" s="254"/>
      <c r="IAM73" s="254"/>
      <c r="IAN73" s="264">
        <v>5.7000000000000002E-2</v>
      </c>
      <c r="IAO73" s="193"/>
      <c r="IAP73" s="263" t="s">
        <v>2</v>
      </c>
      <c r="IAQ73" s="193"/>
      <c r="IAR73" s="255" t="s">
        <v>168</v>
      </c>
      <c r="IAS73" s="263" t="s">
        <v>31</v>
      </c>
      <c r="IAT73" s="254"/>
      <c r="IAU73" s="254"/>
      <c r="IAV73" s="264">
        <v>5.7000000000000002E-2</v>
      </c>
      <c r="IAW73" s="193"/>
      <c r="IAX73" s="263" t="s">
        <v>2</v>
      </c>
      <c r="IAY73" s="193"/>
      <c r="IAZ73" s="255" t="s">
        <v>168</v>
      </c>
      <c r="IBA73" s="263" t="s">
        <v>31</v>
      </c>
      <c r="IBB73" s="254"/>
      <c r="IBC73" s="254"/>
      <c r="IBD73" s="264">
        <v>5.7000000000000002E-2</v>
      </c>
      <c r="IBE73" s="193"/>
      <c r="IBF73" s="263" t="s">
        <v>2</v>
      </c>
      <c r="IBG73" s="193"/>
      <c r="IBH73" s="255" t="s">
        <v>168</v>
      </c>
      <c r="IBI73" s="263" t="s">
        <v>31</v>
      </c>
      <c r="IBJ73" s="254"/>
      <c r="IBK73" s="254"/>
      <c r="IBL73" s="264">
        <v>5.7000000000000002E-2</v>
      </c>
      <c r="IBM73" s="193"/>
      <c r="IBN73" s="263" t="s">
        <v>2</v>
      </c>
      <c r="IBO73" s="193"/>
      <c r="IBP73" s="255" t="s">
        <v>168</v>
      </c>
      <c r="IBQ73" s="263" t="s">
        <v>31</v>
      </c>
      <c r="IBR73" s="254"/>
      <c r="IBS73" s="254"/>
      <c r="IBT73" s="264">
        <v>5.7000000000000002E-2</v>
      </c>
      <c r="IBU73" s="193"/>
      <c r="IBV73" s="263" t="s">
        <v>2</v>
      </c>
      <c r="IBW73" s="193"/>
      <c r="IBX73" s="255" t="s">
        <v>168</v>
      </c>
      <c r="IBY73" s="263" t="s">
        <v>31</v>
      </c>
      <c r="IBZ73" s="254"/>
      <c r="ICA73" s="254"/>
      <c r="ICB73" s="264">
        <v>5.7000000000000002E-2</v>
      </c>
      <c r="ICC73" s="193"/>
      <c r="ICD73" s="263" t="s">
        <v>2</v>
      </c>
      <c r="ICE73" s="193"/>
      <c r="ICF73" s="255" t="s">
        <v>168</v>
      </c>
      <c r="ICG73" s="263" t="s">
        <v>31</v>
      </c>
      <c r="ICH73" s="254"/>
      <c r="ICI73" s="254"/>
      <c r="ICJ73" s="264">
        <v>5.7000000000000002E-2</v>
      </c>
      <c r="ICK73" s="193"/>
      <c r="ICL73" s="263" t="s">
        <v>2</v>
      </c>
      <c r="ICM73" s="193"/>
      <c r="ICN73" s="255" t="s">
        <v>168</v>
      </c>
      <c r="ICO73" s="263" t="s">
        <v>31</v>
      </c>
      <c r="ICP73" s="254"/>
      <c r="ICQ73" s="254"/>
      <c r="ICR73" s="264">
        <v>5.7000000000000002E-2</v>
      </c>
      <c r="ICS73" s="193"/>
      <c r="ICT73" s="263" t="s">
        <v>2</v>
      </c>
      <c r="ICU73" s="193"/>
      <c r="ICV73" s="255" t="s">
        <v>168</v>
      </c>
      <c r="ICW73" s="263" t="s">
        <v>31</v>
      </c>
      <c r="ICX73" s="254"/>
      <c r="ICY73" s="254"/>
      <c r="ICZ73" s="264">
        <v>5.7000000000000002E-2</v>
      </c>
      <c r="IDA73" s="193"/>
      <c r="IDB73" s="263" t="s">
        <v>2</v>
      </c>
      <c r="IDC73" s="193"/>
      <c r="IDD73" s="255" t="s">
        <v>168</v>
      </c>
      <c r="IDE73" s="263" t="s">
        <v>31</v>
      </c>
      <c r="IDF73" s="254"/>
      <c r="IDG73" s="254"/>
      <c r="IDH73" s="264">
        <v>5.7000000000000002E-2</v>
      </c>
      <c r="IDI73" s="193"/>
      <c r="IDJ73" s="263" t="s">
        <v>2</v>
      </c>
      <c r="IDK73" s="193"/>
      <c r="IDL73" s="255" t="s">
        <v>168</v>
      </c>
      <c r="IDM73" s="263" t="s">
        <v>31</v>
      </c>
      <c r="IDN73" s="254"/>
      <c r="IDO73" s="254"/>
      <c r="IDP73" s="264">
        <v>5.7000000000000002E-2</v>
      </c>
      <c r="IDQ73" s="193"/>
      <c r="IDR73" s="263" t="s">
        <v>2</v>
      </c>
      <c r="IDS73" s="193"/>
      <c r="IDT73" s="255" t="s">
        <v>168</v>
      </c>
      <c r="IDU73" s="263" t="s">
        <v>31</v>
      </c>
      <c r="IDV73" s="254"/>
      <c r="IDW73" s="254"/>
      <c r="IDX73" s="264">
        <v>5.7000000000000002E-2</v>
      </c>
      <c r="IDY73" s="193"/>
      <c r="IDZ73" s="263" t="s">
        <v>2</v>
      </c>
      <c r="IEA73" s="193"/>
      <c r="IEB73" s="255" t="s">
        <v>168</v>
      </c>
      <c r="IEC73" s="263" t="s">
        <v>31</v>
      </c>
      <c r="IED73" s="254"/>
      <c r="IEE73" s="254"/>
      <c r="IEF73" s="264">
        <v>5.7000000000000002E-2</v>
      </c>
      <c r="IEG73" s="193"/>
      <c r="IEH73" s="263" t="s">
        <v>2</v>
      </c>
      <c r="IEI73" s="193"/>
      <c r="IEJ73" s="255" t="s">
        <v>168</v>
      </c>
      <c r="IEK73" s="263" t="s">
        <v>31</v>
      </c>
      <c r="IEL73" s="254"/>
      <c r="IEM73" s="254"/>
      <c r="IEN73" s="264">
        <v>5.7000000000000002E-2</v>
      </c>
      <c r="IEO73" s="193"/>
      <c r="IEP73" s="263" t="s">
        <v>2</v>
      </c>
      <c r="IEQ73" s="193"/>
      <c r="IER73" s="255" t="s">
        <v>168</v>
      </c>
      <c r="IES73" s="263" t="s">
        <v>31</v>
      </c>
      <c r="IET73" s="254"/>
      <c r="IEU73" s="254"/>
      <c r="IEV73" s="264">
        <v>5.7000000000000002E-2</v>
      </c>
      <c r="IEW73" s="193"/>
      <c r="IEX73" s="263" t="s">
        <v>2</v>
      </c>
      <c r="IEY73" s="193"/>
      <c r="IEZ73" s="255" t="s">
        <v>168</v>
      </c>
      <c r="IFA73" s="263" t="s">
        <v>31</v>
      </c>
      <c r="IFB73" s="254"/>
      <c r="IFC73" s="254"/>
      <c r="IFD73" s="264">
        <v>5.7000000000000002E-2</v>
      </c>
      <c r="IFE73" s="193"/>
      <c r="IFF73" s="263" t="s">
        <v>2</v>
      </c>
      <c r="IFG73" s="193"/>
      <c r="IFH73" s="255" t="s">
        <v>168</v>
      </c>
      <c r="IFI73" s="263" t="s">
        <v>31</v>
      </c>
      <c r="IFJ73" s="254"/>
      <c r="IFK73" s="254"/>
      <c r="IFL73" s="264">
        <v>5.7000000000000002E-2</v>
      </c>
      <c r="IFM73" s="193"/>
      <c r="IFN73" s="263" t="s">
        <v>2</v>
      </c>
      <c r="IFO73" s="193"/>
      <c r="IFP73" s="255" t="s">
        <v>168</v>
      </c>
      <c r="IFQ73" s="263" t="s">
        <v>31</v>
      </c>
      <c r="IFR73" s="254"/>
      <c r="IFS73" s="254"/>
      <c r="IFT73" s="264">
        <v>5.7000000000000002E-2</v>
      </c>
      <c r="IFU73" s="193"/>
      <c r="IFV73" s="263" t="s">
        <v>2</v>
      </c>
      <c r="IFW73" s="193"/>
      <c r="IFX73" s="255" t="s">
        <v>168</v>
      </c>
      <c r="IFY73" s="263" t="s">
        <v>31</v>
      </c>
      <c r="IFZ73" s="254"/>
      <c r="IGA73" s="254"/>
      <c r="IGB73" s="264">
        <v>5.7000000000000002E-2</v>
      </c>
      <c r="IGC73" s="193"/>
      <c r="IGD73" s="263" t="s">
        <v>2</v>
      </c>
      <c r="IGE73" s="193"/>
      <c r="IGF73" s="255" t="s">
        <v>168</v>
      </c>
      <c r="IGG73" s="263" t="s">
        <v>31</v>
      </c>
      <c r="IGH73" s="254"/>
      <c r="IGI73" s="254"/>
      <c r="IGJ73" s="264">
        <v>5.7000000000000002E-2</v>
      </c>
      <c r="IGK73" s="193"/>
      <c r="IGL73" s="263" t="s">
        <v>2</v>
      </c>
      <c r="IGM73" s="193"/>
      <c r="IGN73" s="255" t="s">
        <v>168</v>
      </c>
      <c r="IGO73" s="263" t="s">
        <v>31</v>
      </c>
      <c r="IGP73" s="254"/>
      <c r="IGQ73" s="254"/>
      <c r="IGR73" s="264">
        <v>5.7000000000000002E-2</v>
      </c>
      <c r="IGS73" s="193"/>
      <c r="IGT73" s="263" t="s">
        <v>2</v>
      </c>
      <c r="IGU73" s="193"/>
      <c r="IGV73" s="255" t="s">
        <v>168</v>
      </c>
      <c r="IGW73" s="263" t="s">
        <v>31</v>
      </c>
      <c r="IGX73" s="254"/>
      <c r="IGY73" s="254"/>
      <c r="IGZ73" s="264">
        <v>5.7000000000000002E-2</v>
      </c>
      <c r="IHA73" s="193"/>
      <c r="IHB73" s="263" t="s">
        <v>2</v>
      </c>
      <c r="IHC73" s="193"/>
      <c r="IHD73" s="255" t="s">
        <v>168</v>
      </c>
      <c r="IHE73" s="263" t="s">
        <v>31</v>
      </c>
      <c r="IHF73" s="254"/>
      <c r="IHG73" s="254"/>
      <c r="IHH73" s="264">
        <v>5.7000000000000002E-2</v>
      </c>
      <c r="IHI73" s="193"/>
      <c r="IHJ73" s="263" t="s">
        <v>2</v>
      </c>
      <c r="IHK73" s="193"/>
      <c r="IHL73" s="255" t="s">
        <v>168</v>
      </c>
      <c r="IHM73" s="263" t="s">
        <v>31</v>
      </c>
      <c r="IHN73" s="254"/>
      <c r="IHO73" s="254"/>
      <c r="IHP73" s="264">
        <v>5.7000000000000002E-2</v>
      </c>
      <c r="IHQ73" s="193"/>
      <c r="IHR73" s="263" t="s">
        <v>2</v>
      </c>
      <c r="IHS73" s="193"/>
      <c r="IHT73" s="255" t="s">
        <v>168</v>
      </c>
      <c r="IHU73" s="263" t="s">
        <v>31</v>
      </c>
      <c r="IHV73" s="254"/>
      <c r="IHW73" s="254"/>
      <c r="IHX73" s="264">
        <v>5.7000000000000002E-2</v>
      </c>
      <c r="IHY73" s="193"/>
      <c r="IHZ73" s="263" t="s">
        <v>2</v>
      </c>
      <c r="IIA73" s="193"/>
      <c r="IIB73" s="255" t="s">
        <v>168</v>
      </c>
      <c r="IIC73" s="263" t="s">
        <v>31</v>
      </c>
      <c r="IID73" s="254"/>
      <c r="IIE73" s="254"/>
      <c r="IIF73" s="264">
        <v>5.7000000000000002E-2</v>
      </c>
      <c r="IIG73" s="193"/>
      <c r="IIH73" s="263" t="s">
        <v>2</v>
      </c>
      <c r="III73" s="193"/>
      <c r="IIJ73" s="255" t="s">
        <v>168</v>
      </c>
      <c r="IIK73" s="263" t="s">
        <v>31</v>
      </c>
      <c r="IIL73" s="254"/>
      <c r="IIM73" s="254"/>
      <c r="IIN73" s="264">
        <v>5.7000000000000002E-2</v>
      </c>
      <c r="IIO73" s="193"/>
      <c r="IIP73" s="263" t="s">
        <v>2</v>
      </c>
      <c r="IIQ73" s="193"/>
      <c r="IIR73" s="255" t="s">
        <v>168</v>
      </c>
      <c r="IIS73" s="263" t="s">
        <v>31</v>
      </c>
      <c r="IIT73" s="254"/>
      <c r="IIU73" s="254"/>
      <c r="IIV73" s="264">
        <v>5.7000000000000002E-2</v>
      </c>
      <c r="IIW73" s="193"/>
      <c r="IIX73" s="263" t="s">
        <v>2</v>
      </c>
      <c r="IIY73" s="193"/>
      <c r="IIZ73" s="255" t="s">
        <v>168</v>
      </c>
      <c r="IJA73" s="263" t="s">
        <v>31</v>
      </c>
      <c r="IJB73" s="254"/>
      <c r="IJC73" s="254"/>
      <c r="IJD73" s="264">
        <v>5.7000000000000002E-2</v>
      </c>
      <c r="IJE73" s="193"/>
      <c r="IJF73" s="263" t="s">
        <v>2</v>
      </c>
      <c r="IJG73" s="193"/>
      <c r="IJH73" s="255" t="s">
        <v>168</v>
      </c>
      <c r="IJI73" s="263" t="s">
        <v>31</v>
      </c>
      <c r="IJJ73" s="254"/>
      <c r="IJK73" s="254"/>
      <c r="IJL73" s="264">
        <v>5.7000000000000002E-2</v>
      </c>
      <c r="IJM73" s="193"/>
      <c r="IJN73" s="263" t="s">
        <v>2</v>
      </c>
      <c r="IJO73" s="193"/>
      <c r="IJP73" s="255" t="s">
        <v>168</v>
      </c>
      <c r="IJQ73" s="263" t="s">
        <v>31</v>
      </c>
      <c r="IJR73" s="254"/>
      <c r="IJS73" s="254"/>
      <c r="IJT73" s="264">
        <v>5.7000000000000002E-2</v>
      </c>
      <c r="IJU73" s="193"/>
      <c r="IJV73" s="263" t="s">
        <v>2</v>
      </c>
      <c r="IJW73" s="193"/>
      <c r="IJX73" s="255" t="s">
        <v>168</v>
      </c>
      <c r="IJY73" s="263" t="s">
        <v>31</v>
      </c>
      <c r="IJZ73" s="254"/>
      <c r="IKA73" s="254"/>
      <c r="IKB73" s="264">
        <v>5.7000000000000002E-2</v>
      </c>
      <c r="IKC73" s="193"/>
      <c r="IKD73" s="263" t="s">
        <v>2</v>
      </c>
      <c r="IKE73" s="193"/>
      <c r="IKF73" s="255" t="s">
        <v>168</v>
      </c>
      <c r="IKG73" s="263" t="s">
        <v>31</v>
      </c>
      <c r="IKH73" s="254"/>
      <c r="IKI73" s="254"/>
      <c r="IKJ73" s="264">
        <v>5.7000000000000002E-2</v>
      </c>
      <c r="IKK73" s="193"/>
      <c r="IKL73" s="263" t="s">
        <v>2</v>
      </c>
      <c r="IKM73" s="193"/>
      <c r="IKN73" s="255" t="s">
        <v>168</v>
      </c>
      <c r="IKO73" s="263" t="s">
        <v>31</v>
      </c>
      <c r="IKP73" s="254"/>
      <c r="IKQ73" s="254"/>
      <c r="IKR73" s="264">
        <v>5.7000000000000002E-2</v>
      </c>
      <c r="IKS73" s="193"/>
      <c r="IKT73" s="263" t="s">
        <v>2</v>
      </c>
      <c r="IKU73" s="193"/>
      <c r="IKV73" s="255" t="s">
        <v>168</v>
      </c>
      <c r="IKW73" s="263" t="s">
        <v>31</v>
      </c>
      <c r="IKX73" s="254"/>
      <c r="IKY73" s="254"/>
      <c r="IKZ73" s="264">
        <v>5.7000000000000002E-2</v>
      </c>
      <c r="ILA73" s="193"/>
      <c r="ILB73" s="263" t="s">
        <v>2</v>
      </c>
      <c r="ILC73" s="193"/>
      <c r="ILD73" s="255" t="s">
        <v>168</v>
      </c>
      <c r="ILE73" s="263" t="s">
        <v>31</v>
      </c>
      <c r="ILF73" s="254"/>
      <c r="ILG73" s="254"/>
      <c r="ILH73" s="264">
        <v>5.7000000000000002E-2</v>
      </c>
      <c r="ILI73" s="193"/>
      <c r="ILJ73" s="263" t="s">
        <v>2</v>
      </c>
      <c r="ILK73" s="193"/>
      <c r="ILL73" s="255" t="s">
        <v>168</v>
      </c>
      <c r="ILM73" s="263" t="s">
        <v>31</v>
      </c>
      <c r="ILN73" s="254"/>
      <c r="ILO73" s="254"/>
      <c r="ILP73" s="264">
        <v>5.7000000000000002E-2</v>
      </c>
      <c r="ILQ73" s="193"/>
      <c r="ILR73" s="263" t="s">
        <v>2</v>
      </c>
      <c r="ILS73" s="193"/>
      <c r="ILT73" s="255" t="s">
        <v>168</v>
      </c>
      <c r="ILU73" s="263" t="s">
        <v>31</v>
      </c>
      <c r="ILV73" s="254"/>
      <c r="ILW73" s="254"/>
      <c r="ILX73" s="264">
        <v>5.7000000000000002E-2</v>
      </c>
      <c r="ILY73" s="193"/>
      <c r="ILZ73" s="263" t="s">
        <v>2</v>
      </c>
      <c r="IMA73" s="193"/>
      <c r="IMB73" s="255" t="s">
        <v>168</v>
      </c>
      <c r="IMC73" s="263" t="s">
        <v>31</v>
      </c>
      <c r="IMD73" s="254"/>
      <c r="IME73" s="254"/>
      <c r="IMF73" s="264">
        <v>5.7000000000000002E-2</v>
      </c>
      <c r="IMG73" s="193"/>
      <c r="IMH73" s="263" t="s">
        <v>2</v>
      </c>
      <c r="IMI73" s="193"/>
      <c r="IMJ73" s="255" t="s">
        <v>168</v>
      </c>
      <c r="IMK73" s="263" t="s">
        <v>31</v>
      </c>
      <c r="IML73" s="254"/>
      <c r="IMM73" s="254"/>
      <c r="IMN73" s="264">
        <v>5.7000000000000002E-2</v>
      </c>
      <c r="IMO73" s="193"/>
      <c r="IMP73" s="263" t="s">
        <v>2</v>
      </c>
      <c r="IMQ73" s="193"/>
      <c r="IMR73" s="255" t="s">
        <v>168</v>
      </c>
      <c r="IMS73" s="263" t="s">
        <v>31</v>
      </c>
      <c r="IMT73" s="254"/>
      <c r="IMU73" s="254"/>
      <c r="IMV73" s="264">
        <v>5.7000000000000002E-2</v>
      </c>
      <c r="IMW73" s="193"/>
      <c r="IMX73" s="263" t="s">
        <v>2</v>
      </c>
      <c r="IMY73" s="193"/>
      <c r="IMZ73" s="255" t="s">
        <v>168</v>
      </c>
      <c r="INA73" s="263" t="s">
        <v>31</v>
      </c>
      <c r="INB73" s="254"/>
      <c r="INC73" s="254"/>
      <c r="IND73" s="264">
        <v>5.7000000000000002E-2</v>
      </c>
      <c r="INE73" s="193"/>
      <c r="INF73" s="263" t="s">
        <v>2</v>
      </c>
      <c r="ING73" s="193"/>
      <c r="INH73" s="255" t="s">
        <v>168</v>
      </c>
      <c r="INI73" s="263" t="s">
        <v>31</v>
      </c>
      <c r="INJ73" s="254"/>
      <c r="INK73" s="254"/>
      <c r="INL73" s="264">
        <v>5.7000000000000002E-2</v>
      </c>
      <c r="INM73" s="193"/>
      <c r="INN73" s="263" t="s">
        <v>2</v>
      </c>
      <c r="INO73" s="193"/>
      <c r="INP73" s="255" t="s">
        <v>168</v>
      </c>
      <c r="INQ73" s="263" t="s">
        <v>31</v>
      </c>
      <c r="INR73" s="254"/>
      <c r="INS73" s="254"/>
      <c r="INT73" s="264">
        <v>5.7000000000000002E-2</v>
      </c>
      <c r="INU73" s="193"/>
      <c r="INV73" s="263" t="s">
        <v>2</v>
      </c>
      <c r="INW73" s="193"/>
      <c r="INX73" s="255" t="s">
        <v>168</v>
      </c>
      <c r="INY73" s="263" t="s">
        <v>31</v>
      </c>
      <c r="INZ73" s="254"/>
      <c r="IOA73" s="254"/>
      <c r="IOB73" s="264">
        <v>5.7000000000000002E-2</v>
      </c>
      <c r="IOC73" s="193"/>
      <c r="IOD73" s="263" t="s">
        <v>2</v>
      </c>
      <c r="IOE73" s="193"/>
      <c r="IOF73" s="255" t="s">
        <v>168</v>
      </c>
      <c r="IOG73" s="263" t="s">
        <v>31</v>
      </c>
      <c r="IOH73" s="254"/>
      <c r="IOI73" s="254"/>
      <c r="IOJ73" s="264">
        <v>5.7000000000000002E-2</v>
      </c>
      <c r="IOK73" s="193"/>
      <c r="IOL73" s="263" t="s">
        <v>2</v>
      </c>
      <c r="IOM73" s="193"/>
      <c r="ION73" s="255" t="s">
        <v>168</v>
      </c>
      <c r="IOO73" s="263" t="s">
        <v>31</v>
      </c>
      <c r="IOP73" s="254"/>
      <c r="IOQ73" s="254"/>
      <c r="IOR73" s="264">
        <v>5.7000000000000002E-2</v>
      </c>
      <c r="IOS73" s="193"/>
      <c r="IOT73" s="263" t="s">
        <v>2</v>
      </c>
      <c r="IOU73" s="193"/>
      <c r="IOV73" s="255" t="s">
        <v>168</v>
      </c>
      <c r="IOW73" s="263" t="s">
        <v>31</v>
      </c>
      <c r="IOX73" s="254"/>
      <c r="IOY73" s="254"/>
      <c r="IOZ73" s="264">
        <v>5.7000000000000002E-2</v>
      </c>
      <c r="IPA73" s="193"/>
      <c r="IPB73" s="263" t="s">
        <v>2</v>
      </c>
      <c r="IPC73" s="193"/>
      <c r="IPD73" s="255" t="s">
        <v>168</v>
      </c>
      <c r="IPE73" s="263" t="s">
        <v>31</v>
      </c>
      <c r="IPF73" s="254"/>
      <c r="IPG73" s="254"/>
      <c r="IPH73" s="264">
        <v>5.7000000000000002E-2</v>
      </c>
      <c r="IPI73" s="193"/>
      <c r="IPJ73" s="263" t="s">
        <v>2</v>
      </c>
      <c r="IPK73" s="193"/>
      <c r="IPL73" s="255" t="s">
        <v>168</v>
      </c>
      <c r="IPM73" s="263" t="s">
        <v>31</v>
      </c>
      <c r="IPN73" s="254"/>
      <c r="IPO73" s="254"/>
      <c r="IPP73" s="264">
        <v>5.7000000000000002E-2</v>
      </c>
      <c r="IPQ73" s="193"/>
      <c r="IPR73" s="263" t="s">
        <v>2</v>
      </c>
      <c r="IPS73" s="193"/>
      <c r="IPT73" s="255" t="s">
        <v>168</v>
      </c>
      <c r="IPU73" s="263" t="s">
        <v>31</v>
      </c>
      <c r="IPV73" s="254"/>
      <c r="IPW73" s="254"/>
      <c r="IPX73" s="264">
        <v>5.7000000000000002E-2</v>
      </c>
      <c r="IPY73" s="193"/>
      <c r="IPZ73" s="263" t="s">
        <v>2</v>
      </c>
      <c r="IQA73" s="193"/>
      <c r="IQB73" s="255" t="s">
        <v>168</v>
      </c>
      <c r="IQC73" s="263" t="s">
        <v>31</v>
      </c>
      <c r="IQD73" s="254"/>
      <c r="IQE73" s="254"/>
      <c r="IQF73" s="264">
        <v>5.7000000000000002E-2</v>
      </c>
      <c r="IQG73" s="193"/>
      <c r="IQH73" s="263" t="s">
        <v>2</v>
      </c>
      <c r="IQI73" s="193"/>
      <c r="IQJ73" s="255" t="s">
        <v>168</v>
      </c>
      <c r="IQK73" s="263" t="s">
        <v>31</v>
      </c>
      <c r="IQL73" s="254"/>
      <c r="IQM73" s="254"/>
      <c r="IQN73" s="264">
        <v>5.7000000000000002E-2</v>
      </c>
      <c r="IQO73" s="193"/>
      <c r="IQP73" s="263" t="s">
        <v>2</v>
      </c>
      <c r="IQQ73" s="193"/>
      <c r="IQR73" s="255" t="s">
        <v>168</v>
      </c>
      <c r="IQS73" s="263" t="s">
        <v>31</v>
      </c>
      <c r="IQT73" s="254"/>
      <c r="IQU73" s="254"/>
      <c r="IQV73" s="264">
        <v>5.7000000000000002E-2</v>
      </c>
      <c r="IQW73" s="193"/>
      <c r="IQX73" s="263" t="s">
        <v>2</v>
      </c>
      <c r="IQY73" s="193"/>
      <c r="IQZ73" s="255" t="s">
        <v>168</v>
      </c>
      <c r="IRA73" s="263" t="s">
        <v>31</v>
      </c>
      <c r="IRB73" s="254"/>
      <c r="IRC73" s="254"/>
      <c r="IRD73" s="264">
        <v>5.7000000000000002E-2</v>
      </c>
      <c r="IRE73" s="193"/>
      <c r="IRF73" s="263" t="s">
        <v>2</v>
      </c>
      <c r="IRG73" s="193"/>
      <c r="IRH73" s="255" t="s">
        <v>168</v>
      </c>
      <c r="IRI73" s="263" t="s">
        <v>31</v>
      </c>
      <c r="IRJ73" s="254"/>
      <c r="IRK73" s="254"/>
      <c r="IRL73" s="264">
        <v>5.7000000000000002E-2</v>
      </c>
      <c r="IRM73" s="193"/>
      <c r="IRN73" s="263" t="s">
        <v>2</v>
      </c>
      <c r="IRO73" s="193"/>
      <c r="IRP73" s="255" t="s">
        <v>168</v>
      </c>
      <c r="IRQ73" s="263" t="s">
        <v>31</v>
      </c>
      <c r="IRR73" s="254"/>
      <c r="IRS73" s="254"/>
      <c r="IRT73" s="264">
        <v>5.7000000000000002E-2</v>
      </c>
      <c r="IRU73" s="193"/>
      <c r="IRV73" s="263" t="s">
        <v>2</v>
      </c>
      <c r="IRW73" s="193"/>
      <c r="IRX73" s="255" t="s">
        <v>168</v>
      </c>
      <c r="IRY73" s="263" t="s">
        <v>31</v>
      </c>
      <c r="IRZ73" s="254"/>
      <c r="ISA73" s="254"/>
      <c r="ISB73" s="264">
        <v>5.7000000000000002E-2</v>
      </c>
      <c r="ISC73" s="193"/>
      <c r="ISD73" s="263" t="s">
        <v>2</v>
      </c>
      <c r="ISE73" s="193"/>
      <c r="ISF73" s="255" t="s">
        <v>168</v>
      </c>
      <c r="ISG73" s="263" t="s">
        <v>31</v>
      </c>
      <c r="ISH73" s="254"/>
      <c r="ISI73" s="254"/>
      <c r="ISJ73" s="264">
        <v>5.7000000000000002E-2</v>
      </c>
      <c r="ISK73" s="193"/>
      <c r="ISL73" s="263" t="s">
        <v>2</v>
      </c>
      <c r="ISM73" s="193"/>
      <c r="ISN73" s="255" t="s">
        <v>168</v>
      </c>
      <c r="ISO73" s="263" t="s">
        <v>31</v>
      </c>
      <c r="ISP73" s="254"/>
      <c r="ISQ73" s="254"/>
      <c r="ISR73" s="264">
        <v>5.7000000000000002E-2</v>
      </c>
      <c r="ISS73" s="193"/>
      <c r="IST73" s="263" t="s">
        <v>2</v>
      </c>
      <c r="ISU73" s="193"/>
      <c r="ISV73" s="255" t="s">
        <v>168</v>
      </c>
      <c r="ISW73" s="263" t="s">
        <v>31</v>
      </c>
      <c r="ISX73" s="254"/>
      <c r="ISY73" s="254"/>
      <c r="ISZ73" s="264">
        <v>5.7000000000000002E-2</v>
      </c>
      <c r="ITA73" s="193"/>
      <c r="ITB73" s="263" t="s">
        <v>2</v>
      </c>
      <c r="ITC73" s="193"/>
      <c r="ITD73" s="255" t="s">
        <v>168</v>
      </c>
      <c r="ITE73" s="263" t="s">
        <v>31</v>
      </c>
      <c r="ITF73" s="254"/>
      <c r="ITG73" s="254"/>
      <c r="ITH73" s="264">
        <v>5.7000000000000002E-2</v>
      </c>
      <c r="ITI73" s="193"/>
      <c r="ITJ73" s="263" t="s">
        <v>2</v>
      </c>
      <c r="ITK73" s="193"/>
      <c r="ITL73" s="255" t="s">
        <v>168</v>
      </c>
      <c r="ITM73" s="263" t="s">
        <v>31</v>
      </c>
      <c r="ITN73" s="254"/>
      <c r="ITO73" s="254"/>
      <c r="ITP73" s="264">
        <v>5.7000000000000002E-2</v>
      </c>
      <c r="ITQ73" s="193"/>
      <c r="ITR73" s="263" t="s">
        <v>2</v>
      </c>
      <c r="ITS73" s="193"/>
      <c r="ITT73" s="255" t="s">
        <v>168</v>
      </c>
      <c r="ITU73" s="263" t="s">
        <v>31</v>
      </c>
      <c r="ITV73" s="254"/>
      <c r="ITW73" s="254"/>
      <c r="ITX73" s="264">
        <v>5.7000000000000002E-2</v>
      </c>
      <c r="ITY73" s="193"/>
      <c r="ITZ73" s="263" t="s">
        <v>2</v>
      </c>
      <c r="IUA73" s="193"/>
      <c r="IUB73" s="255" t="s">
        <v>168</v>
      </c>
      <c r="IUC73" s="263" t="s">
        <v>31</v>
      </c>
      <c r="IUD73" s="254"/>
      <c r="IUE73" s="254"/>
      <c r="IUF73" s="264">
        <v>5.7000000000000002E-2</v>
      </c>
      <c r="IUG73" s="193"/>
      <c r="IUH73" s="263" t="s">
        <v>2</v>
      </c>
      <c r="IUI73" s="193"/>
      <c r="IUJ73" s="255" t="s">
        <v>168</v>
      </c>
      <c r="IUK73" s="263" t="s">
        <v>31</v>
      </c>
      <c r="IUL73" s="254"/>
      <c r="IUM73" s="254"/>
      <c r="IUN73" s="264">
        <v>5.7000000000000002E-2</v>
      </c>
      <c r="IUO73" s="193"/>
      <c r="IUP73" s="263" t="s">
        <v>2</v>
      </c>
      <c r="IUQ73" s="193"/>
      <c r="IUR73" s="255" t="s">
        <v>168</v>
      </c>
      <c r="IUS73" s="263" t="s">
        <v>31</v>
      </c>
      <c r="IUT73" s="254"/>
      <c r="IUU73" s="254"/>
      <c r="IUV73" s="264">
        <v>5.7000000000000002E-2</v>
      </c>
      <c r="IUW73" s="193"/>
      <c r="IUX73" s="263" t="s">
        <v>2</v>
      </c>
      <c r="IUY73" s="193"/>
      <c r="IUZ73" s="255" t="s">
        <v>168</v>
      </c>
      <c r="IVA73" s="263" t="s">
        <v>31</v>
      </c>
      <c r="IVB73" s="254"/>
      <c r="IVC73" s="254"/>
      <c r="IVD73" s="264">
        <v>5.7000000000000002E-2</v>
      </c>
      <c r="IVE73" s="193"/>
      <c r="IVF73" s="263" t="s">
        <v>2</v>
      </c>
      <c r="IVG73" s="193"/>
      <c r="IVH73" s="255" t="s">
        <v>168</v>
      </c>
      <c r="IVI73" s="263" t="s">
        <v>31</v>
      </c>
      <c r="IVJ73" s="254"/>
      <c r="IVK73" s="254"/>
      <c r="IVL73" s="264">
        <v>5.7000000000000002E-2</v>
      </c>
      <c r="IVM73" s="193"/>
      <c r="IVN73" s="263" t="s">
        <v>2</v>
      </c>
      <c r="IVO73" s="193"/>
      <c r="IVP73" s="255" t="s">
        <v>168</v>
      </c>
      <c r="IVQ73" s="263" t="s">
        <v>31</v>
      </c>
      <c r="IVR73" s="254"/>
      <c r="IVS73" s="254"/>
      <c r="IVT73" s="264">
        <v>5.7000000000000002E-2</v>
      </c>
      <c r="IVU73" s="193"/>
      <c r="IVV73" s="263" t="s">
        <v>2</v>
      </c>
      <c r="IVW73" s="193"/>
      <c r="IVX73" s="255" t="s">
        <v>168</v>
      </c>
      <c r="IVY73" s="263" t="s">
        <v>31</v>
      </c>
      <c r="IVZ73" s="254"/>
      <c r="IWA73" s="254"/>
      <c r="IWB73" s="264">
        <v>5.7000000000000002E-2</v>
      </c>
      <c r="IWC73" s="193"/>
      <c r="IWD73" s="263" t="s">
        <v>2</v>
      </c>
      <c r="IWE73" s="193"/>
      <c r="IWF73" s="255" t="s">
        <v>168</v>
      </c>
      <c r="IWG73" s="263" t="s">
        <v>31</v>
      </c>
      <c r="IWH73" s="254"/>
      <c r="IWI73" s="254"/>
      <c r="IWJ73" s="264">
        <v>5.7000000000000002E-2</v>
      </c>
      <c r="IWK73" s="193"/>
      <c r="IWL73" s="263" t="s">
        <v>2</v>
      </c>
      <c r="IWM73" s="193"/>
      <c r="IWN73" s="255" t="s">
        <v>168</v>
      </c>
      <c r="IWO73" s="263" t="s">
        <v>31</v>
      </c>
      <c r="IWP73" s="254"/>
      <c r="IWQ73" s="254"/>
      <c r="IWR73" s="264">
        <v>5.7000000000000002E-2</v>
      </c>
      <c r="IWS73" s="193"/>
      <c r="IWT73" s="263" t="s">
        <v>2</v>
      </c>
      <c r="IWU73" s="193"/>
      <c r="IWV73" s="255" t="s">
        <v>168</v>
      </c>
      <c r="IWW73" s="263" t="s">
        <v>31</v>
      </c>
      <c r="IWX73" s="254"/>
      <c r="IWY73" s="254"/>
      <c r="IWZ73" s="264">
        <v>5.7000000000000002E-2</v>
      </c>
      <c r="IXA73" s="193"/>
      <c r="IXB73" s="263" t="s">
        <v>2</v>
      </c>
      <c r="IXC73" s="193"/>
      <c r="IXD73" s="255" t="s">
        <v>168</v>
      </c>
      <c r="IXE73" s="263" t="s">
        <v>31</v>
      </c>
      <c r="IXF73" s="254"/>
      <c r="IXG73" s="254"/>
      <c r="IXH73" s="264">
        <v>5.7000000000000002E-2</v>
      </c>
      <c r="IXI73" s="193"/>
      <c r="IXJ73" s="263" t="s">
        <v>2</v>
      </c>
      <c r="IXK73" s="193"/>
      <c r="IXL73" s="255" t="s">
        <v>168</v>
      </c>
      <c r="IXM73" s="263" t="s">
        <v>31</v>
      </c>
      <c r="IXN73" s="254"/>
      <c r="IXO73" s="254"/>
      <c r="IXP73" s="264">
        <v>5.7000000000000002E-2</v>
      </c>
      <c r="IXQ73" s="193"/>
      <c r="IXR73" s="263" t="s">
        <v>2</v>
      </c>
      <c r="IXS73" s="193"/>
      <c r="IXT73" s="255" t="s">
        <v>168</v>
      </c>
      <c r="IXU73" s="263" t="s">
        <v>31</v>
      </c>
      <c r="IXV73" s="254"/>
      <c r="IXW73" s="254"/>
      <c r="IXX73" s="264">
        <v>5.7000000000000002E-2</v>
      </c>
      <c r="IXY73" s="193"/>
      <c r="IXZ73" s="263" t="s">
        <v>2</v>
      </c>
      <c r="IYA73" s="193"/>
      <c r="IYB73" s="255" t="s">
        <v>168</v>
      </c>
      <c r="IYC73" s="263" t="s">
        <v>31</v>
      </c>
      <c r="IYD73" s="254"/>
      <c r="IYE73" s="254"/>
      <c r="IYF73" s="264">
        <v>5.7000000000000002E-2</v>
      </c>
      <c r="IYG73" s="193"/>
      <c r="IYH73" s="263" t="s">
        <v>2</v>
      </c>
      <c r="IYI73" s="193"/>
      <c r="IYJ73" s="255" t="s">
        <v>168</v>
      </c>
      <c r="IYK73" s="263" t="s">
        <v>31</v>
      </c>
      <c r="IYL73" s="254"/>
      <c r="IYM73" s="254"/>
      <c r="IYN73" s="264">
        <v>5.7000000000000002E-2</v>
      </c>
      <c r="IYO73" s="193"/>
      <c r="IYP73" s="263" t="s">
        <v>2</v>
      </c>
      <c r="IYQ73" s="193"/>
      <c r="IYR73" s="255" t="s">
        <v>168</v>
      </c>
      <c r="IYS73" s="263" t="s">
        <v>31</v>
      </c>
      <c r="IYT73" s="254"/>
      <c r="IYU73" s="254"/>
      <c r="IYV73" s="264">
        <v>5.7000000000000002E-2</v>
      </c>
      <c r="IYW73" s="193"/>
      <c r="IYX73" s="263" t="s">
        <v>2</v>
      </c>
      <c r="IYY73" s="193"/>
      <c r="IYZ73" s="255" t="s">
        <v>168</v>
      </c>
      <c r="IZA73" s="263" t="s">
        <v>31</v>
      </c>
      <c r="IZB73" s="254"/>
      <c r="IZC73" s="254"/>
      <c r="IZD73" s="264">
        <v>5.7000000000000002E-2</v>
      </c>
      <c r="IZE73" s="193"/>
      <c r="IZF73" s="263" t="s">
        <v>2</v>
      </c>
      <c r="IZG73" s="193"/>
      <c r="IZH73" s="255" t="s">
        <v>168</v>
      </c>
      <c r="IZI73" s="263" t="s">
        <v>31</v>
      </c>
      <c r="IZJ73" s="254"/>
      <c r="IZK73" s="254"/>
      <c r="IZL73" s="264">
        <v>5.7000000000000002E-2</v>
      </c>
      <c r="IZM73" s="193"/>
      <c r="IZN73" s="263" t="s">
        <v>2</v>
      </c>
      <c r="IZO73" s="193"/>
      <c r="IZP73" s="255" t="s">
        <v>168</v>
      </c>
      <c r="IZQ73" s="263" t="s">
        <v>31</v>
      </c>
      <c r="IZR73" s="254"/>
      <c r="IZS73" s="254"/>
      <c r="IZT73" s="264">
        <v>5.7000000000000002E-2</v>
      </c>
      <c r="IZU73" s="193"/>
      <c r="IZV73" s="263" t="s">
        <v>2</v>
      </c>
      <c r="IZW73" s="193"/>
      <c r="IZX73" s="255" t="s">
        <v>168</v>
      </c>
      <c r="IZY73" s="263" t="s">
        <v>31</v>
      </c>
      <c r="IZZ73" s="254"/>
      <c r="JAA73" s="254"/>
      <c r="JAB73" s="264">
        <v>5.7000000000000002E-2</v>
      </c>
      <c r="JAC73" s="193"/>
      <c r="JAD73" s="263" t="s">
        <v>2</v>
      </c>
      <c r="JAE73" s="193"/>
      <c r="JAF73" s="255" t="s">
        <v>168</v>
      </c>
      <c r="JAG73" s="263" t="s">
        <v>31</v>
      </c>
      <c r="JAH73" s="254"/>
      <c r="JAI73" s="254"/>
      <c r="JAJ73" s="264">
        <v>5.7000000000000002E-2</v>
      </c>
      <c r="JAK73" s="193"/>
      <c r="JAL73" s="263" t="s">
        <v>2</v>
      </c>
      <c r="JAM73" s="193"/>
      <c r="JAN73" s="255" t="s">
        <v>168</v>
      </c>
      <c r="JAO73" s="263" t="s">
        <v>31</v>
      </c>
      <c r="JAP73" s="254"/>
      <c r="JAQ73" s="254"/>
      <c r="JAR73" s="264">
        <v>5.7000000000000002E-2</v>
      </c>
      <c r="JAS73" s="193"/>
      <c r="JAT73" s="263" t="s">
        <v>2</v>
      </c>
      <c r="JAU73" s="193"/>
      <c r="JAV73" s="255" t="s">
        <v>168</v>
      </c>
      <c r="JAW73" s="263" t="s">
        <v>31</v>
      </c>
      <c r="JAX73" s="254"/>
      <c r="JAY73" s="254"/>
      <c r="JAZ73" s="264">
        <v>5.7000000000000002E-2</v>
      </c>
      <c r="JBA73" s="193"/>
      <c r="JBB73" s="263" t="s">
        <v>2</v>
      </c>
      <c r="JBC73" s="193"/>
      <c r="JBD73" s="255" t="s">
        <v>168</v>
      </c>
      <c r="JBE73" s="263" t="s">
        <v>31</v>
      </c>
      <c r="JBF73" s="254"/>
      <c r="JBG73" s="254"/>
      <c r="JBH73" s="264">
        <v>5.7000000000000002E-2</v>
      </c>
      <c r="JBI73" s="193"/>
      <c r="JBJ73" s="263" t="s">
        <v>2</v>
      </c>
      <c r="JBK73" s="193"/>
      <c r="JBL73" s="255" t="s">
        <v>168</v>
      </c>
      <c r="JBM73" s="263" t="s">
        <v>31</v>
      </c>
      <c r="JBN73" s="254"/>
      <c r="JBO73" s="254"/>
      <c r="JBP73" s="264">
        <v>5.7000000000000002E-2</v>
      </c>
      <c r="JBQ73" s="193"/>
      <c r="JBR73" s="263" t="s">
        <v>2</v>
      </c>
      <c r="JBS73" s="193"/>
      <c r="JBT73" s="255" t="s">
        <v>168</v>
      </c>
      <c r="JBU73" s="263" t="s">
        <v>31</v>
      </c>
      <c r="JBV73" s="254"/>
      <c r="JBW73" s="254"/>
      <c r="JBX73" s="264">
        <v>5.7000000000000002E-2</v>
      </c>
      <c r="JBY73" s="193"/>
      <c r="JBZ73" s="263" t="s">
        <v>2</v>
      </c>
      <c r="JCA73" s="193"/>
      <c r="JCB73" s="255" t="s">
        <v>168</v>
      </c>
      <c r="JCC73" s="263" t="s">
        <v>31</v>
      </c>
      <c r="JCD73" s="254"/>
      <c r="JCE73" s="254"/>
      <c r="JCF73" s="264">
        <v>5.7000000000000002E-2</v>
      </c>
      <c r="JCG73" s="193"/>
      <c r="JCH73" s="263" t="s">
        <v>2</v>
      </c>
      <c r="JCI73" s="193"/>
      <c r="JCJ73" s="255" t="s">
        <v>168</v>
      </c>
      <c r="JCK73" s="263" t="s">
        <v>31</v>
      </c>
      <c r="JCL73" s="254"/>
      <c r="JCM73" s="254"/>
      <c r="JCN73" s="264">
        <v>5.7000000000000002E-2</v>
      </c>
      <c r="JCO73" s="193"/>
      <c r="JCP73" s="263" t="s">
        <v>2</v>
      </c>
      <c r="JCQ73" s="193"/>
      <c r="JCR73" s="255" t="s">
        <v>168</v>
      </c>
      <c r="JCS73" s="263" t="s">
        <v>31</v>
      </c>
      <c r="JCT73" s="254"/>
      <c r="JCU73" s="254"/>
      <c r="JCV73" s="264">
        <v>5.7000000000000002E-2</v>
      </c>
      <c r="JCW73" s="193"/>
      <c r="JCX73" s="263" t="s">
        <v>2</v>
      </c>
      <c r="JCY73" s="193"/>
      <c r="JCZ73" s="255" t="s">
        <v>168</v>
      </c>
      <c r="JDA73" s="263" t="s">
        <v>31</v>
      </c>
      <c r="JDB73" s="254"/>
      <c r="JDC73" s="254"/>
      <c r="JDD73" s="264">
        <v>5.7000000000000002E-2</v>
      </c>
      <c r="JDE73" s="193"/>
      <c r="JDF73" s="263" t="s">
        <v>2</v>
      </c>
      <c r="JDG73" s="193"/>
      <c r="JDH73" s="255" t="s">
        <v>168</v>
      </c>
      <c r="JDI73" s="263" t="s">
        <v>31</v>
      </c>
      <c r="JDJ73" s="254"/>
      <c r="JDK73" s="254"/>
      <c r="JDL73" s="264">
        <v>5.7000000000000002E-2</v>
      </c>
      <c r="JDM73" s="193"/>
      <c r="JDN73" s="263" t="s">
        <v>2</v>
      </c>
      <c r="JDO73" s="193"/>
      <c r="JDP73" s="255" t="s">
        <v>168</v>
      </c>
      <c r="JDQ73" s="263" t="s">
        <v>31</v>
      </c>
      <c r="JDR73" s="254"/>
      <c r="JDS73" s="254"/>
      <c r="JDT73" s="264">
        <v>5.7000000000000002E-2</v>
      </c>
      <c r="JDU73" s="193"/>
      <c r="JDV73" s="263" t="s">
        <v>2</v>
      </c>
      <c r="JDW73" s="193"/>
      <c r="JDX73" s="255" t="s">
        <v>168</v>
      </c>
      <c r="JDY73" s="263" t="s">
        <v>31</v>
      </c>
      <c r="JDZ73" s="254"/>
      <c r="JEA73" s="254"/>
      <c r="JEB73" s="264">
        <v>5.7000000000000002E-2</v>
      </c>
      <c r="JEC73" s="193"/>
      <c r="JED73" s="263" t="s">
        <v>2</v>
      </c>
      <c r="JEE73" s="193"/>
      <c r="JEF73" s="255" t="s">
        <v>168</v>
      </c>
      <c r="JEG73" s="263" t="s">
        <v>31</v>
      </c>
      <c r="JEH73" s="254"/>
      <c r="JEI73" s="254"/>
      <c r="JEJ73" s="264">
        <v>5.7000000000000002E-2</v>
      </c>
      <c r="JEK73" s="193"/>
      <c r="JEL73" s="263" t="s">
        <v>2</v>
      </c>
      <c r="JEM73" s="193"/>
      <c r="JEN73" s="255" t="s">
        <v>168</v>
      </c>
      <c r="JEO73" s="263" t="s">
        <v>31</v>
      </c>
      <c r="JEP73" s="254"/>
      <c r="JEQ73" s="254"/>
      <c r="JER73" s="264">
        <v>5.7000000000000002E-2</v>
      </c>
      <c r="JES73" s="193"/>
      <c r="JET73" s="263" t="s">
        <v>2</v>
      </c>
      <c r="JEU73" s="193"/>
      <c r="JEV73" s="255" t="s">
        <v>168</v>
      </c>
      <c r="JEW73" s="263" t="s">
        <v>31</v>
      </c>
      <c r="JEX73" s="254"/>
      <c r="JEY73" s="254"/>
      <c r="JEZ73" s="264">
        <v>5.7000000000000002E-2</v>
      </c>
      <c r="JFA73" s="193"/>
      <c r="JFB73" s="263" t="s">
        <v>2</v>
      </c>
      <c r="JFC73" s="193"/>
      <c r="JFD73" s="255" t="s">
        <v>168</v>
      </c>
      <c r="JFE73" s="263" t="s">
        <v>31</v>
      </c>
      <c r="JFF73" s="254"/>
      <c r="JFG73" s="254"/>
      <c r="JFH73" s="264">
        <v>5.7000000000000002E-2</v>
      </c>
      <c r="JFI73" s="193"/>
      <c r="JFJ73" s="263" t="s">
        <v>2</v>
      </c>
      <c r="JFK73" s="193"/>
      <c r="JFL73" s="255" t="s">
        <v>168</v>
      </c>
      <c r="JFM73" s="263" t="s">
        <v>31</v>
      </c>
      <c r="JFN73" s="254"/>
      <c r="JFO73" s="254"/>
      <c r="JFP73" s="264">
        <v>5.7000000000000002E-2</v>
      </c>
      <c r="JFQ73" s="193"/>
      <c r="JFR73" s="263" t="s">
        <v>2</v>
      </c>
      <c r="JFS73" s="193"/>
      <c r="JFT73" s="255" t="s">
        <v>168</v>
      </c>
      <c r="JFU73" s="263" t="s">
        <v>31</v>
      </c>
      <c r="JFV73" s="254"/>
      <c r="JFW73" s="254"/>
      <c r="JFX73" s="264">
        <v>5.7000000000000002E-2</v>
      </c>
      <c r="JFY73" s="193"/>
      <c r="JFZ73" s="263" t="s">
        <v>2</v>
      </c>
      <c r="JGA73" s="193"/>
      <c r="JGB73" s="255" t="s">
        <v>168</v>
      </c>
      <c r="JGC73" s="263" t="s">
        <v>31</v>
      </c>
      <c r="JGD73" s="254"/>
      <c r="JGE73" s="254"/>
      <c r="JGF73" s="264">
        <v>5.7000000000000002E-2</v>
      </c>
      <c r="JGG73" s="193"/>
      <c r="JGH73" s="263" t="s">
        <v>2</v>
      </c>
      <c r="JGI73" s="193"/>
      <c r="JGJ73" s="255" t="s">
        <v>168</v>
      </c>
      <c r="JGK73" s="263" t="s">
        <v>31</v>
      </c>
      <c r="JGL73" s="254"/>
      <c r="JGM73" s="254"/>
      <c r="JGN73" s="264">
        <v>5.7000000000000002E-2</v>
      </c>
      <c r="JGO73" s="193"/>
      <c r="JGP73" s="263" t="s">
        <v>2</v>
      </c>
      <c r="JGQ73" s="193"/>
      <c r="JGR73" s="255" t="s">
        <v>168</v>
      </c>
      <c r="JGS73" s="263" t="s">
        <v>31</v>
      </c>
      <c r="JGT73" s="254"/>
      <c r="JGU73" s="254"/>
      <c r="JGV73" s="264">
        <v>5.7000000000000002E-2</v>
      </c>
      <c r="JGW73" s="193"/>
      <c r="JGX73" s="263" t="s">
        <v>2</v>
      </c>
      <c r="JGY73" s="193"/>
      <c r="JGZ73" s="255" t="s">
        <v>168</v>
      </c>
      <c r="JHA73" s="263" t="s">
        <v>31</v>
      </c>
      <c r="JHB73" s="254"/>
      <c r="JHC73" s="254"/>
      <c r="JHD73" s="264">
        <v>5.7000000000000002E-2</v>
      </c>
      <c r="JHE73" s="193"/>
      <c r="JHF73" s="263" t="s">
        <v>2</v>
      </c>
      <c r="JHG73" s="193"/>
      <c r="JHH73" s="255" t="s">
        <v>168</v>
      </c>
      <c r="JHI73" s="263" t="s">
        <v>31</v>
      </c>
      <c r="JHJ73" s="254"/>
      <c r="JHK73" s="254"/>
      <c r="JHL73" s="264">
        <v>5.7000000000000002E-2</v>
      </c>
      <c r="JHM73" s="193"/>
      <c r="JHN73" s="263" t="s">
        <v>2</v>
      </c>
      <c r="JHO73" s="193"/>
      <c r="JHP73" s="255" t="s">
        <v>168</v>
      </c>
      <c r="JHQ73" s="263" t="s">
        <v>31</v>
      </c>
      <c r="JHR73" s="254"/>
      <c r="JHS73" s="254"/>
      <c r="JHT73" s="264">
        <v>5.7000000000000002E-2</v>
      </c>
      <c r="JHU73" s="193"/>
      <c r="JHV73" s="263" t="s">
        <v>2</v>
      </c>
      <c r="JHW73" s="193"/>
      <c r="JHX73" s="255" t="s">
        <v>168</v>
      </c>
      <c r="JHY73" s="263" t="s">
        <v>31</v>
      </c>
      <c r="JHZ73" s="254"/>
      <c r="JIA73" s="254"/>
      <c r="JIB73" s="264">
        <v>5.7000000000000002E-2</v>
      </c>
      <c r="JIC73" s="193"/>
      <c r="JID73" s="263" t="s">
        <v>2</v>
      </c>
      <c r="JIE73" s="193"/>
      <c r="JIF73" s="255" t="s">
        <v>168</v>
      </c>
      <c r="JIG73" s="263" t="s">
        <v>31</v>
      </c>
      <c r="JIH73" s="254"/>
      <c r="JII73" s="254"/>
      <c r="JIJ73" s="264">
        <v>5.7000000000000002E-2</v>
      </c>
      <c r="JIK73" s="193"/>
      <c r="JIL73" s="263" t="s">
        <v>2</v>
      </c>
      <c r="JIM73" s="193"/>
      <c r="JIN73" s="255" t="s">
        <v>168</v>
      </c>
      <c r="JIO73" s="263" t="s">
        <v>31</v>
      </c>
      <c r="JIP73" s="254"/>
      <c r="JIQ73" s="254"/>
      <c r="JIR73" s="264">
        <v>5.7000000000000002E-2</v>
      </c>
      <c r="JIS73" s="193"/>
      <c r="JIT73" s="263" t="s">
        <v>2</v>
      </c>
      <c r="JIU73" s="193"/>
      <c r="JIV73" s="255" t="s">
        <v>168</v>
      </c>
      <c r="JIW73" s="263" t="s">
        <v>31</v>
      </c>
      <c r="JIX73" s="254"/>
      <c r="JIY73" s="254"/>
      <c r="JIZ73" s="264">
        <v>5.7000000000000002E-2</v>
      </c>
      <c r="JJA73" s="193"/>
      <c r="JJB73" s="263" t="s">
        <v>2</v>
      </c>
      <c r="JJC73" s="193"/>
      <c r="JJD73" s="255" t="s">
        <v>168</v>
      </c>
      <c r="JJE73" s="263" t="s">
        <v>31</v>
      </c>
      <c r="JJF73" s="254"/>
      <c r="JJG73" s="254"/>
      <c r="JJH73" s="264">
        <v>5.7000000000000002E-2</v>
      </c>
      <c r="JJI73" s="193"/>
      <c r="JJJ73" s="263" t="s">
        <v>2</v>
      </c>
      <c r="JJK73" s="193"/>
      <c r="JJL73" s="255" t="s">
        <v>168</v>
      </c>
      <c r="JJM73" s="263" t="s">
        <v>31</v>
      </c>
      <c r="JJN73" s="254"/>
      <c r="JJO73" s="254"/>
      <c r="JJP73" s="264">
        <v>5.7000000000000002E-2</v>
      </c>
      <c r="JJQ73" s="193"/>
      <c r="JJR73" s="263" t="s">
        <v>2</v>
      </c>
      <c r="JJS73" s="193"/>
      <c r="JJT73" s="255" t="s">
        <v>168</v>
      </c>
      <c r="JJU73" s="263" t="s">
        <v>31</v>
      </c>
      <c r="JJV73" s="254"/>
      <c r="JJW73" s="254"/>
      <c r="JJX73" s="264">
        <v>5.7000000000000002E-2</v>
      </c>
      <c r="JJY73" s="193"/>
      <c r="JJZ73" s="263" t="s">
        <v>2</v>
      </c>
      <c r="JKA73" s="193"/>
      <c r="JKB73" s="255" t="s">
        <v>168</v>
      </c>
      <c r="JKC73" s="263" t="s">
        <v>31</v>
      </c>
      <c r="JKD73" s="254"/>
      <c r="JKE73" s="254"/>
      <c r="JKF73" s="264">
        <v>5.7000000000000002E-2</v>
      </c>
      <c r="JKG73" s="193"/>
      <c r="JKH73" s="263" t="s">
        <v>2</v>
      </c>
      <c r="JKI73" s="193"/>
      <c r="JKJ73" s="255" t="s">
        <v>168</v>
      </c>
      <c r="JKK73" s="263" t="s">
        <v>31</v>
      </c>
      <c r="JKL73" s="254"/>
      <c r="JKM73" s="254"/>
      <c r="JKN73" s="264">
        <v>5.7000000000000002E-2</v>
      </c>
      <c r="JKO73" s="193"/>
      <c r="JKP73" s="263" t="s">
        <v>2</v>
      </c>
      <c r="JKQ73" s="193"/>
      <c r="JKR73" s="255" t="s">
        <v>168</v>
      </c>
      <c r="JKS73" s="263" t="s">
        <v>31</v>
      </c>
      <c r="JKT73" s="254"/>
      <c r="JKU73" s="254"/>
      <c r="JKV73" s="264">
        <v>5.7000000000000002E-2</v>
      </c>
      <c r="JKW73" s="193"/>
      <c r="JKX73" s="263" t="s">
        <v>2</v>
      </c>
      <c r="JKY73" s="193"/>
      <c r="JKZ73" s="255" t="s">
        <v>168</v>
      </c>
      <c r="JLA73" s="263" t="s">
        <v>31</v>
      </c>
      <c r="JLB73" s="254"/>
      <c r="JLC73" s="254"/>
      <c r="JLD73" s="264">
        <v>5.7000000000000002E-2</v>
      </c>
      <c r="JLE73" s="193"/>
      <c r="JLF73" s="263" t="s">
        <v>2</v>
      </c>
      <c r="JLG73" s="193"/>
      <c r="JLH73" s="255" t="s">
        <v>168</v>
      </c>
      <c r="JLI73" s="263" t="s">
        <v>31</v>
      </c>
      <c r="JLJ73" s="254"/>
      <c r="JLK73" s="254"/>
      <c r="JLL73" s="264">
        <v>5.7000000000000002E-2</v>
      </c>
      <c r="JLM73" s="193"/>
      <c r="JLN73" s="263" t="s">
        <v>2</v>
      </c>
      <c r="JLO73" s="193"/>
      <c r="JLP73" s="255" t="s">
        <v>168</v>
      </c>
      <c r="JLQ73" s="263" t="s">
        <v>31</v>
      </c>
      <c r="JLR73" s="254"/>
      <c r="JLS73" s="254"/>
      <c r="JLT73" s="264">
        <v>5.7000000000000002E-2</v>
      </c>
      <c r="JLU73" s="193"/>
      <c r="JLV73" s="263" t="s">
        <v>2</v>
      </c>
      <c r="JLW73" s="193"/>
      <c r="JLX73" s="255" t="s">
        <v>168</v>
      </c>
      <c r="JLY73" s="263" t="s">
        <v>31</v>
      </c>
      <c r="JLZ73" s="254"/>
      <c r="JMA73" s="254"/>
      <c r="JMB73" s="264">
        <v>5.7000000000000002E-2</v>
      </c>
      <c r="JMC73" s="193"/>
      <c r="JMD73" s="263" t="s">
        <v>2</v>
      </c>
      <c r="JME73" s="193"/>
      <c r="JMF73" s="255" t="s">
        <v>168</v>
      </c>
      <c r="JMG73" s="263" t="s">
        <v>31</v>
      </c>
      <c r="JMH73" s="254"/>
      <c r="JMI73" s="254"/>
      <c r="JMJ73" s="264">
        <v>5.7000000000000002E-2</v>
      </c>
      <c r="JMK73" s="193"/>
      <c r="JML73" s="263" t="s">
        <v>2</v>
      </c>
      <c r="JMM73" s="193"/>
      <c r="JMN73" s="255" t="s">
        <v>168</v>
      </c>
      <c r="JMO73" s="263" t="s">
        <v>31</v>
      </c>
      <c r="JMP73" s="254"/>
      <c r="JMQ73" s="254"/>
      <c r="JMR73" s="264">
        <v>5.7000000000000002E-2</v>
      </c>
      <c r="JMS73" s="193"/>
      <c r="JMT73" s="263" t="s">
        <v>2</v>
      </c>
      <c r="JMU73" s="193"/>
      <c r="JMV73" s="255" t="s">
        <v>168</v>
      </c>
      <c r="JMW73" s="263" t="s">
        <v>31</v>
      </c>
      <c r="JMX73" s="254"/>
      <c r="JMY73" s="254"/>
      <c r="JMZ73" s="264">
        <v>5.7000000000000002E-2</v>
      </c>
      <c r="JNA73" s="193"/>
      <c r="JNB73" s="263" t="s">
        <v>2</v>
      </c>
      <c r="JNC73" s="193"/>
      <c r="JND73" s="255" t="s">
        <v>168</v>
      </c>
      <c r="JNE73" s="263" t="s">
        <v>31</v>
      </c>
      <c r="JNF73" s="254"/>
      <c r="JNG73" s="254"/>
      <c r="JNH73" s="264">
        <v>5.7000000000000002E-2</v>
      </c>
      <c r="JNI73" s="193"/>
      <c r="JNJ73" s="263" t="s">
        <v>2</v>
      </c>
      <c r="JNK73" s="193"/>
      <c r="JNL73" s="255" t="s">
        <v>168</v>
      </c>
      <c r="JNM73" s="263" t="s">
        <v>31</v>
      </c>
      <c r="JNN73" s="254"/>
      <c r="JNO73" s="254"/>
      <c r="JNP73" s="264">
        <v>5.7000000000000002E-2</v>
      </c>
      <c r="JNQ73" s="193"/>
      <c r="JNR73" s="263" t="s">
        <v>2</v>
      </c>
      <c r="JNS73" s="193"/>
      <c r="JNT73" s="255" t="s">
        <v>168</v>
      </c>
      <c r="JNU73" s="263" t="s">
        <v>31</v>
      </c>
      <c r="JNV73" s="254"/>
      <c r="JNW73" s="254"/>
      <c r="JNX73" s="264">
        <v>5.7000000000000002E-2</v>
      </c>
      <c r="JNY73" s="193"/>
      <c r="JNZ73" s="263" t="s">
        <v>2</v>
      </c>
      <c r="JOA73" s="193"/>
      <c r="JOB73" s="255" t="s">
        <v>168</v>
      </c>
      <c r="JOC73" s="263" t="s">
        <v>31</v>
      </c>
      <c r="JOD73" s="254"/>
      <c r="JOE73" s="254"/>
      <c r="JOF73" s="264">
        <v>5.7000000000000002E-2</v>
      </c>
      <c r="JOG73" s="193"/>
      <c r="JOH73" s="263" t="s">
        <v>2</v>
      </c>
      <c r="JOI73" s="193"/>
      <c r="JOJ73" s="255" t="s">
        <v>168</v>
      </c>
      <c r="JOK73" s="263" t="s">
        <v>31</v>
      </c>
      <c r="JOL73" s="254"/>
      <c r="JOM73" s="254"/>
      <c r="JON73" s="264">
        <v>5.7000000000000002E-2</v>
      </c>
      <c r="JOO73" s="193"/>
      <c r="JOP73" s="263" t="s">
        <v>2</v>
      </c>
      <c r="JOQ73" s="193"/>
      <c r="JOR73" s="255" t="s">
        <v>168</v>
      </c>
      <c r="JOS73" s="263" t="s">
        <v>31</v>
      </c>
      <c r="JOT73" s="254"/>
      <c r="JOU73" s="254"/>
      <c r="JOV73" s="264">
        <v>5.7000000000000002E-2</v>
      </c>
      <c r="JOW73" s="193"/>
      <c r="JOX73" s="263" t="s">
        <v>2</v>
      </c>
      <c r="JOY73" s="193"/>
      <c r="JOZ73" s="255" t="s">
        <v>168</v>
      </c>
      <c r="JPA73" s="263" t="s">
        <v>31</v>
      </c>
      <c r="JPB73" s="254"/>
      <c r="JPC73" s="254"/>
      <c r="JPD73" s="264">
        <v>5.7000000000000002E-2</v>
      </c>
      <c r="JPE73" s="193"/>
      <c r="JPF73" s="263" t="s">
        <v>2</v>
      </c>
      <c r="JPG73" s="193"/>
      <c r="JPH73" s="255" t="s">
        <v>168</v>
      </c>
      <c r="JPI73" s="263" t="s">
        <v>31</v>
      </c>
      <c r="JPJ73" s="254"/>
      <c r="JPK73" s="254"/>
      <c r="JPL73" s="264">
        <v>5.7000000000000002E-2</v>
      </c>
      <c r="JPM73" s="193"/>
      <c r="JPN73" s="263" t="s">
        <v>2</v>
      </c>
      <c r="JPO73" s="193"/>
      <c r="JPP73" s="255" t="s">
        <v>168</v>
      </c>
      <c r="JPQ73" s="263" t="s">
        <v>31</v>
      </c>
      <c r="JPR73" s="254"/>
      <c r="JPS73" s="254"/>
      <c r="JPT73" s="264">
        <v>5.7000000000000002E-2</v>
      </c>
      <c r="JPU73" s="193"/>
      <c r="JPV73" s="263" t="s">
        <v>2</v>
      </c>
      <c r="JPW73" s="193"/>
      <c r="JPX73" s="255" t="s">
        <v>168</v>
      </c>
      <c r="JPY73" s="263" t="s">
        <v>31</v>
      </c>
      <c r="JPZ73" s="254"/>
      <c r="JQA73" s="254"/>
      <c r="JQB73" s="264">
        <v>5.7000000000000002E-2</v>
      </c>
      <c r="JQC73" s="193"/>
      <c r="JQD73" s="263" t="s">
        <v>2</v>
      </c>
      <c r="JQE73" s="193"/>
      <c r="JQF73" s="255" t="s">
        <v>168</v>
      </c>
      <c r="JQG73" s="263" t="s">
        <v>31</v>
      </c>
      <c r="JQH73" s="254"/>
      <c r="JQI73" s="254"/>
      <c r="JQJ73" s="264">
        <v>5.7000000000000002E-2</v>
      </c>
      <c r="JQK73" s="193"/>
      <c r="JQL73" s="263" t="s">
        <v>2</v>
      </c>
      <c r="JQM73" s="193"/>
      <c r="JQN73" s="255" t="s">
        <v>168</v>
      </c>
      <c r="JQO73" s="263" t="s">
        <v>31</v>
      </c>
      <c r="JQP73" s="254"/>
      <c r="JQQ73" s="254"/>
      <c r="JQR73" s="264">
        <v>5.7000000000000002E-2</v>
      </c>
      <c r="JQS73" s="193"/>
      <c r="JQT73" s="263" t="s">
        <v>2</v>
      </c>
      <c r="JQU73" s="193"/>
      <c r="JQV73" s="255" t="s">
        <v>168</v>
      </c>
      <c r="JQW73" s="263" t="s">
        <v>31</v>
      </c>
      <c r="JQX73" s="254"/>
      <c r="JQY73" s="254"/>
      <c r="JQZ73" s="264">
        <v>5.7000000000000002E-2</v>
      </c>
      <c r="JRA73" s="193"/>
      <c r="JRB73" s="263" t="s">
        <v>2</v>
      </c>
      <c r="JRC73" s="193"/>
      <c r="JRD73" s="255" t="s">
        <v>168</v>
      </c>
      <c r="JRE73" s="263" t="s">
        <v>31</v>
      </c>
      <c r="JRF73" s="254"/>
      <c r="JRG73" s="254"/>
      <c r="JRH73" s="264">
        <v>5.7000000000000002E-2</v>
      </c>
      <c r="JRI73" s="193"/>
      <c r="JRJ73" s="263" t="s">
        <v>2</v>
      </c>
      <c r="JRK73" s="193"/>
      <c r="JRL73" s="255" t="s">
        <v>168</v>
      </c>
      <c r="JRM73" s="263" t="s">
        <v>31</v>
      </c>
      <c r="JRN73" s="254"/>
      <c r="JRO73" s="254"/>
      <c r="JRP73" s="264">
        <v>5.7000000000000002E-2</v>
      </c>
      <c r="JRQ73" s="193"/>
      <c r="JRR73" s="263" t="s">
        <v>2</v>
      </c>
      <c r="JRS73" s="193"/>
      <c r="JRT73" s="255" t="s">
        <v>168</v>
      </c>
      <c r="JRU73" s="263" t="s">
        <v>31</v>
      </c>
      <c r="JRV73" s="254"/>
      <c r="JRW73" s="254"/>
      <c r="JRX73" s="264">
        <v>5.7000000000000002E-2</v>
      </c>
      <c r="JRY73" s="193"/>
      <c r="JRZ73" s="263" t="s">
        <v>2</v>
      </c>
      <c r="JSA73" s="193"/>
      <c r="JSB73" s="255" t="s">
        <v>168</v>
      </c>
      <c r="JSC73" s="263" t="s">
        <v>31</v>
      </c>
      <c r="JSD73" s="254"/>
      <c r="JSE73" s="254"/>
      <c r="JSF73" s="264">
        <v>5.7000000000000002E-2</v>
      </c>
      <c r="JSG73" s="193"/>
      <c r="JSH73" s="263" t="s">
        <v>2</v>
      </c>
      <c r="JSI73" s="193"/>
      <c r="JSJ73" s="255" t="s">
        <v>168</v>
      </c>
      <c r="JSK73" s="263" t="s">
        <v>31</v>
      </c>
      <c r="JSL73" s="254"/>
      <c r="JSM73" s="254"/>
      <c r="JSN73" s="264">
        <v>5.7000000000000002E-2</v>
      </c>
      <c r="JSO73" s="193"/>
      <c r="JSP73" s="263" t="s">
        <v>2</v>
      </c>
      <c r="JSQ73" s="193"/>
      <c r="JSR73" s="255" t="s">
        <v>168</v>
      </c>
      <c r="JSS73" s="263" t="s">
        <v>31</v>
      </c>
      <c r="JST73" s="254"/>
      <c r="JSU73" s="254"/>
      <c r="JSV73" s="264">
        <v>5.7000000000000002E-2</v>
      </c>
      <c r="JSW73" s="193"/>
      <c r="JSX73" s="263" t="s">
        <v>2</v>
      </c>
      <c r="JSY73" s="193"/>
      <c r="JSZ73" s="255" t="s">
        <v>168</v>
      </c>
      <c r="JTA73" s="263" t="s">
        <v>31</v>
      </c>
      <c r="JTB73" s="254"/>
      <c r="JTC73" s="254"/>
      <c r="JTD73" s="264">
        <v>5.7000000000000002E-2</v>
      </c>
      <c r="JTE73" s="193"/>
      <c r="JTF73" s="263" t="s">
        <v>2</v>
      </c>
      <c r="JTG73" s="193"/>
      <c r="JTH73" s="255" t="s">
        <v>168</v>
      </c>
      <c r="JTI73" s="263" t="s">
        <v>31</v>
      </c>
      <c r="JTJ73" s="254"/>
      <c r="JTK73" s="254"/>
      <c r="JTL73" s="264">
        <v>5.7000000000000002E-2</v>
      </c>
      <c r="JTM73" s="193"/>
      <c r="JTN73" s="263" t="s">
        <v>2</v>
      </c>
      <c r="JTO73" s="193"/>
      <c r="JTP73" s="255" t="s">
        <v>168</v>
      </c>
      <c r="JTQ73" s="263" t="s">
        <v>31</v>
      </c>
      <c r="JTR73" s="254"/>
      <c r="JTS73" s="254"/>
      <c r="JTT73" s="264">
        <v>5.7000000000000002E-2</v>
      </c>
      <c r="JTU73" s="193"/>
      <c r="JTV73" s="263" t="s">
        <v>2</v>
      </c>
      <c r="JTW73" s="193"/>
      <c r="JTX73" s="255" t="s">
        <v>168</v>
      </c>
      <c r="JTY73" s="263" t="s">
        <v>31</v>
      </c>
      <c r="JTZ73" s="254"/>
      <c r="JUA73" s="254"/>
      <c r="JUB73" s="264">
        <v>5.7000000000000002E-2</v>
      </c>
      <c r="JUC73" s="193"/>
      <c r="JUD73" s="263" t="s">
        <v>2</v>
      </c>
      <c r="JUE73" s="193"/>
      <c r="JUF73" s="255" t="s">
        <v>168</v>
      </c>
      <c r="JUG73" s="263" t="s">
        <v>31</v>
      </c>
      <c r="JUH73" s="254"/>
      <c r="JUI73" s="254"/>
      <c r="JUJ73" s="264">
        <v>5.7000000000000002E-2</v>
      </c>
      <c r="JUK73" s="193"/>
      <c r="JUL73" s="263" t="s">
        <v>2</v>
      </c>
      <c r="JUM73" s="193"/>
      <c r="JUN73" s="255" t="s">
        <v>168</v>
      </c>
      <c r="JUO73" s="263" t="s">
        <v>31</v>
      </c>
      <c r="JUP73" s="254"/>
      <c r="JUQ73" s="254"/>
      <c r="JUR73" s="264">
        <v>5.7000000000000002E-2</v>
      </c>
      <c r="JUS73" s="193"/>
      <c r="JUT73" s="263" t="s">
        <v>2</v>
      </c>
      <c r="JUU73" s="193"/>
      <c r="JUV73" s="255" t="s">
        <v>168</v>
      </c>
      <c r="JUW73" s="263" t="s">
        <v>31</v>
      </c>
      <c r="JUX73" s="254"/>
      <c r="JUY73" s="254"/>
      <c r="JUZ73" s="264">
        <v>5.7000000000000002E-2</v>
      </c>
      <c r="JVA73" s="193"/>
      <c r="JVB73" s="263" t="s">
        <v>2</v>
      </c>
      <c r="JVC73" s="193"/>
      <c r="JVD73" s="255" t="s">
        <v>168</v>
      </c>
      <c r="JVE73" s="263" t="s">
        <v>31</v>
      </c>
      <c r="JVF73" s="254"/>
      <c r="JVG73" s="254"/>
      <c r="JVH73" s="264">
        <v>5.7000000000000002E-2</v>
      </c>
      <c r="JVI73" s="193"/>
      <c r="JVJ73" s="263" t="s">
        <v>2</v>
      </c>
      <c r="JVK73" s="193"/>
      <c r="JVL73" s="255" t="s">
        <v>168</v>
      </c>
      <c r="JVM73" s="263" t="s">
        <v>31</v>
      </c>
      <c r="JVN73" s="254"/>
      <c r="JVO73" s="254"/>
      <c r="JVP73" s="264">
        <v>5.7000000000000002E-2</v>
      </c>
      <c r="JVQ73" s="193"/>
      <c r="JVR73" s="263" t="s">
        <v>2</v>
      </c>
      <c r="JVS73" s="193"/>
      <c r="JVT73" s="255" t="s">
        <v>168</v>
      </c>
      <c r="JVU73" s="263" t="s">
        <v>31</v>
      </c>
      <c r="JVV73" s="254"/>
      <c r="JVW73" s="254"/>
      <c r="JVX73" s="264">
        <v>5.7000000000000002E-2</v>
      </c>
      <c r="JVY73" s="193"/>
      <c r="JVZ73" s="263" t="s">
        <v>2</v>
      </c>
      <c r="JWA73" s="193"/>
      <c r="JWB73" s="255" t="s">
        <v>168</v>
      </c>
      <c r="JWC73" s="263" t="s">
        <v>31</v>
      </c>
      <c r="JWD73" s="254"/>
      <c r="JWE73" s="254"/>
      <c r="JWF73" s="264">
        <v>5.7000000000000002E-2</v>
      </c>
      <c r="JWG73" s="193"/>
      <c r="JWH73" s="263" t="s">
        <v>2</v>
      </c>
      <c r="JWI73" s="193"/>
      <c r="JWJ73" s="255" t="s">
        <v>168</v>
      </c>
      <c r="JWK73" s="263" t="s">
        <v>31</v>
      </c>
      <c r="JWL73" s="254"/>
      <c r="JWM73" s="254"/>
      <c r="JWN73" s="264">
        <v>5.7000000000000002E-2</v>
      </c>
      <c r="JWO73" s="193"/>
      <c r="JWP73" s="263" t="s">
        <v>2</v>
      </c>
      <c r="JWQ73" s="193"/>
      <c r="JWR73" s="255" t="s">
        <v>168</v>
      </c>
      <c r="JWS73" s="263" t="s">
        <v>31</v>
      </c>
      <c r="JWT73" s="254"/>
      <c r="JWU73" s="254"/>
      <c r="JWV73" s="264">
        <v>5.7000000000000002E-2</v>
      </c>
      <c r="JWW73" s="193"/>
      <c r="JWX73" s="263" t="s">
        <v>2</v>
      </c>
      <c r="JWY73" s="193"/>
      <c r="JWZ73" s="255" t="s">
        <v>168</v>
      </c>
      <c r="JXA73" s="263" t="s">
        <v>31</v>
      </c>
      <c r="JXB73" s="254"/>
      <c r="JXC73" s="254"/>
      <c r="JXD73" s="264">
        <v>5.7000000000000002E-2</v>
      </c>
      <c r="JXE73" s="193"/>
      <c r="JXF73" s="263" t="s">
        <v>2</v>
      </c>
      <c r="JXG73" s="193"/>
      <c r="JXH73" s="255" t="s">
        <v>168</v>
      </c>
      <c r="JXI73" s="263" t="s">
        <v>31</v>
      </c>
      <c r="JXJ73" s="254"/>
      <c r="JXK73" s="254"/>
      <c r="JXL73" s="264">
        <v>5.7000000000000002E-2</v>
      </c>
      <c r="JXM73" s="193"/>
      <c r="JXN73" s="263" t="s">
        <v>2</v>
      </c>
      <c r="JXO73" s="193"/>
      <c r="JXP73" s="255" t="s">
        <v>168</v>
      </c>
      <c r="JXQ73" s="263" t="s">
        <v>31</v>
      </c>
      <c r="JXR73" s="254"/>
      <c r="JXS73" s="254"/>
      <c r="JXT73" s="264">
        <v>5.7000000000000002E-2</v>
      </c>
      <c r="JXU73" s="193"/>
      <c r="JXV73" s="263" t="s">
        <v>2</v>
      </c>
      <c r="JXW73" s="193"/>
      <c r="JXX73" s="255" t="s">
        <v>168</v>
      </c>
      <c r="JXY73" s="263" t="s">
        <v>31</v>
      </c>
      <c r="JXZ73" s="254"/>
      <c r="JYA73" s="254"/>
      <c r="JYB73" s="264">
        <v>5.7000000000000002E-2</v>
      </c>
      <c r="JYC73" s="193"/>
      <c r="JYD73" s="263" t="s">
        <v>2</v>
      </c>
      <c r="JYE73" s="193"/>
      <c r="JYF73" s="255" t="s">
        <v>168</v>
      </c>
      <c r="JYG73" s="263" t="s">
        <v>31</v>
      </c>
      <c r="JYH73" s="254"/>
      <c r="JYI73" s="254"/>
      <c r="JYJ73" s="264">
        <v>5.7000000000000002E-2</v>
      </c>
      <c r="JYK73" s="193"/>
      <c r="JYL73" s="263" t="s">
        <v>2</v>
      </c>
      <c r="JYM73" s="193"/>
      <c r="JYN73" s="255" t="s">
        <v>168</v>
      </c>
      <c r="JYO73" s="263" t="s">
        <v>31</v>
      </c>
      <c r="JYP73" s="254"/>
      <c r="JYQ73" s="254"/>
      <c r="JYR73" s="264">
        <v>5.7000000000000002E-2</v>
      </c>
      <c r="JYS73" s="193"/>
      <c r="JYT73" s="263" t="s">
        <v>2</v>
      </c>
      <c r="JYU73" s="193"/>
      <c r="JYV73" s="255" t="s">
        <v>168</v>
      </c>
      <c r="JYW73" s="263" t="s">
        <v>31</v>
      </c>
      <c r="JYX73" s="254"/>
      <c r="JYY73" s="254"/>
      <c r="JYZ73" s="264">
        <v>5.7000000000000002E-2</v>
      </c>
      <c r="JZA73" s="193"/>
      <c r="JZB73" s="263" t="s">
        <v>2</v>
      </c>
      <c r="JZC73" s="193"/>
      <c r="JZD73" s="255" t="s">
        <v>168</v>
      </c>
      <c r="JZE73" s="263" t="s">
        <v>31</v>
      </c>
      <c r="JZF73" s="254"/>
      <c r="JZG73" s="254"/>
      <c r="JZH73" s="264">
        <v>5.7000000000000002E-2</v>
      </c>
      <c r="JZI73" s="193"/>
      <c r="JZJ73" s="263" t="s">
        <v>2</v>
      </c>
      <c r="JZK73" s="193"/>
      <c r="JZL73" s="255" t="s">
        <v>168</v>
      </c>
      <c r="JZM73" s="263" t="s">
        <v>31</v>
      </c>
      <c r="JZN73" s="254"/>
      <c r="JZO73" s="254"/>
      <c r="JZP73" s="264">
        <v>5.7000000000000002E-2</v>
      </c>
      <c r="JZQ73" s="193"/>
      <c r="JZR73" s="263" t="s">
        <v>2</v>
      </c>
      <c r="JZS73" s="193"/>
      <c r="JZT73" s="255" t="s">
        <v>168</v>
      </c>
      <c r="JZU73" s="263" t="s">
        <v>31</v>
      </c>
      <c r="JZV73" s="254"/>
      <c r="JZW73" s="254"/>
      <c r="JZX73" s="264">
        <v>5.7000000000000002E-2</v>
      </c>
      <c r="JZY73" s="193"/>
      <c r="JZZ73" s="263" t="s">
        <v>2</v>
      </c>
      <c r="KAA73" s="193"/>
      <c r="KAB73" s="255" t="s">
        <v>168</v>
      </c>
      <c r="KAC73" s="263" t="s">
        <v>31</v>
      </c>
      <c r="KAD73" s="254"/>
      <c r="KAE73" s="254"/>
      <c r="KAF73" s="264">
        <v>5.7000000000000002E-2</v>
      </c>
      <c r="KAG73" s="193"/>
      <c r="KAH73" s="263" t="s">
        <v>2</v>
      </c>
      <c r="KAI73" s="193"/>
      <c r="KAJ73" s="255" t="s">
        <v>168</v>
      </c>
      <c r="KAK73" s="263" t="s">
        <v>31</v>
      </c>
      <c r="KAL73" s="254"/>
      <c r="KAM73" s="254"/>
      <c r="KAN73" s="264">
        <v>5.7000000000000002E-2</v>
      </c>
      <c r="KAO73" s="193"/>
      <c r="KAP73" s="263" t="s">
        <v>2</v>
      </c>
      <c r="KAQ73" s="193"/>
      <c r="KAR73" s="255" t="s">
        <v>168</v>
      </c>
      <c r="KAS73" s="263" t="s">
        <v>31</v>
      </c>
      <c r="KAT73" s="254"/>
      <c r="KAU73" s="254"/>
      <c r="KAV73" s="264">
        <v>5.7000000000000002E-2</v>
      </c>
      <c r="KAW73" s="193"/>
      <c r="KAX73" s="263" t="s">
        <v>2</v>
      </c>
      <c r="KAY73" s="193"/>
      <c r="KAZ73" s="255" t="s">
        <v>168</v>
      </c>
      <c r="KBA73" s="263" t="s">
        <v>31</v>
      </c>
      <c r="KBB73" s="254"/>
      <c r="KBC73" s="254"/>
      <c r="KBD73" s="264">
        <v>5.7000000000000002E-2</v>
      </c>
      <c r="KBE73" s="193"/>
      <c r="KBF73" s="263" t="s">
        <v>2</v>
      </c>
      <c r="KBG73" s="193"/>
      <c r="KBH73" s="255" t="s">
        <v>168</v>
      </c>
      <c r="KBI73" s="263" t="s">
        <v>31</v>
      </c>
      <c r="KBJ73" s="254"/>
      <c r="KBK73" s="254"/>
      <c r="KBL73" s="264">
        <v>5.7000000000000002E-2</v>
      </c>
      <c r="KBM73" s="193"/>
      <c r="KBN73" s="263" t="s">
        <v>2</v>
      </c>
      <c r="KBO73" s="193"/>
      <c r="KBP73" s="255" t="s">
        <v>168</v>
      </c>
      <c r="KBQ73" s="263" t="s">
        <v>31</v>
      </c>
      <c r="KBR73" s="254"/>
      <c r="KBS73" s="254"/>
      <c r="KBT73" s="264">
        <v>5.7000000000000002E-2</v>
      </c>
      <c r="KBU73" s="193"/>
      <c r="KBV73" s="263" t="s">
        <v>2</v>
      </c>
      <c r="KBW73" s="193"/>
      <c r="KBX73" s="255" t="s">
        <v>168</v>
      </c>
      <c r="KBY73" s="263" t="s">
        <v>31</v>
      </c>
      <c r="KBZ73" s="254"/>
      <c r="KCA73" s="254"/>
      <c r="KCB73" s="264">
        <v>5.7000000000000002E-2</v>
      </c>
      <c r="KCC73" s="193"/>
      <c r="KCD73" s="263" t="s">
        <v>2</v>
      </c>
      <c r="KCE73" s="193"/>
      <c r="KCF73" s="255" t="s">
        <v>168</v>
      </c>
      <c r="KCG73" s="263" t="s">
        <v>31</v>
      </c>
      <c r="KCH73" s="254"/>
      <c r="KCI73" s="254"/>
      <c r="KCJ73" s="264">
        <v>5.7000000000000002E-2</v>
      </c>
      <c r="KCK73" s="193"/>
      <c r="KCL73" s="263" t="s">
        <v>2</v>
      </c>
      <c r="KCM73" s="193"/>
      <c r="KCN73" s="255" t="s">
        <v>168</v>
      </c>
      <c r="KCO73" s="263" t="s">
        <v>31</v>
      </c>
      <c r="KCP73" s="254"/>
      <c r="KCQ73" s="254"/>
      <c r="KCR73" s="264">
        <v>5.7000000000000002E-2</v>
      </c>
      <c r="KCS73" s="193"/>
      <c r="KCT73" s="263" t="s">
        <v>2</v>
      </c>
      <c r="KCU73" s="193"/>
      <c r="KCV73" s="255" t="s">
        <v>168</v>
      </c>
      <c r="KCW73" s="263" t="s">
        <v>31</v>
      </c>
      <c r="KCX73" s="254"/>
      <c r="KCY73" s="254"/>
      <c r="KCZ73" s="264">
        <v>5.7000000000000002E-2</v>
      </c>
      <c r="KDA73" s="193"/>
      <c r="KDB73" s="263" t="s">
        <v>2</v>
      </c>
      <c r="KDC73" s="193"/>
      <c r="KDD73" s="255" t="s">
        <v>168</v>
      </c>
      <c r="KDE73" s="263" t="s">
        <v>31</v>
      </c>
      <c r="KDF73" s="254"/>
      <c r="KDG73" s="254"/>
      <c r="KDH73" s="264">
        <v>5.7000000000000002E-2</v>
      </c>
      <c r="KDI73" s="193"/>
      <c r="KDJ73" s="263" t="s">
        <v>2</v>
      </c>
      <c r="KDK73" s="193"/>
      <c r="KDL73" s="255" t="s">
        <v>168</v>
      </c>
      <c r="KDM73" s="263" t="s">
        <v>31</v>
      </c>
      <c r="KDN73" s="254"/>
      <c r="KDO73" s="254"/>
      <c r="KDP73" s="264">
        <v>5.7000000000000002E-2</v>
      </c>
      <c r="KDQ73" s="193"/>
      <c r="KDR73" s="263" t="s">
        <v>2</v>
      </c>
      <c r="KDS73" s="193"/>
      <c r="KDT73" s="255" t="s">
        <v>168</v>
      </c>
      <c r="KDU73" s="263" t="s">
        <v>31</v>
      </c>
      <c r="KDV73" s="254"/>
      <c r="KDW73" s="254"/>
      <c r="KDX73" s="264">
        <v>5.7000000000000002E-2</v>
      </c>
      <c r="KDY73" s="193"/>
      <c r="KDZ73" s="263" t="s">
        <v>2</v>
      </c>
      <c r="KEA73" s="193"/>
      <c r="KEB73" s="255" t="s">
        <v>168</v>
      </c>
      <c r="KEC73" s="263" t="s">
        <v>31</v>
      </c>
      <c r="KED73" s="254"/>
      <c r="KEE73" s="254"/>
      <c r="KEF73" s="264">
        <v>5.7000000000000002E-2</v>
      </c>
      <c r="KEG73" s="193"/>
      <c r="KEH73" s="263" t="s">
        <v>2</v>
      </c>
      <c r="KEI73" s="193"/>
      <c r="KEJ73" s="255" t="s">
        <v>168</v>
      </c>
      <c r="KEK73" s="263" t="s">
        <v>31</v>
      </c>
      <c r="KEL73" s="254"/>
      <c r="KEM73" s="254"/>
      <c r="KEN73" s="264">
        <v>5.7000000000000002E-2</v>
      </c>
      <c r="KEO73" s="193"/>
      <c r="KEP73" s="263" t="s">
        <v>2</v>
      </c>
      <c r="KEQ73" s="193"/>
      <c r="KER73" s="255" t="s">
        <v>168</v>
      </c>
      <c r="KES73" s="263" t="s">
        <v>31</v>
      </c>
      <c r="KET73" s="254"/>
      <c r="KEU73" s="254"/>
      <c r="KEV73" s="264">
        <v>5.7000000000000002E-2</v>
      </c>
      <c r="KEW73" s="193"/>
      <c r="KEX73" s="263" t="s">
        <v>2</v>
      </c>
      <c r="KEY73" s="193"/>
      <c r="KEZ73" s="255" t="s">
        <v>168</v>
      </c>
      <c r="KFA73" s="263" t="s">
        <v>31</v>
      </c>
      <c r="KFB73" s="254"/>
      <c r="KFC73" s="254"/>
      <c r="KFD73" s="264">
        <v>5.7000000000000002E-2</v>
      </c>
      <c r="KFE73" s="193"/>
      <c r="KFF73" s="263" t="s">
        <v>2</v>
      </c>
      <c r="KFG73" s="193"/>
      <c r="KFH73" s="255" t="s">
        <v>168</v>
      </c>
      <c r="KFI73" s="263" t="s">
        <v>31</v>
      </c>
      <c r="KFJ73" s="254"/>
      <c r="KFK73" s="254"/>
      <c r="KFL73" s="264">
        <v>5.7000000000000002E-2</v>
      </c>
      <c r="KFM73" s="193"/>
      <c r="KFN73" s="263" t="s">
        <v>2</v>
      </c>
      <c r="KFO73" s="193"/>
      <c r="KFP73" s="255" t="s">
        <v>168</v>
      </c>
      <c r="KFQ73" s="263" t="s">
        <v>31</v>
      </c>
      <c r="KFR73" s="254"/>
      <c r="KFS73" s="254"/>
      <c r="KFT73" s="264">
        <v>5.7000000000000002E-2</v>
      </c>
      <c r="KFU73" s="193"/>
      <c r="KFV73" s="263" t="s">
        <v>2</v>
      </c>
      <c r="KFW73" s="193"/>
      <c r="KFX73" s="255" t="s">
        <v>168</v>
      </c>
      <c r="KFY73" s="263" t="s">
        <v>31</v>
      </c>
      <c r="KFZ73" s="254"/>
      <c r="KGA73" s="254"/>
      <c r="KGB73" s="264">
        <v>5.7000000000000002E-2</v>
      </c>
      <c r="KGC73" s="193"/>
      <c r="KGD73" s="263" t="s">
        <v>2</v>
      </c>
      <c r="KGE73" s="193"/>
      <c r="KGF73" s="255" t="s">
        <v>168</v>
      </c>
      <c r="KGG73" s="263" t="s">
        <v>31</v>
      </c>
      <c r="KGH73" s="254"/>
      <c r="KGI73" s="254"/>
      <c r="KGJ73" s="264">
        <v>5.7000000000000002E-2</v>
      </c>
      <c r="KGK73" s="193"/>
      <c r="KGL73" s="263" t="s">
        <v>2</v>
      </c>
      <c r="KGM73" s="193"/>
      <c r="KGN73" s="255" t="s">
        <v>168</v>
      </c>
      <c r="KGO73" s="263" t="s">
        <v>31</v>
      </c>
      <c r="KGP73" s="254"/>
      <c r="KGQ73" s="254"/>
      <c r="KGR73" s="264">
        <v>5.7000000000000002E-2</v>
      </c>
      <c r="KGS73" s="193"/>
      <c r="KGT73" s="263" t="s">
        <v>2</v>
      </c>
      <c r="KGU73" s="193"/>
      <c r="KGV73" s="255" t="s">
        <v>168</v>
      </c>
      <c r="KGW73" s="263" t="s">
        <v>31</v>
      </c>
      <c r="KGX73" s="254"/>
      <c r="KGY73" s="254"/>
      <c r="KGZ73" s="264">
        <v>5.7000000000000002E-2</v>
      </c>
      <c r="KHA73" s="193"/>
      <c r="KHB73" s="263" t="s">
        <v>2</v>
      </c>
      <c r="KHC73" s="193"/>
      <c r="KHD73" s="255" t="s">
        <v>168</v>
      </c>
      <c r="KHE73" s="263" t="s">
        <v>31</v>
      </c>
      <c r="KHF73" s="254"/>
      <c r="KHG73" s="254"/>
      <c r="KHH73" s="264">
        <v>5.7000000000000002E-2</v>
      </c>
      <c r="KHI73" s="193"/>
      <c r="KHJ73" s="263" t="s">
        <v>2</v>
      </c>
      <c r="KHK73" s="193"/>
      <c r="KHL73" s="255" t="s">
        <v>168</v>
      </c>
      <c r="KHM73" s="263" t="s">
        <v>31</v>
      </c>
      <c r="KHN73" s="254"/>
      <c r="KHO73" s="254"/>
      <c r="KHP73" s="264">
        <v>5.7000000000000002E-2</v>
      </c>
      <c r="KHQ73" s="193"/>
      <c r="KHR73" s="263" t="s">
        <v>2</v>
      </c>
      <c r="KHS73" s="193"/>
      <c r="KHT73" s="255" t="s">
        <v>168</v>
      </c>
      <c r="KHU73" s="263" t="s">
        <v>31</v>
      </c>
      <c r="KHV73" s="254"/>
      <c r="KHW73" s="254"/>
      <c r="KHX73" s="264">
        <v>5.7000000000000002E-2</v>
      </c>
      <c r="KHY73" s="193"/>
      <c r="KHZ73" s="263" t="s">
        <v>2</v>
      </c>
      <c r="KIA73" s="193"/>
      <c r="KIB73" s="255" t="s">
        <v>168</v>
      </c>
      <c r="KIC73" s="263" t="s">
        <v>31</v>
      </c>
      <c r="KID73" s="254"/>
      <c r="KIE73" s="254"/>
      <c r="KIF73" s="264">
        <v>5.7000000000000002E-2</v>
      </c>
      <c r="KIG73" s="193"/>
      <c r="KIH73" s="263" t="s">
        <v>2</v>
      </c>
      <c r="KII73" s="193"/>
      <c r="KIJ73" s="255" t="s">
        <v>168</v>
      </c>
      <c r="KIK73" s="263" t="s">
        <v>31</v>
      </c>
      <c r="KIL73" s="254"/>
      <c r="KIM73" s="254"/>
      <c r="KIN73" s="264">
        <v>5.7000000000000002E-2</v>
      </c>
      <c r="KIO73" s="193"/>
      <c r="KIP73" s="263" t="s">
        <v>2</v>
      </c>
      <c r="KIQ73" s="193"/>
      <c r="KIR73" s="255" t="s">
        <v>168</v>
      </c>
      <c r="KIS73" s="263" t="s">
        <v>31</v>
      </c>
      <c r="KIT73" s="254"/>
      <c r="KIU73" s="254"/>
      <c r="KIV73" s="264">
        <v>5.7000000000000002E-2</v>
      </c>
      <c r="KIW73" s="193"/>
      <c r="KIX73" s="263" t="s">
        <v>2</v>
      </c>
      <c r="KIY73" s="193"/>
      <c r="KIZ73" s="255" t="s">
        <v>168</v>
      </c>
      <c r="KJA73" s="263" t="s">
        <v>31</v>
      </c>
      <c r="KJB73" s="254"/>
      <c r="KJC73" s="254"/>
      <c r="KJD73" s="264">
        <v>5.7000000000000002E-2</v>
      </c>
      <c r="KJE73" s="193"/>
      <c r="KJF73" s="263" t="s">
        <v>2</v>
      </c>
      <c r="KJG73" s="193"/>
      <c r="KJH73" s="255" t="s">
        <v>168</v>
      </c>
      <c r="KJI73" s="263" t="s">
        <v>31</v>
      </c>
      <c r="KJJ73" s="254"/>
      <c r="KJK73" s="254"/>
      <c r="KJL73" s="264">
        <v>5.7000000000000002E-2</v>
      </c>
      <c r="KJM73" s="193"/>
      <c r="KJN73" s="263" t="s">
        <v>2</v>
      </c>
      <c r="KJO73" s="193"/>
      <c r="KJP73" s="255" t="s">
        <v>168</v>
      </c>
      <c r="KJQ73" s="263" t="s">
        <v>31</v>
      </c>
      <c r="KJR73" s="254"/>
      <c r="KJS73" s="254"/>
      <c r="KJT73" s="264">
        <v>5.7000000000000002E-2</v>
      </c>
      <c r="KJU73" s="193"/>
      <c r="KJV73" s="263" t="s">
        <v>2</v>
      </c>
      <c r="KJW73" s="193"/>
      <c r="KJX73" s="255" t="s">
        <v>168</v>
      </c>
      <c r="KJY73" s="263" t="s">
        <v>31</v>
      </c>
      <c r="KJZ73" s="254"/>
      <c r="KKA73" s="254"/>
      <c r="KKB73" s="264">
        <v>5.7000000000000002E-2</v>
      </c>
      <c r="KKC73" s="193"/>
      <c r="KKD73" s="263" t="s">
        <v>2</v>
      </c>
      <c r="KKE73" s="193"/>
      <c r="KKF73" s="255" t="s">
        <v>168</v>
      </c>
      <c r="KKG73" s="263" t="s">
        <v>31</v>
      </c>
      <c r="KKH73" s="254"/>
      <c r="KKI73" s="254"/>
      <c r="KKJ73" s="264">
        <v>5.7000000000000002E-2</v>
      </c>
      <c r="KKK73" s="193"/>
      <c r="KKL73" s="263" t="s">
        <v>2</v>
      </c>
      <c r="KKM73" s="193"/>
      <c r="KKN73" s="255" t="s">
        <v>168</v>
      </c>
      <c r="KKO73" s="263" t="s">
        <v>31</v>
      </c>
      <c r="KKP73" s="254"/>
      <c r="KKQ73" s="254"/>
      <c r="KKR73" s="264">
        <v>5.7000000000000002E-2</v>
      </c>
      <c r="KKS73" s="193"/>
      <c r="KKT73" s="263" t="s">
        <v>2</v>
      </c>
      <c r="KKU73" s="193"/>
      <c r="KKV73" s="255" t="s">
        <v>168</v>
      </c>
      <c r="KKW73" s="263" t="s">
        <v>31</v>
      </c>
      <c r="KKX73" s="254"/>
      <c r="KKY73" s="254"/>
      <c r="KKZ73" s="264">
        <v>5.7000000000000002E-2</v>
      </c>
      <c r="KLA73" s="193"/>
      <c r="KLB73" s="263" t="s">
        <v>2</v>
      </c>
      <c r="KLC73" s="193"/>
      <c r="KLD73" s="255" t="s">
        <v>168</v>
      </c>
      <c r="KLE73" s="263" t="s">
        <v>31</v>
      </c>
      <c r="KLF73" s="254"/>
      <c r="KLG73" s="254"/>
      <c r="KLH73" s="264">
        <v>5.7000000000000002E-2</v>
      </c>
      <c r="KLI73" s="193"/>
      <c r="KLJ73" s="263" t="s">
        <v>2</v>
      </c>
      <c r="KLK73" s="193"/>
      <c r="KLL73" s="255" t="s">
        <v>168</v>
      </c>
      <c r="KLM73" s="263" t="s">
        <v>31</v>
      </c>
      <c r="KLN73" s="254"/>
      <c r="KLO73" s="254"/>
      <c r="KLP73" s="264">
        <v>5.7000000000000002E-2</v>
      </c>
      <c r="KLQ73" s="193"/>
      <c r="KLR73" s="263" t="s">
        <v>2</v>
      </c>
      <c r="KLS73" s="193"/>
      <c r="KLT73" s="255" t="s">
        <v>168</v>
      </c>
      <c r="KLU73" s="263" t="s">
        <v>31</v>
      </c>
      <c r="KLV73" s="254"/>
      <c r="KLW73" s="254"/>
      <c r="KLX73" s="264">
        <v>5.7000000000000002E-2</v>
      </c>
      <c r="KLY73" s="193"/>
      <c r="KLZ73" s="263" t="s">
        <v>2</v>
      </c>
      <c r="KMA73" s="193"/>
      <c r="KMB73" s="255" t="s">
        <v>168</v>
      </c>
      <c r="KMC73" s="263" t="s">
        <v>31</v>
      </c>
      <c r="KMD73" s="254"/>
      <c r="KME73" s="254"/>
      <c r="KMF73" s="264">
        <v>5.7000000000000002E-2</v>
      </c>
      <c r="KMG73" s="193"/>
      <c r="KMH73" s="263" t="s">
        <v>2</v>
      </c>
      <c r="KMI73" s="193"/>
      <c r="KMJ73" s="255" t="s">
        <v>168</v>
      </c>
      <c r="KMK73" s="263" t="s">
        <v>31</v>
      </c>
      <c r="KML73" s="254"/>
      <c r="KMM73" s="254"/>
      <c r="KMN73" s="264">
        <v>5.7000000000000002E-2</v>
      </c>
      <c r="KMO73" s="193"/>
      <c r="KMP73" s="263" t="s">
        <v>2</v>
      </c>
      <c r="KMQ73" s="193"/>
      <c r="KMR73" s="255" t="s">
        <v>168</v>
      </c>
      <c r="KMS73" s="263" t="s">
        <v>31</v>
      </c>
      <c r="KMT73" s="254"/>
      <c r="KMU73" s="254"/>
      <c r="KMV73" s="264">
        <v>5.7000000000000002E-2</v>
      </c>
      <c r="KMW73" s="193"/>
      <c r="KMX73" s="263" t="s">
        <v>2</v>
      </c>
      <c r="KMY73" s="193"/>
      <c r="KMZ73" s="255" t="s">
        <v>168</v>
      </c>
      <c r="KNA73" s="263" t="s">
        <v>31</v>
      </c>
      <c r="KNB73" s="254"/>
      <c r="KNC73" s="254"/>
      <c r="KND73" s="264">
        <v>5.7000000000000002E-2</v>
      </c>
      <c r="KNE73" s="193"/>
      <c r="KNF73" s="263" t="s">
        <v>2</v>
      </c>
      <c r="KNG73" s="193"/>
      <c r="KNH73" s="255" t="s">
        <v>168</v>
      </c>
      <c r="KNI73" s="263" t="s">
        <v>31</v>
      </c>
      <c r="KNJ73" s="254"/>
      <c r="KNK73" s="254"/>
      <c r="KNL73" s="264">
        <v>5.7000000000000002E-2</v>
      </c>
      <c r="KNM73" s="193"/>
      <c r="KNN73" s="263" t="s">
        <v>2</v>
      </c>
      <c r="KNO73" s="193"/>
      <c r="KNP73" s="255" t="s">
        <v>168</v>
      </c>
      <c r="KNQ73" s="263" t="s">
        <v>31</v>
      </c>
      <c r="KNR73" s="254"/>
      <c r="KNS73" s="254"/>
      <c r="KNT73" s="264">
        <v>5.7000000000000002E-2</v>
      </c>
      <c r="KNU73" s="193"/>
      <c r="KNV73" s="263" t="s">
        <v>2</v>
      </c>
      <c r="KNW73" s="193"/>
      <c r="KNX73" s="255" t="s">
        <v>168</v>
      </c>
      <c r="KNY73" s="263" t="s">
        <v>31</v>
      </c>
      <c r="KNZ73" s="254"/>
      <c r="KOA73" s="254"/>
      <c r="KOB73" s="264">
        <v>5.7000000000000002E-2</v>
      </c>
      <c r="KOC73" s="193"/>
      <c r="KOD73" s="263" t="s">
        <v>2</v>
      </c>
      <c r="KOE73" s="193"/>
      <c r="KOF73" s="255" t="s">
        <v>168</v>
      </c>
      <c r="KOG73" s="263" t="s">
        <v>31</v>
      </c>
      <c r="KOH73" s="254"/>
      <c r="KOI73" s="254"/>
      <c r="KOJ73" s="264">
        <v>5.7000000000000002E-2</v>
      </c>
      <c r="KOK73" s="193"/>
      <c r="KOL73" s="263" t="s">
        <v>2</v>
      </c>
      <c r="KOM73" s="193"/>
      <c r="KON73" s="255" t="s">
        <v>168</v>
      </c>
      <c r="KOO73" s="263" t="s">
        <v>31</v>
      </c>
      <c r="KOP73" s="254"/>
      <c r="KOQ73" s="254"/>
      <c r="KOR73" s="264">
        <v>5.7000000000000002E-2</v>
      </c>
      <c r="KOS73" s="193"/>
      <c r="KOT73" s="263" t="s">
        <v>2</v>
      </c>
      <c r="KOU73" s="193"/>
      <c r="KOV73" s="255" t="s">
        <v>168</v>
      </c>
      <c r="KOW73" s="263" t="s">
        <v>31</v>
      </c>
      <c r="KOX73" s="254"/>
      <c r="KOY73" s="254"/>
      <c r="KOZ73" s="264">
        <v>5.7000000000000002E-2</v>
      </c>
      <c r="KPA73" s="193"/>
      <c r="KPB73" s="263" t="s">
        <v>2</v>
      </c>
      <c r="KPC73" s="193"/>
      <c r="KPD73" s="255" t="s">
        <v>168</v>
      </c>
      <c r="KPE73" s="263" t="s">
        <v>31</v>
      </c>
      <c r="KPF73" s="254"/>
      <c r="KPG73" s="254"/>
      <c r="KPH73" s="264">
        <v>5.7000000000000002E-2</v>
      </c>
      <c r="KPI73" s="193"/>
      <c r="KPJ73" s="263" t="s">
        <v>2</v>
      </c>
      <c r="KPK73" s="193"/>
      <c r="KPL73" s="255" t="s">
        <v>168</v>
      </c>
      <c r="KPM73" s="263" t="s">
        <v>31</v>
      </c>
      <c r="KPN73" s="254"/>
      <c r="KPO73" s="254"/>
      <c r="KPP73" s="264">
        <v>5.7000000000000002E-2</v>
      </c>
      <c r="KPQ73" s="193"/>
      <c r="KPR73" s="263" t="s">
        <v>2</v>
      </c>
      <c r="KPS73" s="193"/>
      <c r="KPT73" s="255" t="s">
        <v>168</v>
      </c>
      <c r="KPU73" s="263" t="s">
        <v>31</v>
      </c>
      <c r="KPV73" s="254"/>
      <c r="KPW73" s="254"/>
      <c r="KPX73" s="264">
        <v>5.7000000000000002E-2</v>
      </c>
      <c r="KPY73" s="193"/>
      <c r="KPZ73" s="263" t="s">
        <v>2</v>
      </c>
      <c r="KQA73" s="193"/>
      <c r="KQB73" s="255" t="s">
        <v>168</v>
      </c>
      <c r="KQC73" s="263" t="s">
        <v>31</v>
      </c>
      <c r="KQD73" s="254"/>
      <c r="KQE73" s="254"/>
      <c r="KQF73" s="264">
        <v>5.7000000000000002E-2</v>
      </c>
      <c r="KQG73" s="193"/>
      <c r="KQH73" s="263" t="s">
        <v>2</v>
      </c>
      <c r="KQI73" s="193"/>
      <c r="KQJ73" s="255" t="s">
        <v>168</v>
      </c>
      <c r="KQK73" s="263" t="s">
        <v>31</v>
      </c>
      <c r="KQL73" s="254"/>
      <c r="KQM73" s="254"/>
      <c r="KQN73" s="264">
        <v>5.7000000000000002E-2</v>
      </c>
      <c r="KQO73" s="193"/>
      <c r="KQP73" s="263" t="s">
        <v>2</v>
      </c>
      <c r="KQQ73" s="193"/>
      <c r="KQR73" s="255" t="s">
        <v>168</v>
      </c>
      <c r="KQS73" s="263" t="s">
        <v>31</v>
      </c>
      <c r="KQT73" s="254"/>
      <c r="KQU73" s="254"/>
      <c r="KQV73" s="264">
        <v>5.7000000000000002E-2</v>
      </c>
      <c r="KQW73" s="193"/>
      <c r="KQX73" s="263" t="s">
        <v>2</v>
      </c>
      <c r="KQY73" s="193"/>
      <c r="KQZ73" s="255" t="s">
        <v>168</v>
      </c>
      <c r="KRA73" s="263" t="s">
        <v>31</v>
      </c>
      <c r="KRB73" s="254"/>
      <c r="KRC73" s="254"/>
      <c r="KRD73" s="264">
        <v>5.7000000000000002E-2</v>
      </c>
      <c r="KRE73" s="193"/>
      <c r="KRF73" s="263" t="s">
        <v>2</v>
      </c>
      <c r="KRG73" s="193"/>
      <c r="KRH73" s="255" t="s">
        <v>168</v>
      </c>
      <c r="KRI73" s="263" t="s">
        <v>31</v>
      </c>
      <c r="KRJ73" s="254"/>
      <c r="KRK73" s="254"/>
      <c r="KRL73" s="264">
        <v>5.7000000000000002E-2</v>
      </c>
      <c r="KRM73" s="193"/>
      <c r="KRN73" s="263" t="s">
        <v>2</v>
      </c>
      <c r="KRO73" s="193"/>
      <c r="KRP73" s="255" t="s">
        <v>168</v>
      </c>
      <c r="KRQ73" s="263" t="s">
        <v>31</v>
      </c>
      <c r="KRR73" s="254"/>
      <c r="KRS73" s="254"/>
      <c r="KRT73" s="264">
        <v>5.7000000000000002E-2</v>
      </c>
      <c r="KRU73" s="193"/>
      <c r="KRV73" s="263" t="s">
        <v>2</v>
      </c>
      <c r="KRW73" s="193"/>
      <c r="KRX73" s="255" t="s">
        <v>168</v>
      </c>
      <c r="KRY73" s="263" t="s">
        <v>31</v>
      </c>
      <c r="KRZ73" s="254"/>
      <c r="KSA73" s="254"/>
      <c r="KSB73" s="264">
        <v>5.7000000000000002E-2</v>
      </c>
      <c r="KSC73" s="193"/>
      <c r="KSD73" s="263" t="s">
        <v>2</v>
      </c>
      <c r="KSE73" s="193"/>
      <c r="KSF73" s="255" t="s">
        <v>168</v>
      </c>
      <c r="KSG73" s="263" t="s">
        <v>31</v>
      </c>
      <c r="KSH73" s="254"/>
      <c r="KSI73" s="254"/>
      <c r="KSJ73" s="264">
        <v>5.7000000000000002E-2</v>
      </c>
      <c r="KSK73" s="193"/>
      <c r="KSL73" s="263" t="s">
        <v>2</v>
      </c>
      <c r="KSM73" s="193"/>
      <c r="KSN73" s="255" t="s">
        <v>168</v>
      </c>
      <c r="KSO73" s="263" t="s">
        <v>31</v>
      </c>
      <c r="KSP73" s="254"/>
      <c r="KSQ73" s="254"/>
      <c r="KSR73" s="264">
        <v>5.7000000000000002E-2</v>
      </c>
      <c r="KSS73" s="193"/>
      <c r="KST73" s="263" t="s">
        <v>2</v>
      </c>
      <c r="KSU73" s="193"/>
      <c r="KSV73" s="255" t="s">
        <v>168</v>
      </c>
      <c r="KSW73" s="263" t="s">
        <v>31</v>
      </c>
      <c r="KSX73" s="254"/>
      <c r="KSY73" s="254"/>
      <c r="KSZ73" s="264">
        <v>5.7000000000000002E-2</v>
      </c>
      <c r="KTA73" s="193"/>
      <c r="KTB73" s="263" t="s">
        <v>2</v>
      </c>
      <c r="KTC73" s="193"/>
      <c r="KTD73" s="255" t="s">
        <v>168</v>
      </c>
      <c r="KTE73" s="263" t="s">
        <v>31</v>
      </c>
      <c r="KTF73" s="254"/>
      <c r="KTG73" s="254"/>
      <c r="KTH73" s="264">
        <v>5.7000000000000002E-2</v>
      </c>
      <c r="KTI73" s="193"/>
      <c r="KTJ73" s="263" t="s">
        <v>2</v>
      </c>
      <c r="KTK73" s="193"/>
      <c r="KTL73" s="255" t="s">
        <v>168</v>
      </c>
      <c r="KTM73" s="263" t="s">
        <v>31</v>
      </c>
      <c r="KTN73" s="254"/>
      <c r="KTO73" s="254"/>
      <c r="KTP73" s="264">
        <v>5.7000000000000002E-2</v>
      </c>
      <c r="KTQ73" s="193"/>
      <c r="KTR73" s="263" t="s">
        <v>2</v>
      </c>
      <c r="KTS73" s="193"/>
      <c r="KTT73" s="255" t="s">
        <v>168</v>
      </c>
      <c r="KTU73" s="263" t="s">
        <v>31</v>
      </c>
      <c r="KTV73" s="254"/>
      <c r="KTW73" s="254"/>
      <c r="KTX73" s="264">
        <v>5.7000000000000002E-2</v>
      </c>
      <c r="KTY73" s="193"/>
      <c r="KTZ73" s="263" t="s">
        <v>2</v>
      </c>
      <c r="KUA73" s="193"/>
      <c r="KUB73" s="255" t="s">
        <v>168</v>
      </c>
      <c r="KUC73" s="263" t="s">
        <v>31</v>
      </c>
      <c r="KUD73" s="254"/>
      <c r="KUE73" s="254"/>
      <c r="KUF73" s="264">
        <v>5.7000000000000002E-2</v>
      </c>
      <c r="KUG73" s="193"/>
      <c r="KUH73" s="263" t="s">
        <v>2</v>
      </c>
      <c r="KUI73" s="193"/>
      <c r="KUJ73" s="255" t="s">
        <v>168</v>
      </c>
      <c r="KUK73" s="263" t="s">
        <v>31</v>
      </c>
      <c r="KUL73" s="254"/>
      <c r="KUM73" s="254"/>
      <c r="KUN73" s="264">
        <v>5.7000000000000002E-2</v>
      </c>
      <c r="KUO73" s="193"/>
      <c r="KUP73" s="263" t="s">
        <v>2</v>
      </c>
      <c r="KUQ73" s="193"/>
      <c r="KUR73" s="255" t="s">
        <v>168</v>
      </c>
      <c r="KUS73" s="263" t="s">
        <v>31</v>
      </c>
      <c r="KUT73" s="254"/>
      <c r="KUU73" s="254"/>
      <c r="KUV73" s="264">
        <v>5.7000000000000002E-2</v>
      </c>
      <c r="KUW73" s="193"/>
      <c r="KUX73" s="263" t="s">
        <v>2</v>
      </c>
      <c r="KUY73" s="193"/>
      <c r="KUZ73" s="255" t="s">
        <v>168</v>
      </c>
      <c r="KVA73" s="263" t="s">
        <v>31</v>
      </c>
      <c r="KVB73" s="254"/>
      <c r="KVC73" s="254"/>
      <c r="KVD73" s="264">
        <v>5.7000000000000002E-2</v>
      </c>
      <c r="KVE73" s="193"/>
      <c r="KVF73" s="263" t="s">
        <v>2</v>
      </c>
      <c r="KVG73" s="193"/>
      <c r="KVH73" s="255" t="s">
        <v>168</v>
      </c>
      <c r="KVI73" s="263" t="s">
        <v>31</v>
      </c>
      <c r="KVJ73" s="254"/>
      <c r="KVK73" s="254"/>
      <c r="KVL73" s="264">
        <v>5.7000000000000002E-2</v>
      </c>
      <c r="KVM73" s="193"/>
      <c r="KVN73" s="263" t="s">
        <v>2</v>
      </c>
      <c r="KVO73" s="193"/>
      <c r="KVP73" s="255" t="s">
        <v>168</v>
      </c>
      <c r="KVQ73" s="263" t="s">
        <v>31</v>
      </c>
      <c r="KVR73" s="254"/>
      <c r="KVS73" s="254"/>
      <c r="KVT73" s="264">
        <v>5.7000000000000002E-2</v>
      </c>
      <c r="KVU73" s="193"/>
      <c r="KVV73" s="263" t="s">
        <v>2</v>
      </c>
      <c r="KVW73" s="193"/>
      <c r="KVX73" s="255" t="s">
        <v>168</v>
      </c>
      <c r="KVY73" s="263" t="s">
        <v>31</v>
      </c>
      <c r="KVZ73" s="254"/>
      <c r="KWA73" s="254"/>
      <c r="KWB73" s="264">
        <v>5.7000000000000002E-2</v>
      </c>
      <c r="KWC73" s="193"/>
      <c r="KWD73" s="263" t="s">
        <v>2</v>
      </c>
      <c r="KWE73" s="193"/>
      <c r="KWF73" s="255" t="s">
        <v>168</v>
      </c>
      <c r="KWG73" s="263" t="s">
        <v>31</v>
      </c>
      <c r="KWH73" s="254"/>
      <c r="KWI73" s="254"/>
      <c r="KWJ73" s="264">
        <v>5.7000000000000002E-2</v>
      </c>
      <c r="KWK73" s="193"/>
      <c r="KWL73" s="263" t="s">
        <v>2</v>
      </c>
      <c r="KWM73" s="193"/>
      <c r="KWN73" s="255" t="s">
        <v>168</v>
      </c>
      <c r="KWO73" s="263" t="s">
        <v>31</v>
      </c>
      <c r="KWP73" s="254"/>
      <c r="KWQ73" s="254"/>
      <c r="KWR73" s="264">
        <v>5.7000000000000002E-2</v>
      </c>
      <c r="KWS73" s="193"/>
      <c r="KWT73" s="263" t="s">
        <v>2</v>
      </c>
      <c r="KWU73" s="193"/>
      <c r="KWV73" s="255" t="s">
        <v>168</v>
      </c>
      <c r="KWW73" s="263" t="s">
        <v>31</v>
      </c>
      <c r="KWX73" s="254"/>
      <c r="KWY73" s="254"/>
      <c r="KWZ73" s="264">
        <v>5.7000000000000002E-2</v>
      </c>
      <c r="KXA73" s="193"/>
      <c r="KXB73" s="263" t="s">
        <v>2</v>
      </c>
      <c r="KXC73" s="193"/>
      <c r="KXD73" s="255" t="s">
        <v>168</v>
      </c>
      <c r="KXE73" s="263" t="s">
        <v>31</v>
      </c>
      <c r="KXF73" s="254"/>
      <c r="KXG73" s="254"/>
      <c r="KXH73" s="264">
        <v>5.7000000000000002E-2</v>
      </c>
      <c r="KXI73" s="193"/>
      <c r="KXJ73" s="263" t="s">
        <v>2</v>
      </c>
      <c r="KXK73" s="193"/>
      <c r="KXL73" s="255" t="s">
        <v>168</v>
      </c>
      <c r="KXM73" s="263" t="s">
        <v>31</v>
      </c>
      <c r="KXN73" s="254"/>
      <c r="KXO73" s="254"/>
      <c r="KXP73" s="264">
        <v>5.7000000000000002E-2</v>
      </c>
      <c r="KXQ73" s="193"/>
      <c r="KXR73" s="263" t="s">
        <v>2</v>
      </c>
      <c r="KXS73" s="193"/>
      <c r="KXT73" s="255" t="s">
        <v>168</v>
      </c>
      <c r="KXU73" s="263" t="s">
        <v>31</v>
      </c>
      <c r="KXV73" s="254"/>
      <c r="KXW73" s="254"/>
      <c r="KXX73" s="264">
        <v>5.7000000000000002E-2</v>
      </c>
      <c r="KXY73" s="193"/>
      <c r="KXZ73" s="263" t="s">
        <v>2</v>
      </c>
      <c r="KYA73" s="193"/>
      <c r="KYB73" s="255" t="s">
        <v>168</v>
      </c>
      <c r="KYC73" s="263" t="s">
        <v>31</v>
      </c>
      <c r="KYD73" s="254"/>
      <c r="KYE73" s="254"/>
      <c r="KYF73" s="264">
        <v>5.7000000000000002E-2</v>
      </c>
      <c r="KYG73" s="193"/>
      <c r="KYH73" s="263" t="s">
        <v>2</v>
      </c>
      <c r="KYI73" s="193"/>
      <c r="KYJ73" s="255" t="s">
        <v>168</v>
      </c>
      <c r="KYK73" s="263" t="s">
        <v>31</v>
      </c>
      <c r="KYL73" s="254"/>
      <c r="KYM73" s="254"/>
      <c r="KYN73" s="264">
        <v>5.7000000000000002E-2</v>
      </c>
      <c r="KYO73" s="193"/>
      <c r="KYP73" s="263" t="s">
        <v>2</v>
      </c>
      <c r="KYQ73" s="193"/>
      <c r="KYR73" s="255" t="s">
        <v>168</v>
      </c>
      <c r="KYS73" s="263" t="s">
        <v>31</v>
      </c>
      <c r="KYT73" s="254"/>
      <c r="KYU73" s="254"/>
      <c r="KYV73" s="264">
        <v>5.7000000000000002E-2</v>
      </c>
      <c r="KYW73" s="193"/>
      <c r="KYX73" s="263" t="s">
        <v>2</v>
      </c>
      <c r="KYY73" s="193"/>
      <c r="KYZ73" s="255" t="s">
        <v>168</v>
      </c>
      <c r="KZA73" s="263" t="s">
        <v>31</v>
      </c>
      <c r="KZB73" s="254"/>
      <c r="KZC73" s="254"/>
      <c r="KZD73" s="264">
        <v>5.7000000000000002E-2</v>
      </c>
      <c r="KZE73" s="193"/>
      <c r="KZF73" s="263" t="s">
        <v>2</v>
      </c>
      <c r="KZG73" s="193"/>
      <c r="KZH73" s="255" t="s">
        <v>168</v>
      </c>
      <c r="KZI73" s="263" t="s">
        <v>31</v>
      </c>
      <c r="KZJ73" s="254"/>
      <c r="KZK73" s="254"/>
      <c r="KZL73" s="264">
        <v>5.7000000000000002E-2</v>
      </c>
      <c r="KZM73" s="193"/>
      <c r="KZN73" s="263" t="s">
        <v>2</v>
      </c>
      <c r="KZO73" s="193"/>
      <c r="KZP73" s="255" t="s">
        <v>168</v>
      </c>
      <c r="KZQ73" s="263" t="s">
        <v>31</v>
      </c>
      <c r="KZR73" s="254"/>
      <c r="KZS73" s="254"/>
      <c r="KZT73" s="264">
        <v>5.7000000000000002E-2</v>
      </c>
      <c r="KZU73" s="193"/>
      <c r="KZV73" s="263" t="s">
        <v>2</v>
      </c>
      <c r="KZW73" s="193"/>
      <c r="KZX73" s="255" t="s">
        <v>168</v>
      </c>
      <c r="KZY73" s="263" t="s">
        <v>31</v>
      </c>
      <c r="KZZ73" s="254"/>
      <c r="LAA73" s="254"/>
      <c r="LAB73" s="264">
        <v>5.7000000000000002E-2</v>
      </c>
      <c r="LAC73" s="193"/>
      <c r="LAD73" s="263" t="s">
        <v>2</v>
      </c>
      <c r="LAE73" s="193"/>
      <c r="LAF73" s="255" t="s">
        <v>168</v>
      </c>
      <c r="LAG73" s="263" t="s">
        <v>31</v>
      </c>
      <c r="LAH73" s="254"/>
      <c r="LAI73" s="254"/>
      <c r="LAJ73" s="264">
        <v>5.7000000000000002E-2</v>
      </c>
      <c r="LAK73" s="193"/>
      <c r="LAL73" s="263" t="s">
        <v>2</v>
      </c>
      <c r="LAM73" s="193"/>
      <c r="LAN73" s="255" t="s">
        <v>168</v>
      </c>
      <c r="LAO73" s="263" t="s">
        <v>31</v>
      </c>
      <c r="LAP73" s="254"/>
      <c r="LAQ73" s="254"/>
      <c r="LAR73" s="264">
        <v>5.7000000000000002E-2</v>
      </c>
      <c r="LAS73" s="193"/>
      <c r="LAT73" s="263" t="s">
        <v>2</v>
      </c>
      <c r="LAU73" s="193"/>
      <c r="LAV73" s="255" t="s">
        <v>168</v>
      </c>
      <c r="LAW73" s="263" t="s">
        <v>31</v>
      </c>
      <c r="LAX73" s="254"/>
      <c r="LAY73" s="254"/>
      <c r="LAZ73" s="264">
        <v>5.7000000000000002E-2</v>
      </c>
      <c r="LBA73" s="193"/>
      <c r="LBB73" s="263" t="s">
        <v>2</v>
      </c>
      <c r="LBC73" s="193"/>
      <c r="LBD73" s="255" t="s">
        <v>168</v>
      </c>
      <c r="LBE73" s="263" t="s">
        <v>31</v>
      </c>
      <c r="LBF73" s="254"/>
      <c r="LBG73" s="254"/>
      <c r="LBH73" s="264">
        <v>5.7000000000000002E-2</v>
      </c>
      <c r="LBI73" s="193"/>
      <c r="LBJ73" s="263" t="s">
        <v>2</v>
      </c>
      <c r="LBK73" s="193"/>
      <c r="LBL73" s="255" t="s">
        <v>168</v>
      </c>
      <c r="LBM73" s="263" t="s">
        <v>31</v>
      </c>
      <c r="LBN73" s="254"/>
      <c r="LBO73" s="254"/>
      <c r="LBP73" s="264">
        <v>5.7000000000000002E-2</v>
      </c>
      <c r="LBQ73" s="193"/>
      <c r="LBR73" s="263" t="s">
        <v>2</v>
      </c>
      <c r="LBS73" s="193"/>
      <c r="LBT73" s="255" t="s">
        <v>168</v>
      </c>
      <c r="LBU73" s="263" t="s">
        <v>31</v>
      </c>
      <c r="LBV73" s="254"/>
      <c r="LBW73" s="254"/>
      <c r="LBX73" s="264">
        <v>5.7000000000000002E-2</v>
      </c>
      <c r="LBY73" s="193"/>
      <c r="LBZ73" s="263" t="s">
        <v>2</v>
      </c>
      <c r="LCA73" s="193"/>
      <c r="LCB73" s="255" t="s">
        <v>168</v>
      </c>
      <c r="LCC73" s="263" t="s">
        <v>31</v>
      </c>
      <c r="LCD73" s="254"/>
      <c r="LCE73" s="254"/>
      <c r="LCF73" s="264">
        <v>5.7000000000000002E-2</v>
      </c>
      <c r="LCG73" s="193"/>
      <c r="LCH73" s="263" t="s">
        <v>2</v>
      </c>
      <c r="LCI73" s="193"/>
      <c r="LCJ73" s="255" t="s">
        <v>168</v>
      </c>
      <c r="LCK73" s="263" t="s">
        <v>31</v>
      </c>
      <c r="LCL73" s="254"/>
      <c r="LCM73" s="254"/>
      <c r="LCN73" s="264">
        <v>5.7000000000000002E-2</v>
      </c>
      <c r="LCO73" s="193"/>
      <c r="LCP73" s="263" t="s">
        <v>2</v>
      </c>
      <c r="LCQ73" s="193"/>
      <c r="LCR73" s="255" t="s">
        <v>168</v>
      </c>
      <c r="LCS73" s="263" t="s">
        <v>31</v>
      </c>
      <c r="LCT73" s="254"/>
      <c r="LCU73" s="254"/>
      <c r="LCV73" s="264">
        <v>5.7000000000000002E-2</v>
      </c>
      <c r="LCW73" s="193"/>
      <c r="LCX73" s="263" t="s">
        <v>2</v>
      </c>
      <c r="LCY73" s="193"/>
      <c r="LCZ73" s="255" t="s">
        <v>168</v>
      </c>
      <c r="LDA73" s="263" t="s">
        <v>31</v>
      </c>
      <c r="LDB73" s="254"/>
      <c r="LDC73" s="254"/>
      <c r="LDD73" s="264">
        <v>5.7000000000000002E-2</v>
      </c>
      <c r="LDE73" s="193"/>
      <c r="LDF73" s="263" t="s">
        <v>2</v>
      </c>
      <c r="LDG73" s="193"/>
      <c r="LDH73" s="255" t="s">
        <v>168</v>
      </c>
      <c r="LDI73" s="263" t="s">
        <v>31</v>
      </c>
      <c r="LDJ73" s="254"/>
      <c r="LDK73" s="254"/>
      <c r="LDL73" s="264">
        <v>5.7000000000000002E-2</v>
      </c>
      <c r="LDM73" s="193"/>
      <c r="LDN73" s="263" t="s">
        <v>2</v>
      </c>
      <c r="LDO73" s="193"/>
      <c r="LDP73" s="255" t="s">
        <v>168</v>
      </c>
      <c r="LDQ73" s="263" t="s">
        <v>31</v>
      </c>
      <c r="LDR73" s="254"/>
      <c r="LDS73" s="254"/>
      <c r="LDT73" s="264">
        <v>5.7000000000000002E-2</v>
      </c>
      <c r="LDU73" s="193"/>
      <c r="LDV73" s="263" t="s">
        <v>2</v>
      </c>
      <c r="LDW73" s="193"/>
      <c r="LDX73" s="255" t="s">
        <v>168</v>
      </c>
      <c r="LDY73" s="263" t="s">
        <v>31</v>
      </c>
      <c r="LDZ73" s="254"/>
      <c r="LEA73" s="254"/>
      <c r="LEB73" s="264">
        <v>5.7000000000000002E-2</v>
      </c>
      <c r="LEC73" s="193"/>
      <c r="LED73" s="263" t="s">
        <v>2</v>
      </c>
      <c r="LEE73" s="193"/>
      <c r="LEF73" s="255" t="s">
        <v>168</v>
      </c>
      <c r="LEG73" s="263" t="s">
        <v>31</v>
      </c>
      <c r="LEH73" s="254"/>
      <c r="LEI73" s="254"/>
      <c r="LEJ73" s="264">
        <v>5.7000000000000002E-2</v>
      </c>
      <c r="LEK73" s="193"/>
      <c r="LEL73" s="263" t="s">
        <v>2</v>
      </c>
      <c r="LEM73" s="193"/>
      <c r="LEN73" s="255" t="s">
        <v>168</v>
      </c>
      <c r="LEO73" s="263" t="s">
        <v>31</v>
      </c>
      <c r="LEP73" s="254"/>
      <c r="LEQ73" s="254"/>
      <c r="LER73" s="264">
        <v>5.7000000000000002E-2</v>
      </c>
      <c r="LES73" s="193"/>
      <c r="LET73" s="263" t="s">
        <v>2</v>
      </c>
      <c r="LEU73" s="193"/>
      <c r="LEV73" s="255" t="s">
        <v>168</v>
      </c>
      <c r="LEW73" s="263" t="s">
        <v>31</v>
      </c>
      <c r="LEX73" s="254"/>
      <c r="LEY73" s="254"/>
      <c r="LEZ73" s="264">
        <v>5.7000000000000002E-2</v>
      </c>
      <c r="LFA73" s="193"/>
      <c r="LFB73" s="263" t="s">
        <v>2</v>
      </c>
      <c r="LFC73" s="193"/>
      <c r="LFD73" s="255" t="s">
        <v>168</v>
      </c>
      <c r="LFE73" s="263" t="s">
        <v>31</v>
      </c>
      <c r="LFF73" s="254"/>
      <c r="LFG73" s="254"/>
      <c r="LFH73" s="264">
        <v>5.7000000000000002E-2</v>
      </c>
      <c r="LFI73" s="193"/>
      <c r="LFJ73" s="263" t="s">
        <v>2</v>
      </c>
      <c r="LFK73" s="193"/>
      <c r="LFL73" s="255" t="s">
        <v>168</v>
      </c>
      <c r="LFM73" s="263" t="s">
        <v>31</v>
      </c>
      <c r="LFN73" s="254"/>
      <c r="LFO73" s="254"/>
      <c r="LFP73" s="264">
        <v>5.7000000000000002E-2</v>
      </c>
      <c r="LFQ73" s="193"/>
      <c r="LFR73" s="263" t="s">
        <v>2</v>
      </c>
      <c r="LFS73" s="193"/>
      <c r="LFT73" s="255" t="s">
        <v>168</v>
      </c>
      <c r="LFU73" s="263" t="s">
        <v>31</v>
      </c>
      <c r="LFV73" s="254"/>
      <c r="LFW73" s="254"/>
      <c r="LFX73" s="264">
        <v>5.7000000000000002E-2</v>
      </c>
      <c r="LFY73" s="193"/>
      <c r="LFZ73" s="263" t="s">
        <v>2</v>
      </c>
      <c r="LGA73" s="193"/>
      <c r="LGB73" s="255" t="s">
        <v>168</v>
      </c>
      <c r="LGC73" s="263" t="s">
        <v>31</v>
      </c>
      <c r="LGD73" s="254"/>
      <c r="LGE73" s="254"/>
      <c r="LGF73" s="264">
        <v>5.7000000000000002E-2</v>
      </c>
      <c r="LGG73" s="193"/>
      <c r="LGH73" s="263" t="s">
        <v>2</v>
      </c>
      <c r="LGI73" s="193"/>
      <c r="LGJ73" s="255" t="s">
        <v>168</v>
      </c>
      <c r="LGK73" s="263" t="s">
        <v>31</v>
      </c>
      <c r="LGL73" s="254"/>
      <c r="LGM73" s="254"/>
      <c r="LGN73" s="264">
        <v>5.7000000000000002E-2</v>
      </c>
      <c r="LGO73" s="193"/>
      <c r="LGP73" s="263" t="s">
        <v>2</v>
      </c>
      <c r="LGQ73" s="193"/>
      <c r="LGR73" s="255" t="s">
        <v>168</v>
      </c>
      <c r="LGS73" s="263" t="s">
        <v>31</v>
      </c>
      <c r="LGT73" s="254"/>
      <c r="LGU73" s="254"/>
      <c r="LGV73" s="264">
        <v>5.7000000000000002E-2</v>
      </c>
      <c r="LGW73" s="193"/>
      <c r="LGX73" s="263" t="s">
        <v>2</v>
      </c>
      <c r="LGY73" s="193"/>
      <c r="LGZ73" s="255" t="s">
        <v>168</v>
      </c>
      <c r="LHA73" s="263" t="s">
        <v>31</v>
      </c>
      <c r="LHB73" s="254"/>
      <c r="LHC73" s="254"/>
      <c r="LHD73" s="264">
        <v>5.7000000000000002E-2</v>
      </c>
      <c r="LHE73" s="193"/>
      <c r="LHF73" s="263" t="s">
        <v>2</v>
      </c>
      <c r="LHG73" s="193"/>
      <c r="LHH73" s="255" t="s">
        <v>168</v>
      </c>
      <c r="LHI73" s="263" t="s">
        <v>31</v>
      </c>
      <c r="LHJ73" s="254"/>
      <c r="LHK73" s="254"/>
      <c r="LHL73" s="264">
        <v>5.7000000000000002E-2</v>
      </c>
      <c r="LHM73" s="193"/>
      <c r="LHN73" s="263" t="s">
        <v>2</v>
      </c>
      <c r="LHO73" s="193"/>
      <c r="LHP73" s="255" t="s">
        <v>168</v>
      </c>
      <c r="LHQ73" s="263" t="s">
        <v>31</v>
      </c>
      <c r="LHR73" s="254"/>
      <c r="LHS73" s="254"/>
      <c r="LHT73" s="264">
        <v>5.7000000000000002E-2</v>
      </c>
      <c r="LHU73" s="193"/>
      <c r="LHV73" s="263" t="s">
        <v>2</v>
      </c>
      <c r="LHW73" s="193"/>
      <c r="LHX73" s="255" t="s">
        <v>168</v>
      </c>
      <c r="LHY73" s="263" t="s">
        <v>31</v>
      </c>
      <c r="LHZ73" s="254"/>
      <c r="LIA73" s="254"/>
      <c r="LIB73" s="264">
        <v>5.7000000000000002E-2</v>
      </c>
      <c r="LIC73" s="193"/>
      <c r="LID73" s="263" t="s">
        <v>2</v>
      </c>
      <c r="LIE73" s="193"/>
      <c r="LIF73" s="255" t="s">
        <v>168</v>
      </c>
      <c r="LIG73" s="263" t="s">
        <v>31</v>
      </c>
      <c r="LIH73" s="254"/>
      <c r="LII73" s="254"/>
      <c r="LIJ73" s="264">
        <v>5.7000000000000002E-2</v>
      </c>
      <c r="LIK73" s="193"/>
      <c r="LIL73" s="263" t="s">
        <v>2</v>
      </c>
      <c r="LIM73" s="193"/>
      <c r="LIN73" s="255" t="s">
        <v>168</v>
      </c>
      <c r="LIO73" s="263" t="s">
        <v>31</v>
      </c>
      <c r="LIP73" s="254"/>
      <c r="LIQ73" s="254"/>
      <c r="LIR73" s="264">
        <v>5.7000000000000002E-2</v>
      </c>
      <c r="LIS73" s="193"/>
      <c r="LIT73" s="263" t="s">
        <v>2</v>
      </c>
      <c r="LIU73" s="193"/>
      <c r="LIV73" s="255" t="s">
        <v>168</v>
      </c>
      <c r="LIW73" s="263" t="s">
        <v>31</v>
      </c>
      <c r="LIX73" s="254"/>
      <c r="LIY73" s="254"/>
      <c r="LIZ73" s="264">
        <v>5.7000000000000002E-2</v>
      </c>
      <c r="LJA73" s="193"/>
      <c r="LJB73" s="263" t="s">
        <v>2</v>
      </c>
      <c r="LJC73" s="193"/>
      <c r="LJD73" s="255" t="s">
        <v>168</v>
      </c>
      <c r="LJE73" s="263" t="s">
        <v>31</v>
      </c>
      <c r="LJF73" s="254"/>
      <c r="LJG73" s="254"/>
      <c r="LJH73" s="264">
        <v>5.7000000000000002E-2</v>
      </c>
      <c r="LJI73" s="193"/>
      <c r="LJJ73" s="263" t="s">
        <v>2</v>
      </c>
      <c r="LJK73" s="193"/>
      <c r="LJL73" s="255" t="s">
        <v>168</v>
      </c>
      <c r="LJM73" s="263" t="s">
        <v>31</v>
      </c>
      <c r="LJN73" s="254"/>
      <c r="LJO73" s="254"/>
      <c r="LJP73" s="264">
        <v>5.7000000000000002E-2</v>
      </c>
      <c r="LJQ73" s="193"/>
      <c r="LJR73" s="263" t="s">
        <v>2</v>
      </c>
      <c r="LJS73" s="193"/>
      <c r="LJT73" s="255" t="s">
        <v>168</v>
      </c>
      <c r="LJU73" s="263" t="s">
        <v>31</v>
      </c>
      <c r="LJV73" s="254"/>
      <c r="LJW73" s="254"/>
      <c r="LJX73" s="264">
        <v>5.7000000000000002E-2</v>
      </c>
      <c r="LJY73" s="193"/>
      <c r="LJZ73" s="263" t="s">
        <v>2</v>
      </c>
      <c r="LKA73" s="193"/>
      <c r="LKB73" s="255" t="s">
        <v>168</v>
      </c>
      <c r="LKC73" s="263" t="s">
        <v>31</v>
      </c>
      <c r="LKD73" s="254"/>
      <c r="LKE73" s="254"/>
      <c r="LKF73" s="264">
        <v>5.7000000000000002E-2</v>
      </c>
      <c r="LKG73" s="193"/>
      <c r="LKH73" s="263" t="s">
        <v>2</v>
      </c>
      <c r="LKI73" s="193"/>
      <c r="LKJ73" s="255" t="s">
        <v>168</v>
      </c>
      <c r="LKK73" s="263" t="s">
        <v>31</v>
      </c>
      <c r="LKL73" s="254"/>
      <c r="LKM73" s="254"/>
      <c r="LKN73" s="264">
        <v>5.7000000000000002E-2</v>
      </c>
      <c r="LKO73" s="193"/>
      <c r="LKP73" s="263" t="s">
        <v>2</v>
      </c>
      <c r="LKQ73" s="193"/>
      <c r="LKR73" s="255" t="s">
        <v>168</v>
      </c>
      <c r="LKS73" s="263" t="s">
        <v>31</v>
      </c>
      <c r="LKT73" s="254"/>
      <c r="LKU73" s="254"/>
      <c r="LKV73" s="264">
        <v>5.7000000000000002E-2</v>
      </c>
      <c r="LKW73" s="193"/>
      <c r="LKX73" s="263" t="s">
        <v>2</v>
      </c>
      <c r="LKY73" s="193"/>
      <c r="LKZ73" s="255" t="s">
        <v>168</v>
      </c>
      <c r="LLA73" s="263" t="s">
        <v>31</v>
      </c>
      <c r="LLB73" s="254"/>
      <c r="LLC73" s="254"/>
      <c r="LLD73" s="264">
        <v>5.7000000000000002E-2</v>
      </c>
      <c r="LLE73" s="193"/>
      <c r="LLF73" s="263" t="s">
        <v>2</v>
      </c>
      <c r="LLG73" s="193"/>
      <c r="LLH73" s="255" t="s">
        <v>168</v>
      </c>
      <c r="LLI73" s="263" t="s">
        <v>31</v>
      </c>
      <c r="LLJ73" s="254"/>
      <c r="LLK73" s="254"/>
      <c r="LLL73" s="264">
        <v>5.7000000000000002E-2</v>
      </c>
      <c r="LLM73" s="193"/>
      <c r="LLN73" s="263" t="s">
        <v>2</v>
      </c>
      <c r="LLO73" s="193"/>
      <c r="LLP73" s="255" t="s">
        <v>168</v>
      </c>
      <c r="LLQ73" s="263" t="s">
        <v>31</v>
      </c>
      <c r="LLR73" s="254"/>
      <c r="LLS73" s="254"/>
      <c r="LLT73" s="264">
        <v>5.7000000000000002E-2</v>
      </c>
      <c r="LLU73" s="193"/>
      <c r="LLV73" s="263" t="s">
        <v>2</v>
      </c>
      <c r="LLW73" s="193"/>
      <c r="LLX73" s="255" t="s">
        <v>168</v>
      </c>
      <c r="LLY73" s="263" t="s">
        <v>31</v>
      </c>
      <c r="LLZ73" s="254"/>
      <c r="LMA73" s="254"/>
      <c r="LMB73" s="264">
        <v>5.7000000000000002E-2</v>
      </c>
      <c r="LMC73" s="193"/>
      <c r="LMD73" s="263" t="s">
        <v>2</v>
      </c>
      <c r="LME73" s="193"/>
      <c r="LMF73" s="255" t="s">
        <v>168</v>
      </c>
      <c r="LMG73" s="263" t="s">
        <v>31</v>
      </c>
      <c r="LMH73" s="254"/>
      <c r="LMI73" s="254"/>
      <c r="LMJ73" s="264">
        <v>5.7000000000000002E-2</v>
      </c>
      <c r="LMK73" s="193"/>
      <c r="LML73" s="263" t="s">
        <v>2</v>
      </c>
      <c r="LMM73" s="193"/>
      <c r="LMN73" s="255" t="s">
        <v>168</v>
      </c>
      <c r="LMO73" s="263" t="s">
        <v>31</v>
      </c>
      <c r="LMP73" s="254"/>
      <c r="LMQ73" s="254"/>
      <c r="LMR73" s="264">
        <v>5.7000000000000002E-2</v>
      </c>
      <c r="LMS73" s="193"/>
      <c r="LMT73" s="263" t="s">
        <v>2</v>
      </c>
      <c r="LMU73" s="193"/>
      <c r="LMV73" s="255" t="s">
        <v>168</v>
      </c>
      <c r="LMW73" s="263" t="s">
        <v>31</v>
      </c>
      <c r="LMX73" s="254"/>
      <c r="LMY73" s="254"/>
      <c r="LMZ73" s="264">
        <v>5.7000000000000002E-2</v>
      </c>
      <c r="LNA73" s="193"/>
      <c r="LNB73" s="263" t="s">
        <v>2</v>
      </c>
      <c r="LNC73" s="193"/>
      <c r="LND73" s="255" t="s">
        <v>168</v>
      </c>
      <c r="LNE73" s="263" t="s">
        <v>31</v>
      </c>
      <c r="LNF73" s="254"/>
      <c r="LNG73" s="254"/>
      <c r="LNH73" s="264">
        <v>5.7000000000000002E-2</v>
      </c>
      <c r="LNI73" s="193"/>
      <c r="LNJ73" s="263" t="s">
        <v>2</v>
      </c>
      <c r="LNK73" s="193"/>
      <c r="LNL73" s="255" t="s">
        <v>168</v>
      </c>
      <c r="LNM73" s="263" t="s">
        <v>31</v>
      </c>
      <c r="LNN73" s="254"/>
      <c r="LNO73" s="254"/>
      <c r="LNP73" s="264">
        <v>5.7000000000000002E-2</v>
      </c>
      <c r="LNQ73" s="193"/>
      <c r="LNR73" s="263" t="s">
        <v>2</v>
      </c>
      <c r="LNS73" s="193"/>
      <c r="LNT73" s="255" t="s">
        <v>168</v>
      </c>
      <c r="LNU73" s="263" t="s">
        <v>31</v>
      </c>
      <c r="LNV73" s="254"/>
      <c r="LNW73" s="254"/>
      <c r="LNX73" s="264">
        <v>5.7000000000000002E-2</v>
      </c>
      <c r="LNY73" s="193"/>
      <c r="LNZ73" s="263" t="s">
        <v>2</v>
      </c>
      <c r="LOA73" s="193"/>
      <c r="LOB73" s="255" t="s">
        <v>168</v>
      </c>
      <c r="LOC73" s="263" t="s">
        <v>31</v>
      </c>
      <c r="LOD73" s="254"/>
      <c r="LOE73" s="254"/>
      <c r="LOF73" s="264">
        <v>5.7000000000000002E-2</v>
      </c>
      <c r="LOG73" s="193"/>
      <c r="LOH73" s="263" t="s">
        <v>2</v>
      </c>
      <c r="LOI73" s="193"/>
      <c r="LOJ73" s="255" t="s">
        <v>168</v>
      </c>
      <c r="LOK73" s="263" t="s">
        <v>31</v>
      </c>
      <c r="LOL73" s="254"/>
      <c r="LOM73" s="254"/>
      <c r="LON73" s="264">
        <v>5.7000000000000002E-2</v>
      </c>
      <c r="LOO73" s="193"/>
      <c r="LOP73" s="263" t="s">
        <v>2</v>
      </c>
      <c r="LOQ73" s="193"/>
      <c r="LOR73" s="255" t="s">
        <v>168</v>
      </c>
      <c r="LOS73" s="263" t="s">
        <v>31</v>
      </c>
      <c r="LOT73" s="254"/>
      <c r="LOU73" s="254"/>
      <c r="LOV73" s="264">
        <v>5.7000000000000002E-2</v>
      </c>
      <c r="LOW73" s="193"/>
      <c r="LOX73" s="263" t="s">
        <v>2</v>
      </c>
      <c r="LOY73" s="193"/>
      <c r="LOZ73" s="255" t="s">
        <v>168</v>
      </c>
      <c r="LPA73" s="263" t="s">
        <v>31</v>
      </c>
      <c r="LPB73" s="254"/>
      <c r="LPC73" s="254"/>
      <c r="LPD73" s="264">
        <v>5.7000000000000002E-2</v>
      </c>
      <c r="LPE73" s="193"/>
      <c r="LPF73" s="263" t="s">
        <v>2</v>
      </c>
      <c r="LPG73" s="193"/>
      <c r="LPH73" s="255" t="s">
        <v>168</v>
      </c>
      <c r="LPI73" s="263" t="s">
        <v>31</v>
      </c>
      <c r="LPJ73" s="254"/>
      <c r="LPK73" s="254"/>
      <c r="LPL73" s="264">
        <v>5.7000000000000002E-2</v>
      </c>
      <c r="LPM73" s="193"/>
      <c r="LPN73" s="263" t="s">
        <v>2</v>
      </c>
      <c r="LPO73" s="193"/>
      <c r="LPP73" s="255" t="s">
        <v>168</v>
      </c>
      <c r="LPQ73" s="263" t="s">
        <v>31</v>
      </c>
      <c r="LPR73" s="254"/>
      <c r="LPS73" s="254"/>
      <c r="LPT73" s="264">
        <v>5.7000000000000002E-2</v>
      </c>
      <c r="LPU73" s="193"/>
      <c r="LPV73" s="263" t="s">
        <v>2</v>
      </c>
      <c r="LPW73" s="193"/>
      <c r="LPX73" s="255" t="s">
        <v>168</v>
      </c>
      <c r="LPY73" s="263" t="s">
        <v>31</v>
      </c>
      <c r="LPZ73" s="254"/>
      <c r="LQA73" s="254"/>
      <c r="LQB73" s="264">
        <v>5.7000000000000002E-2</v>
      </c>
      <c r="LQC73" s="193"/>
      <c r="LQD73" s="263" t="s">
        <v>2</v>
      </c>
      <c r="LQE73" s="193"/>
      <c r="LQF73" s="255" t="s">
        <v>168</v>
      </c>
      <c r="LQG73" s="263" t="s">
        <v>31</v>
      </c>
      <c r="LQH73" s="254"/>
      <c r="LQI73" s="254"/>
      <c r="LQJ73" s="264">
        <v>5.7000000000000002E-2</v>
      </c>
      <c r="LQK73" s="193"/>
      <c r="LQL73" s="263" t="s">
        <v>2</v>
      </c>
      <c r="LQM73" s="193"/>
      <c r="LQN73" s="255" t="s">
        <v>168</v>
      </c>
      <c r="LQO73" s="263" t="s">
        <v>31</v>
      </c>
      <c r="LQP73" s="254"/>
      <c r="LQQ73" s="254"/>
      <c r="LQR73" s="264">
        <v>5.7000000000000002E-2</v>
      </c>
      <c r="LQS73" s="193"/>
      <c r="LQT73" s="263" t="s">
        <v>2</v>
      </c>
      <c r="LQU73" s="193"/>
      <c r="LQV73" s="255" t="s">
        <v>168</v>
      </c>
      <c r="LQW73" s="263" t="s">
        <v>31</v>
      </c>
      <c r="LQX73" s="254"/>
      <c r="LQY73" s="254"/>
      <c r="LQZ73" s="264">
        <v>5.7000000000000002E-2</v>
      </c>
      <c r="LRA73" s="193"/>
      <c r="LRB73" s="263" t="s">
        <v>2</v>
      </c>
      <c r="LRC73" s="193"/>
      <c r="LRD73" s="255" t="s">
        <v>168</v>
      </c>
      <c r="LRE73" s="263" t="s">
        <v>31</v>
      </c>
      <c r="LRF73" s="254"/>
      <c r="LRG73" s="254"/>
      <c r="LRH73" s="264">
        <v>5.7000000000000002E-2</v>
      </c>
      <c r="LRI73" s="193"/>
      <c r="LRJ73" s="263" t="s">
        <v>2</v>
      </c>
      <c r="LRK73" s="193"/>
      <c r="LRL73" s="255" t="s">
        <v>168</v>
      </c>
      <c r="LRM73" s="263" t="s">
        <v>31</v>
      </c>
      <c r="LRN73" s="254"/>
      <c r="LRO73" s="254"/>
      <c r="LRP73" s="264">
        <v>5.7000000000000002E-2</v>
      </c>
      <c r="LRQ73" s="193"/>
      <c r="LRR73" s="263" t="s">
        <v>2</v>
      </c>
      <c r="LRS73" s="193"/>
      <c r="LRT73" s="255" t="s">
        <v>168</v>
      </c>
      <c r="LRU73" s="263" t="s">
        <v>31</v>
      </c>
      <c r="LRV73" s="254"/>
      <c r="LRW73" s="254"/>
      <c r="LRX73" s="264">
        <v>5.7000000000000002E-2</v>
      </c>
      <c r="LRY73" s="193"/>
      <c r="LRZ73" s="263" t="s">
        <v>2</v>
      </c>
      <c r="LSA73" s="193"/>
      <c r="LSB73" s="255" t="s">
        <v>168</v>
      </c>
      <c r="LSC73" s="263" t="s">
        <v>31</v>
      </c>
      <c r="LSD73" s="254"/>
      <c r="LSE73" s="254"/>
      <c r="LSF73" s="264">
        <v>5.7000000000000002E-2</v>
      </c>
      <c r="LSG73" s="193"/>
      <c r="LSH73" s="263" t="s">
        <v>2</v>
      </c>
      <c r="LSI73" s="193"/>
      <c r="LSJ73" s="255" t="s">
        <v>168</v>
      </c>
      <c r="LSK73" s="263" t="s">
        <v>31</v>
      </c>
      <c r="LSL73" s="254"/>
      <c r="LSM73" s="254"/>
      <c r="LSN73" s="264">
        <v>5.7000000000000002E-2</v>
      </c>
      <c r="LSO73" s="193"/>
      <c r="LSP73" s="263" t="s">
        <v>2</v>
      </c>
      <c r="LSQ73" s="193"/>
      <c r="LSR73" s="255" t="s">
        <v>168</v>
      </c>
      <c r="LSS73" s="263" t="s">
        <v>31</v>
      </c>
      <c r="LST73" s="254"/>
      <c r="LSU73" s="254"/>
      <c r="LSV73" s="264">
        <v>5.7000000000000002E-2</v>
      </c>
      <c r="LSW73" s="193"/>
      <c r="LSX73" s="263" t="s">
        <v>2</v>
      </c>
      <c r="LSY73" s="193"/>
      <c r="LSZ73" s="255" t="s">
        <v>168</v>
      </c>
      <c r="LTA73" s="263" t="s">
        <v>31</v>
      </c>
      <c r="LTB73" s="254"/>
      <c r="LTC73" s="254"/>
      <c r="LTD73" s="264">
        <v>5.7000000000000002E-2</v>
      </c>
      <c r="LTE73" s="193"/>
      <c r="LTF73" s="263" t="s">
        <v>2</v>
      </c>
      <c r="LTG73" s="193"/>
      <c r="LTH73" s="255" t="s">
        <v>168</v>
      </c>
      <c r="LTI73" s="263" t="s">
        <v>31</v>
      </c>
      <c r="LTJ73" s="254"/>
      <c r="LTK73" s="254"/>
      <c r="LTL73" s="264">
        <v>5.7000000000000002E-2</v>
      </c>
      <c r="LTM73" s="193"/>
      <c r="LTN73" s="263" t="s">
        <v>2</v>
      </c>
      <c r="LTO73" s="193"/>
      <c r="LTP73" s="255" t="s">
        <v>168</v>
      </c>
      <c r="LTQ73" s="263" t="s">
        <v>31</v>
      </c>
      <c r="LTR73" s="254"/>
      <c r="LTS73" s="254"/>
      <c r="LTT73" s="264">
        <v>5.7000000000000002E-2</v>
      </c>
      <c r="LTU73" s="193"/>
      <c r="LTV73" s="263" t="s">
        <v>2</v>
      </c>
      <c r="LTW73" s="193"/>
      <c r="LTX73" s="255" t="s">
        <v>168</v>
      </c>
      <c r="LTY73" s="263" t="s">
        <v>31</v>
      </c>
      <c r="LTZ73" s="254"/>
      <c r="LUA73" s="254"/>
      <c r="LUB73" s="264">
        <v>5.7000000000000002E-2</v>
      </c>
      <c r="LUC73" s="193"/>
      <c r="LUD73" s="263" t="s">
        <v>2</v>
      </c>
      <c r="LUE73" s="193"/>
      <c r="LUF73" s="255" t="s">
        <v>168</v>
      </c>
      <c r="LUG73" s="263" t="s">
        <v>31</v>
      </c>
      <c r="LUH73" s="254"/>
      <c r="LUI73" s="254"/>
      <c r="LUJ73" s="264">
        <v>5.7000000000000002E-2</v>
      </c>
      <c r="LUK73" s="193"/>
      <c r="LUL73" s="263" t="s">
        <v>2</v>
      </c>
      <c r="LUM73" s="193"/>
      <c r="LUN73" s="255" t="s">
        <v>168</v>
      </c>
      <c r="LUO73" s="263" t="s">
        <v>31</v>
      </c>
      <c r="LUP73" s="254"/>
      <c r="LUQ73" s="254"/>
      <c r="LUR73" s="264">
        <v>5.7000000000000002E-2</v>
      </c>
      <c r="LUS73" s="193"/>
      <c r="LUT73" s="263" t="s">
        <v>2</v>
      </c>
      <c r="LUU73" s="193"/>
      <c r="LUV73" s="255" t="s">
        <v>168</v>
      </c>
      <c r="LUW73" s="263" t="s">
        <v>31</v>
      </c>
      <c r="LUX73" s="254"/>
      <c r="LUY73" s="254"/>
      <c r="LUZ73" s="264">
        <v>5.7000000000000002E-2</v>
      </c>
      <c r="LVA73" s="193"/>
      <c r="LVB73" s="263" t="s">
        <v>2</v>
      </c>
      <c r="LVC73" s="193"/>
      <c r="LVD73" s="255" t="s">
        <v>168</v>
      </c>
      <c r="LVE73" s="263" t="s">
        <v>31</v>
      </c>
      <c r="LVF73" s="254"/>
      <c r="LVG73" s="254"/>
      <c r="LVH73" s="264">
        <v>5.7000000000000002E-2</v>
      </c>
      <c r="LVI73" s="193"/>
      <c r="LVJ73" s="263" t="s">
        <v>2</v>
      </c>
      <c r="LVK73" s="193"/>
      <c r="LVL73" s="255" t="s">
        <v>168</v>
      </c>
      <c r="LVM73" s="263" t="s">
        <v>31</v>
      </c>
      <c r="LVN73" s="254"/>
      <c r="LVO73" s="254"/>
      <c r="LVP73" s="264">
        <v>5.7000000000000002E-2</v>
      </c>
      <c r="LVQ73" s="193"/>
      <c r="LVR73" s="263" t="s">
        <v>2</v>
      </c>
      <c r="LVS73" s="193"/>
      <c r="LVT73" s="255" t="s">
        <v>168</v>
      </c>
      <c r="LVU73" s="263" t="s">
        <v>31</v>
      </c>
      <c r="LVV73" s="254"/>
      <c r="LVW73" s="254"/>
      <c r="LVX73" s="264">
        <v>5.7000000000000002E-2</v>
      </c>
      <c r="LVY73" s="193"/>
      <c r="LVZ73" s="263" t="s">
        <v>2</v>
      </c>
      <c r="LWA73" s="193"/>
      <c r="LWB73" s="255" t="s">
        <v>168</v>
      </c>
      <c r="LWC73" s="263" t="s">
        <v>31</v>
      </c>
      <c r="LWD73" s="254"/>
      <c r="LWE73" s="254"/>
      <c r="LWF73" s="264">
        <v>5.7000000000000002E-2</v>
      </c>
      <c r="LWG73" s="193"/>
      <c r="LWH73" s="263" t="s">
        <v>2</v>
      </c>
      <c r="LWI73" s="193"/>
      <c r="LWJ73" s="255" t="s">
        <v>168</v>
      </c>
      <c r="LWK73" s="263" t="s">
        <v>31</v>
      </c>
      <c r="LWL73" s="254"/>
      <c r="LWM73" s="254"/>
      <c r="LWN73" s="264">
        <v>5.7000000000000002E-2</v>
      </c>
      <c r="LWO73" s="193"/>
      <c r="LWP73" s="263" t="s">
        <v>2</v>
      </c>
      <c r="LWQ73" s="193"/>
      <c r="LWR73" s="255" t="s">
        <v>168</v>
      </c>
      <c r="LWS73" s="263" t="s">
        <v>31</v>
      </c>
      <c r="LWT73" s="254"/>
      <c r="LWU73" s="254"/>
      <c r="LWV73" s="264">
        <v>5.7000000000000002E-2</v>
      </c>
      <c r="LWW73" s="193"/>
      <c r="LWX73" s="263" t="s">
        <v>2</v>
      </c>
      <c r="LWY73" s="193"/>
      <c r="LWZ73" s="255" t="s">
        <v>168</v>
      </c>
      <c r="LXA73" s="263" t="s">
        <v>31</v>
      </c>
      <c r="LXB73" s="254"/>
      <c r="LXC73" s="254"/>
      <c r="LXD73" s="264">
        <v>5.7000000000000002E-2</v>
      </c>
      <c r="LXE73" s="193"/>
      <c r="LXF73" s="263" t="s">
        <v>2</v>
      </c>
      <c r="LXG73" s="193"/>
      <c r="LXH73" s="255" t="s">
        <v>168</v>
      </c>
      <c r="LXI73" s="263" t="s">
        <v>31</v>
      </c>
      <c r="LXJ73" s="254"/>
      <c r="LXK73" s="254"/>
      <c r="LXL73" s="264">
        <v>5.7000000000000002E-2</v>
      </c>
      <c r="LXM73" s="193"/>
      <c r="LXN73" s="263" t="s">
        <v>2</v>
      </c>
      <c r="LXO73" s="193"/>
      <c r="LXP73" s="255" t="s">
        <v>168</v>
      </c>
      <c r="LXQ73" s="263" t="s">
        <v>31</v>
      </c>
      <c r="LXR73" s="254"/>
      <c r="LXS73" s="254"/>
      <c r="LXT73" s="264">
        <v>5.7000000000000002E-2</v>
      </c>
      <c r="LXU73" s="193"/>
      <c r="LXV73" s="263" t="s">
        <v>2</v>
      </c>
      <c r="LXW73" s="193"/>
      <c r="LXX73" s="255" t="s">
        <v>168</v>
      </c>
      <c r="LXY73" s="263" t="s">
        <v>31</v>
      </c>
      <c r="LXZ73" s="254"/>
      <c r="LYA73" s="254"/>
      <c r="LYB73" s="264">
        <v>5.7000000000000002E-2</v>
      </c>
      <c r="LYC73" s="193"/>
      <c r="LYD73" s="263" t="s">
        <v>2</v>
      </c>
      <c r="LYE73" s="193"/>
      <c r="LYF73" s="255" t="s">
        <v>168</v>
      </c>
      <c r="LYG73" s="263" t="s">
        <v>31</v>
      </c>
      <c r="LYH73" s="254"/>
      <c r="LYI73" s="254"/>
      <c r="LYJ73" s="264">
        <v>5.7000000000000002E-2</v>
      </c>
      <c r="LYK73" s="193"/>
      <c r="LYL73" s="263" t="s">
        <v>2</v>
      </c>
      <c r="LYM73" s="193"/>
      <c r="LYN73" s="255" t="s">
        <v>168</v>
      </c>
      <c r="LYO73" s="263" t="s">
        <v>31</v>
      </c>
      <c r="LYP73" s="254"/>
      <c r="LYQ73" s="254"/>
      <c r="LYR73" s="264">
        <v>5.7000000000000002E-2</v>
      </c>
      <c r="LYS73" s="193"/>
      <c r="LYT73" s="263" t="s">
        <v>2</v>
      </c>
      <c r="LYU73" s="193"/>
      <c r="LYV73" s="255" t="s">
        <v>168</v>
      </c>
      <c r="LYW73" s="263" t="s">
        <v>31</v>
      </c>
      <c r="LYX73" s="254"/>
      <c r="LYY73" s="254"/>
      <c r="LYZ73" s="264">
        <v>5.7000000000000002E-2</v>
      </c>
      <c r="LZA73" s="193"/>
      <c r="LZB73" s="263" t="s">
        <v>2</v>
      </c>
      <c r="LZC73" s="193"/>
      <c r="LZD73" s="255" t="s">
        <v>168</v>
      </c>
      <c r="LZE73" s="263" t="s">
        <v>31</v>
      </c>
      <c r="LZF73" s="254"/>
      <c r="LZG73" s="254"/>
      <c r="LZH73" s="264">
        <v>5.7000000000000002E-2</v>
      </c>
      <c r="LZI73" s="193"/>
      <c r="LZJ73" s="263" t="s">
        <v>2</v>
      </c>
      <c r="LZK73" s="193"/>
      <c r="LZL73" s="255" t="s">
        <v>168</v>
      </c>
      <c r="LZM73" s="263" t="s">
        <v>31</v>
      </c>
      <c r="LZN73" s="254"/>
      <c r="LZO73" s="254"/>
      <c r="LZP73" s="264">
        <v>5.7000000000000002E-2</v>
      </c>
      <c r="LZQ73" s="193"/>
      <c r="LZR73" s="263" t="s">
        <v>2</v>
      </c>
      <c r="LZS73" s="193"/>
      <c r="LZT73" s="255" t="s">
        <v>168</v>
      </c>
      <c r="LZU73" s="263" t="s">
        <v>31</v>
      </c>
      <c r="LZV73" s="254"/>
      <c r="LZW73" s="254"/>
      <c r="LZX73" s="264">
        <v>5.7000000000000002E-2</v>
      </c>
      <c r="LZY73" s="193"/>
      <c r="LZZ73" s="263" t="s">
        <v>2</v>
      </c>
      <c r="MAA73" s="193"/>
      <c r="MAB73" s="255" t="s">
        <v>168</v>
      </c>
      <c r="MAC73" s="263" t="s">
        <v>31</v>
      </c>
      <c r="MAD73" s="254"/>
      <c r="MAE73" s="254"/>
      <c r="MAF73" s="264">
        <v>5.7000000000000002E-2</v>
      </c>
      <c r="MAG73" s="193"/>
      <c r="MAH73" s="263" t="s">
        <v>2</v>
      </c>
      <c r="MAI73" s="193"/>
      <c r="MAJ73" s="255" t="s">
        <v>168</v>
      </c>
      <c r="MAK73" s="263" t="s">
        <v>31</v>
      </c>
      <c r="MAL73" s="254"/>
      <c r="MAM73" s="254"/>
      <c r="MAN73" s="264">
        <v>5.7000000000000002E-2</v>
      </c>
      <c r="MAO73" s="193"/>
      <c r="MAP73" s="263" t="s">
        <v>2</v>
      </c>
      <c r="MAQ73" s="193"/>
      <c r="MAR73" s="255" t="s">
        <v>168</v>
      </c>
      <c r="MAS73" s="263" t="s">
        <v>31</v>
      </c>
      <c r="MAT73" s="254"/>
      <c r="MAU73" s="254"/>
      <c r="MAV73" s="264">
        <v>5.7000000000000002E-2</v>
      </c>
      <c r="MAW73" s="193"/>
      <c r="MAX73" s="263" t="s">
        <v>2</v>
      </c>
      <c r="MAY73" s="193"/>
      <c r="MAZ73" s="255" t="s">
        <v>168</v>
      </c>
      <c r="MBA73" s="263" t="s">
        <v>31</v>
      </c>
      <c r="MBB73" s="254"/>
      <c r="MBC73" s="254"/>
      <c r="MBD73" s="264">
        <v>5.7000000000000002E-2</v>
      </c>
      <c r="MBE73" s="193"/>
      <c r="MBF73" s="263" t="s">
        <v>2</v>
      </c>
      <c r="MBG73" s="193"/>
      <c r="MBH73" s="255" t="s">
        <v>168</v>
      </c>
      <c r="MBI73" s="263" t="s">
        <v>31</v>
      </c>
      <c r="MBJ73" s="254"/>
      <c r="MBK73" s="254"/>
      <c r="MBL73" s="264">
        <v>5.7000000000000002E-2</v>
      </c>
      <c r="MBM73" s="193"/>
      <c r="MBN73" s="263" t="s">
        <v>2</v>
      </c>
      <c r="MBO73" s="193"/>
      <c r="MBP73" s="255" t="s">
        <v>168</v>
      </c>
      <c r="MBQ73" s="263" t="s">
        <v>31</v>
      </c>
      <c r="MBR73" s="254"/>
      <c r="MBS73" s="254"/>
      <c r="MBT73" s="264">
        <v>5.7000000000000002E-2</v>
      </c>
      <c r="MBU73" s="193"/>
      <c r="MBV73" s="263" t="s">
        <v>2</v>
      </c>
      <c r="MBW73" s="193"/>
      <c r="MBX73" s="255" t="s">
        <v>168</v>
      </c>
      <c r="MBY73" s="263" t="s">
        <v>31</v>
      </c>
      <c r="MBZ73" s="254"/>
      <c r="MCA73" s="254"/>
      <c r="MCB73" s="264">
        <v>5.7000000000000002E-2</v>
      </c>
      <c r="MCC73" s="193"/>
      <c r="MCD73" s="263" t="s">
        <v>2</v>
      </c>
      <c r="MCE73" s="193"/>
      <c r="MCF73" s="255" t="s">
        <v>168</v>
      </c>
      <c r="MCG73" s="263" t="s">
        <v>31</v>
      </c>
      <c r="MCH73" s="254"/>
      <c r="MCI73" s="254"/>
      <c r="MCJ73" s="264">
        <v>5.7000000000000002E-2</v>
      </c>
      <c r="MCK73" s="193"/>
      <c r="MCL73" s="263" t="s">
        <v>2</v>
      </c>
      <c r="MCM73" s="193"/>
      <c r="MCN73" s="255" t="s">
        <v>168</v>
      </c>
      <c r="MCO73" s="263" t="s">
        <v>31</v>
      </c>
      <c r="MCP73" s="254"/>
      <c r="MCQ73" s="254"/>
      <c r="MCR73" s="264">
        <v>5.7000000000000002E-2</v>
      </c>
      <c r="MCS73" s="193"/>
      <c r="MCT73" s="263" t="s">
        <v>2</v>
      </c>
      <c r="MCU73" s="193"/>
      <c r="MCV73" s="255" t="s">
        <v>168</v>
      </c>
      <c r="MCW73" s="263" t="s">
        <v>31</v>
      </c>
      <c r="MCX73" s="254"/>
      <c r="MCY73" s="254"/>
      <c r="MCZ73" s="264">
        <v>5.7000000000000002E-2</v>
      </c>
      <c r="MDA73" s="193"/>
      <c r="MDB73" s="263" t="s">
        <v>2</v>
      </c>
      <c r="MDC73" s="193"/>
      <c r="MDD73" s="255" t="s">
        <v>168</v>
      </c>
      <c r="MDE73" s="263" t="s">
        <v>31</v>
      </c>
      <c r="MDF73" s="254"/>
      <c r="MDG73" s="254"/>
      <c r="MDH73" s="264">
        <v>5.7000000000000002E-2</v>
      </c>
      <c r="MDI73" s="193"/>
      <c r="MDJ73" s="263" t="s">
        <v>2</v>
      </c>
      <c r="MDK73" s="193"/>
      <c r="MDL73" s="255" t="s">
        <v>168</v>
      </c>
      <c r="MDM73" s="263" t="s">
        <v>31</v>
      </c>
      <c r="MDN73" s="254"/>
      <c r="MDO73" s="254"/>
      <c r="MDP73" s="264">
        <v>5.7000000000000002E-2</v>
      </c>
      <c r="MDQ73" s="193"/>
      <c r="MDR73" s="263" t="s">
        <v>2</v>
      </c>
      <c r="MDS73" s="193"/>
      <c r="MDT73" s="255" t="s">
        <v>168</v>
      </c>
      <c r="MDU73" s="263" t="s">
        <v>31</v>
      </c>
      <c r="MDV73" s="254"/>
      <c r="MDW73" s="254"/>
      <c r="MDX73" s="264">
        <v>5.7000000000000002E-2</v>
      </c>
      <c r="MDY73" s="193"/>
      <c r="MDZ73" s="263" t="s">
        <v>2</v>
      </c>
      <c r="MEA73" s="193"/>
      <c r="MEB73" s="255" t="s">
        <v>168</v>
      </c>
      <c r="MEC73" s="263" t="s">
        <v>31</v>
      </c>
      <c r="MED73" s="254"/>
      <c r="MEE73" s="254"/>
      <c r="MEF73" s="264">
        <v>5.7000000000000002E-2</v>
      </c>
      <c r="MEG73" s="193"/>
      <c r="MEH73" s="263" t="s">
        <v>2</v>
      </c>
      <c r="MEI73" s="193"/>
      <c r="MEJ73" s="255" t="s">
        <v>168</v>
      </c>
      <c r="MEK73" s="263" t="s">
        <v>31</v>
      </c>
      <c r="MEL73" s="254"/>
      <c r="MEM73" s="254"/>
      <c r="MEN73" s="264">
        <v>5.7000000000000002E-2</v>
      </c>
      <c r="MEO73" s="193"/>
      <c r="MEP73" s="263" t="s">
        <v>2</v>
      </c>
      <c r="MEQ73" s="193"/>
      <c r="MER73" s="255" t="s">
        <v>168</v>
      </c>
      <c r="MES73" s="263" t="s">
        <v>31</v>
      </c>
      <c r="MET73" s="254"/>
      <c r="MEU73" s="254"/>
      <c r="MEV73" s="264">
        <v>5.7000000000000002E-2</v>
      </c>
      <c r="MEW73" s="193"/>
      <c r="MEX73" s="263" t="s">
        <v>2</v>
      </c>
      <c r="MEY73" s="193"/>
      <c r="MEZ73" s="255" t="s">
        <v>168</v>
      </c>
      <c r="MFA73" s="263" t="s">
        <v>31</v>
      </c>
      <c r="MFB73" s="254"/>
      <c r="MFC73" s="254"/>
      <c r="MFD73" s="264">
        <v>5.7000000000000002E-2</v>
      </c>
      <c r="MFE73" s="193"/>
      <c r="MFF73" s="263" t="s">
        <v>2</v>
      </c>
      <c r="MFG73" s="193"/>
      <c r="MFH73" s="255" t="s">
        <v>168</v>
      </c>
      <c r="MFI73" s="263" t="s">
        <v>31</v>
      </c>
      <c r="MFJ73" s="254"/>
      <c r="MFK73" s="254"/>
      <c r="MFL73" s="264">
        <v>5.7000000000000002E-2</v>
      </c>
      <c r="MFM73" s="193"/>
      <c r="MFN73" s="263" t="s">
        <v>2</v>
      </c>
      <c r="MFO73" s="193"/>
      <c r="MFP73" s="255" t="s">
        <v>168</v>
      </c>
      <c r="MFQ73" s="263" t="s">
        <v>31</v>
      </c>
      <c r="MFR73" s="254"/>
      <c r="MFS73" s="254"/>
      <c r="MFT73" s="264">
        <v>5.7000000000000002E-2</v>
      </c>
      <c r="MFU73" s="193"/>
      <c r="MFV73" s="263" t="s">
        <v>2</v>
      </c>
      <c r="MFW73" s="193"/>
      <c r="MFX73" s="255" t="s">
        <v>168</v>
      </c>
      <c r="MFY73" s="263" t="s">
        <v>31</v>
      </c>
      <c r="MFZ73" s="254"/>
      <c r="MGA73" s="254"/>
      <c r="MGB73" s="264">
        <v>5.7000000000000002E-2</v>
      </c>
      <c r="MGC73" s="193"/>
      <c r="MGD73" s="263" t="s">
        <v>2</v>
      </c>
      <c r="MGE73" s="193"/>
      <c r="MGF73" s="255" t="s">
        <v>168</v>
      </c>
      <c r="MGG73" s="263" t="s">
        <v>31</v>
      </c>
      <c r="MGH73" s="254"/>
      <c r="MGI73" s="254"/>
      <c r="MGJ73" s="264">
        <v>5.7000000000000002E-2</v>
      </c>
      <c r="MGK73" s="193"/>
      <c r="MGL73" s="263" t="s">
        <v>2</v>
      </c>
      <c r="MGM73" s="193"/>
      <c r="MGN73" s="255" t="s">
        <v>168</v>
      </c>
      <c r="MGO73" s="263" t="s">
        <v>31</v>
      </c>
      <c r="MGP73" s="254"/>
      <c r="MGQ73" s="254"/>
      <c r="MGR73" s="264">
        <v>5.7000000000000002E-2</v>
      </c>
      <c r="MGS73" s="193"/>
      <c r="MGT73" s="263" t="s">
        <v>2</v>
      </c>
      <c r="MGU73" s="193"/>
      <c r="MGV73" s="255" t="s">
        <v>168</v>
      </c>
      <c r="MGW73" s="263" t="s">
        <v>31</v>
      </c>
      <c r="MGX73" s="254"/>
      <c r="MGY73" s="254"/>
      <c r="MGZ73" s="264">
        <v>5.7000000000000002E-2</v>
      </c>
      <c r="MHA73" s="193"/>
      <c r="MHB73" s="263" t="s">
        <v>2</v>
      </c>
      <c r="MHC73" s="193"/>
      <c r="MHD73" s="255" t="s">
        <v>168</v>
      </c>
      <c r="MHE73" s="263" t="s">
        <v>31</v>
      </c>
      <c r="MHF73" s="254"/>
      <c r="MHG73" s="254"/>
      <c r="MHH73" s="264">
        <v>5.7000000000000002E-2</v>
      </c>
      <c r="MHI73" s="193"/>
      <c r="MHJ73" s="263" t="s">
        <v>2</v>
      </c>
      <c r="MHK73" s="193"/>
      <c r="MHL73" s="255" t="s">
        <v>168</v>
      </c>
      <c r="MHM73" s="263" t="s">
        <v>31</v>
      </c>
      <c r="MHN73" s="254"/>
      <c r="MHO73" s="254"/>
      <c r="MHP73" s="264">
        <v>5.7000000000000002E-2</v>
      </c>
      <c r="MHQ73" s="193"/>
      <c r="MHR73" s="263" t="s">
        <v>2</v>
      </c>
      <c r="MHS73" s="193"/>
      <c r="MHT73" s="255" t="s">
        <v>168</v>
      </c>
      <c r="MHU73" s="263" t="s">
        <v>31</v>
      </c>
      <c r="MHV73" s="254"/>
      <c r="MHW73" s="254"/>
      <c r="MHX73" s="264">
        <v>5.7000000000000002E-2</v>
      </c>
      <c r="MHY73" s="193"/>
      <c r="MHZ73" s="263" t="s">
        <v>2</v>
      </c>
      <c r="MIA73" s="193"/>
      <c r="MIB73" s="255" t="s">
        <v>168</v>
      </c>
      <c r="MIC73" s="263" t="s">
        <v>31</v>
      </c>
      <c r="MID73" s="254"/>
      <c r="MIE73" s="254"/>
      <c r="MIF73" s="264">
        <v>5.7000000000000002E-2</v>
      </c>
      <c r="MIG73" s="193"/>
      <c r="MIH73" s="263" t="s">
        <v>2</v>
      </c>
      <c r="MII73" s="193"/>
      <c r="MIJ73" s="255" t="s">
        <v>168</v>
      </c>
      <c r="MIK73" s="263" t="s">
        <v>31</v>
      </c>
      <c r="MIL73" s="254"/>
      <c r="MIM73" s="254"/>
      <c r="MIN73" s="264">
        <v>5.7000000000000002E-2</v>
      </c>
      <c r="MIO73" s="193"/>
      <c r="MIP73" s="263" t="s">
        <v>2</v>
      </c>
      <c r="MIQ73" s="193"/>
      <c r="MIR73" s="255" t="s">
        <v>168</v>
      </c>
      <c r="MIS73" s="263" t="s">
        <v>31</v>
      </c>
      <c r="MIT73" s="254"/>
      <c r="MIU73" s="254"/>
      <c r="MIV73" s="264">
        <v>5.7000000000000002E-2</v>
      </c>
      <c r="MIW73" s="193"/>
      <c r="MIX73" s="263" t="s">
        <v>2</v>
      </c>
      <c r="MIY73" s="193"/>
      <c r="MIZ73" s="255" t="s">
        <v>168</v>
      </c>
      <c r="MJA73" s="263" t="s">
        <v>31</v>
      </c>
      <c r="MJB73" s="254"/>
      <c r="MJC73" s="254"/>
      <c r="MJD73" s="264">
        <v>5.7000000000000002E-2</v>
      </c>
      <c r="MJE73" s="193"/>
      <c r="MJF73" s="263" t="s">
        <v>2</v>
      </c>
      <c r="MJG73" s="193"/>
      <c r="MJH73" s="255" t="s">
        <v>168</v>
      </c>
      <c r="MJI73" s="263" t="s">
        <v>31</v>
      </c>
      <c r="MJJ73" s="254"/>
      <c r="MJK73" s="254"/>
      <c r="MJL73" s="264">
        <v>5.7000000000000002E-2</v>
      </c>
      <c r="MJM73" s="193"/>
      <c r="MJN73" s="263" t="s">
        <v>2</v>
      </c>
      <c r="MJO73" s="193"/>
      <c r="MJP73" s="255" t="s">
        <v>168</v>
      </c>
      <c r="MJQ73" s="263" t="s">
        <v>31</v>
      </c>
      <c r="MJR73" s="254"/>
      <c r="MJS73" s="254"/>
      <c r="MJT73" s="264">
        <v>5.7000000000000002E-2</v>
      </c>
      <c r="MJU73" s="193"/>
      <c r="MJV73" s="263" t="s">
        <v>2</v>
      </c>
      <c r="MJW73" s="193"/>
      <c r="MJX73" s="255" t="s">
        <v>168</v>
      </c>
      <c r="MJY73" s="263" t="s">
        <v>31</v>
      </c>
      <c r="MJZ73" s="254"/>
      <c r="MKA73" s="254"/>
      <c r="MKB73" s="264">
        <v>5.7000000000000002E-2</v>
      </c>
      <c r="MKC73" s="193"/>
      <c r="MKD73" s="263" t="s">
        <v>2</v>
      </c>
      <c r="MKE73" s="193"/>
      <c r="MKF73" s="255" t="s">
        <v>168</v>
      </c>
      <c r="MKG73" s="263" t="s">
        <v>31</v>
      </c>
      <c r="MKH73" s="254"/>
      <c r="MKI73" s="254"/>
      <c r="MKJ73" s="264">
        <v>5.7000000000000002E-2</v>
      </c>
      <c r="MKK73" s="193"/>
      <c r="MKL73" s="263" t="s">
        <v>2</v>
      </c>
      <c r="MKM73" s="193"/>
      <c r="MKN73" s="255" t="s">
        <v>168</v>
      </c>
      <c r="MKO73" s="263" t="s">
        <v>31</v>
      </c>
      <c r="MKP73" s="254"/>
      <c r="MKQ73" s="254"/>
      <c r="MKR73" s="264">
        <v>5.7000000000000002E-2</v>
      </c>
      <c r="MKS73" s="193"/>
      <c r="MKT73" s="263" t="s">
        <v>2</v>
      </c>
      <c r="MKU73" s="193"/>
      <c r="MKV73" s="255" t="s">
        <v>168</v>
      </c>
      <c r="MKW73" s="263" t="s">
        <v>31</v>
      </c>
      <c r="MKX73" s="254"/>
      <c r="MKY73" s="254"/>
      <c r="MKZ73" s="264">
        <v>5.7000000000000002E-2</v>
      </c>
      <c r="MLA73" s="193"/>
      <c r="MLB73" s="263" t="s">
        <v>2</v>
      </c>
      <c r="MLC73" s="193"/>
      <c r="MLD73" s="255" t="s">
        <v>168</v>
      </c>
      <c r="MLE73" s="263" t="s">
        <v>31</v>
      </c>
      <c r="MLF73" s="254"/>
      <c r="MLG73" s="254"/>
      <c r="MLH73" s="264">
        <v>5.7000000000000002E-2</v>
      </c>
      <c r="MLI73" s="193"/>
      <c r="MLJ73" s="263" t="s">
        <v>2</v>
      </c>
      <c r="MLK73" s="193"/>
      <c r="MLL73" s="255" t="s">
        <v>168</v>
      </c>
      <c r="MLM73" s="263" t="s">
        <v>31</v>
      </c>
      <c r="MLN73" s="254"/>
      <c r="MLO73" s="254"/>
      <c r="MLP73" s="264">
        <v>5.7000000000000002E-2</v>
      </c>
      <c r="MLQ73" s="193"/>
      <c r="MLR73" s="263" t="s">
        <v>2</v>
      </c>
      <c r="MLS73" s="193"/>
      <c r="MLT73" s="255" t="s">
        <v>168</v>
      </c>
      <c r="MLU73" s="263" t="s">
        <v>31</v>
      </c>
      <c r="MLV73" s="254"/>
      <c r="MLW73" s="254"/>
      <c r="MLX73" s="264">
        <v>5.7000000000000002E-2</v>
      </c>
      <c r="MLY73" s="193"/>
      <c r="MLZ73" s="263" t="s">
        <v>2</v>
      </c>
      <c r="MMA73" s="193"/>
      <c r="MMB73" s="255" t="s">
        <v>168</v>
      </c>
      <c r="MMC73" s="263" t="s">
        <v>31</v>
      </c>
      <c r="MMD73" s="254"/>
      <c r="MME73" s="254"/>
      <c r="MMF73" s="264">
        <v>5.7000000000000002E-2</v>
      </c>
      <c r="MMG73" s="193"/>
      <c r="MMH73" s="263" t="s">
        <v>2</v>
      </c>
      <c r="MMI73" s="193"/>
      <c r="MMJ73" s="255" t="s">
        <v>168</v>
      </c>
      <c r="MMK73" s="263" t="s">
        <v>31</v>
      </c>
      <c r="MML73" s="254"/>
      <c r="MMM73" s="254"/>
      <c r="MMN73" s="264">
        <v>5.7000000000000002E-2</v>
      </c>
      <c r="MMO73" s="193"/>
      <c r="MMP73" s="263" t="s">
        <v>2</v>
      </c>
      <c r="MMQ73" s="193"/>
      <c r="MMR73" s="255" t="s">
        <v>168</v>
      </c>
      <c r="MMS73" s="263" t="s">
        <v>31</v>
      </c>
      <c r="MMT73" s="254"/>
      <c r="MMU73" s="254"/>
      <c r="MMV73" s="264">
        <v>5.7000000000000002E-2</v>
      </c>
      <c r="MMW73" s="193"/>
      <c r="MMX73" s="263" t="s">
        <v>2</v>
      </c>
      <c r="MMY73" s="193"/>
      <c r="MMZ73" s="255" t="s">
        <v>168</v>
      </c>
      <c r="MNA73" s="263" t="s">
        <v>31</v>
      </c>
      <c r="MNB73" s="254"/>
      <c r="MNC73" s="254"/>
      <c r="MND73" s="264">
        <v>5.7000000000000002E-2</v>
      </c>
      <c r="MNE73" s="193"/>
      <c r="MNF73" s="263" t="s">
        <v>2</v>
      </c>
      <c r="MNG73" s="193"/>
      <c r="MNH73" s="255" t="s">
        <v>168</v>
      </c>
      <c r="MNI73" s="263" t="s">
        <v>31</v>
      </c>
      <c r="MNJ73" s="254"/>
      <c r="MNK73" s="254"/>
      <c r="MNL73" s="264">
        <v>5.7000000000000002E-2</v>
      </c>
      <c r="MNM73" s="193"/>
      <c r="MNN73" s="263" t="s">
        <v>2</v>
      </c>
      <c r="MNO73" s="193"/>
      <c r="MNP73" s="255" t="s">
        <v>168</v>
      </c>
      <c r="MNQ73" s="263" t="s">
        <v>31</v>
      </c>
      <c r="MNR73" s="254"/>
      <c r="MNS73" s="254"/>
      <c r="MNT73" s="264">
        <v>5.7000000000000002E-2</v>
      </c>
      <c r="MNU73" s="193"/>
      <c r="MNV73" s="263" t="s">
        <v>2</v>
      </c>
      <c r="MNW73" s="193"/>
      <c r="MNX73" s="255" t="s">
        <v>168</v>
      </c>
      <c r="MNY73" s="263" t="s">
        <v>31</v>
      </c>
      <c r="MNZ73" s="254"/>
      <c r="MOA73" s="254"/>
      <c r="MOB73" s="264">
        <v>5.7000000000000002E-2</v>
      </c>
      <c r="MOC73" s="193"/>
      <c r="MOD73" s="263" t="s">
        <v>2</v>
      </c>
      <c r="MOE73" s="193"/>
      <c r="MOF73" s="255" t="s">
        <v>168</v>
      </c>
      <c r="MOG73" s="263" t="s">
        <v>31</v>
      </c>
      <c r="MOH73" s="254"/>
      <c r="MOI73" s="254"/>
      <c r="MOJ73" s="264">
        <v>5.7000000000000002E-2</v>
      </c>
      <c r="MOK73" s="193"/>
      <c r="MOL73" s="263" t="s">
        <v>2</v>
      </c>
      <c r="MOM73" s="193"/>
      <c r="MON73" s="255" t="s">
        <v>168</v>
      </c>
      <c r="MOO73" s="263" t="s">
        <v>31</v>
      </c>
      <c r="MOP73" s="254"/>
      <c r="MOQ73" s="254"/>
      <c r="MOR73" s="264">
        <v>5.7000000000000002E-2</v>
      </c>
      <c r="MOS73" s="193"/>
      <c r="MOT73" s="263" t="s">
        <v>2</v>
      </c>
      <c r="MOU73" s="193"/>
      <c r="MOV73" s="255" t="s">
        <v>168</v>
      </c>
      <c r="MOW73" s="263" t="s">
        <v>31</v>
      </c>
      <c r="MOX73" s="254"/>
      <c r="MOY73" s="254"/>
      <c r="MOZ73" s="264">
        <v>5.7000000000000002E-2</v>
      </c>
      <c r="MPA73" s="193"/>
      <c r="MPB73" s="263" t="s">
        <v>2</v>
      </c>
      <c r="MPC73" s="193"/>
      <c r="MPD73" s="255" t="s">
        <v>168</v>
      </c>
      <c r="MPE73" s="263" t="s">
        <v>31</v>
      </c>
      <c r="MPF73" s="254"/>
      <c r="MPG73" s="254"/>
      <c r="MPH73" s="264">
        <v>5.7000000000000002E-2</v>
      </c>
      <c r="MPI73" s="193"/>
      <c r="MPJ73" s="263" t="s">
        <v>2</v>
      </c>
      <c r="MPK73" s="193"/>
      <c r="MPL73" s="255" t="s">
        <v>168</v>
      </c>
      <c r="MPM73" s="263" t="s">
        <v>31</v>
      </c>
      <c r="MPN73" s="254"/>
      <c r="MPO73" s="254"/>
      <c r="MPP73" s="264">
        <v>5.7000000000000002E-2</v>
      </c>
      <c r="MPQ73" s="193"/>
      <c r="MPR73" s="263" t="s">
        <v>2</v>
      </c>
      <c r="MPS73" s="193"/>
      <c r="MPT73" s="255" t="s">
        <v>168</v>
      </c>
      <c r="MPU73" s="263" t="s">
        <v>31</v>
      </c>
      <c r="MPV73" s="254"/>
      <c r="MPW73" s="254"/>
      <c r="MPX73" s="264">
        <v>5.7000000000000002E-2</v>
      </c>
      <c r="MPY73" s="193"/>
      <c r="MPZ73" s="263" t="s">
        <v>2</v>
      </c>
      <c r="MQA73" s="193"/>
      <c r="MQB73" s="255" t="s">
        <v>168</v>
      </c>
      <c r="MQC73" s="263" t="s">
        <v>31</v>
      </c>
      <c r="MQD73" s="254"/>
      <c r="MQE73" s="254"/>
      <c r="MQF73" s="264">
        <v>5.7000000000000002E-2</v>
      </c>
      <c r="MQG73" s="193"/>
      <c r="MQH73" s="263" t="s">
        <v>2</v>
      </c>
      <c r="MQI73" s="193"/>
      <c r="MQJ73" s="255" t="s">
        <v>168</v>
      </c>
      <c r="MQK73" s="263" t="s">
        <v>31</v>
      </c>
      <c r="MQL73" s="254"/>
      <c r="MQM73" s="254"/>
      <c r="MQN73" s="264">
        <v>5.7000000000000002E-2</v>
      </c>
      <c r="MQO73" s="193"/>
      <c r="MQP73" s="263" t="s">
        <v>2</v>
      </c>
      <c r="MQQ73" s="193"/>
      <c r="MQR73" s="255" t="s">
        <v>168</v>
      </c>
      <c r="MQS73" s="263" t="s">
        <v>31</v>
      </c>
      <c r="MQT73" s="254"/>
      <c r="MQU73" s="254"/>
      <c r="MQV73" s="264">
        <v>5.7000000000000002E-2</v>
      </c>
      <c r="MQW73" s="193"/>
      <c r="MQX73" s="263" t="s">
        <v>2</v>
      </c>
      <c r="MQY73" s="193"/>
      <c r="MQZ73" s="255" t="s">
        <v>168</v>
      </c>
      <c r="MRA73" s="263" t="s">
        <v>31</v>
      </c>
      <c r="MRB73" s="254"/>
      <c r="MRC73" s="254"/>
      <c r="MRD73" s="264">
        <v>5.7000000000000002E-2</v>
      </c>
      <c r="MRE73" s="193"/>
      <c r="MRF73" s="263" t="s">
        <v>2</v>
      </c>
      <c r="MRG73" s="193"/>
      <c r="MRH73" s="255" t="s">
        <v>168</v>
      </c>
      <c r="MRI73" s="263" t="s">
        <v>31</v>
      </c>
      <c r="MRJ73" s="254"/>
      <c r="MRK73" s="254"/>
      <c r="MRL73" s="264">
        <v>5.7000000000000002E-2</v>
      </c>
      <c r="MRM73" s="193"/>
      <c r="MRN73" s="263" t="s">
        <v>2</v>
      </c>
      <c r="MRO73" s="193"/>
      <c r="MRP73" s="255" t="s">
        <v>168</v>
      </c>
      <c r="MRQ73" s="263" t="s">
        <v>31</v>
      </c>
      <c r="MRR73" s="254"/>
      <c r="MRS73" s="254"/>
      <c r="MRT73" s="264">
        <v>5.7000000000000002E-2</v>
      </c>
      <c r="MRU73" s="193"/>
      <c r="MRV73" s="263" t="s">
        <v>2</v>
      </c>
      <c r="MRW73" s="193"/>
      <c r="MRX73" s="255" t="s">
        <v>168</v>
      </c>
      <c r="MRY73" s="263" t="s">
        <v>31</v>
      </c>
      <c r="MRZ73" s="254"/>
      <c r="MSA73" s="254"/>
      <c r="MSB73" s="264">
        <v>5.7000000000000002E-2</v>
      </c>
      <c r="MSC73" s="193"/>
      <c r="MSD73" s="263" t="s">
        <v>2</v>
      </c>
      <c r="MSE73" s="193"/>
      <c r="MSF73" s="255" t="s">
        <v>168</v>
      </c>
      <c r="MSG73" s="263" t="s">
        <v>31</v>
      </c>
      <c r="MSH73" s="254"/>
      <c r="MSI73" s="254"/>
      <c r="MSJ73" s="264">
        <v>5.7000000000000002E-2</v>
      </c>
      <c r="MSK73" s="193"/>
      <c r="MSL73" s="263" t="s">
        <v>2</v>
      </c>
      <c r="MSM73" s="193"/>
      <c r="MSN73" s="255" t="s">
        <v>168</v>
      </c>
      <c r="MSO73" s="263" t="s">
        <v>31</v>
      </c>
      <c r="MSP73" s="254"/>
      <c r="MSQ73" s="254"/>
      <c r="MSR73" s="264">
        <v>5.7000000000000002E-2</v>
      </c>
      <c r="MSS73" s="193"/>
      <c r="MST73" s="263" t="s">
        <v>2</v>
      </c>
      <c r="MSU73" s="193"/>
      <c r="MSV73" s="255" t="s">
        <v>168</v>
      </c>
      <c r="MSW73" s="263" t="s">
        <v>31</v>
      </c>
      <c r="MSX73" s="254"/>
      <c r="MSY73" s="254"/>
      <c r="MSZ73" s="264">
        <v>5.7000000000000002E-2</v>
      </c>
      <c r="MTA73" s="193"/>
      <c r="MTB73" s="263" t="s">
        <v>2</v>
      </c>
      <c r="MTC73" s="193"/>
      <c r="MTD73" s="255" t="s">
        <v>168</v>
      </c>
      <c r="MTE73" s="263" t="s">
        <v>31</v>
      </c>
      <c r="MTF73" s="254"/>
      <c r="MTG73" s="254"/>
      <c r="MTH73" s="264">
        <v>5.7000000000000002E-2</v>
      </c>
      <c r="MTI73" s="193"/>
      <c r="MTJ73" s="263" t="s">
        <v>2</v>
      </c>
      <c r="MTK73" s="193"/>
      <c r="MTL73" s="255" t="s">
        <v>168</v>
      </c>
      <c r="MTM73" s="263" t="s">
        <v>31</v>
      </c>
      <c r="MTN73" s="254"/>
      <c r="MTO73" s="254"/>
      <c r="MTP73" s="264">
        <v>5.7000000000000002E-2</v>
      </c>
      <c r="MTQ73" s="193"/>
      <c r="MTR73" s="263" t="s">
        <v>2</v>
      </c>
      <c r="MTS73" s="193"/>
      <c r="MTT73" s="255" t="s">
        <v>168</v>
      </c>
      <c r="MTU73" s="263" t="s">
        <v>31</v>
      </c>
      <c r="MTV73" s="254"/>
      <c r="MTW73" s="254"/>
      <c r="MTX73" s="264">
        <v>5.7000000000000002E-2</v>
      </c>
      <c r="MTY73" s="193"/>
      <c r="MTZ73" s="263" t="s">
        <v>2</v>
      </c>
      <c r="MUA73" s="193"/>
      <c r="MUB73" s="255" t="s">
        <v>168</v>
      </c>
      <c r="MUC73" s="263" t="s">
        <v>31</v>
      </c>
      <c r="MUD73" s="254"/>
      <c r="MUE73" s="254"/>
      <c r="MUF73" s="264">
        <v>5.7000000000000002E-2</v>
      </c>
      <c r="MUG73" s="193"/>
      <c r="MUH73" s="263" t="s">
        <v>2</v>
      </c>
      <c r="MUI73" s="193"/>
      <c r="MUJ73" s="255" t="s">
        <v>168</v>
      </c>
      <c r="MUK73" s="263" t="s">
        <v>31</v>
      </c>
      <c r="MUL73" s="254"/>
      <c r="MUM73" s="254"/>
      <c r="MUN73" s="264">
        <v>5.7000000000000002E-2</v>
      </c>
      <c r="MUO73" s="193"/>
      <c r="MUP73" s="263" t="s">
        <v>2</v>
      </c>
      <c r="MUQ73" s="193"/>
      <c r="MUR73" s="255" t="s">
        <v>168</v>
      </c>
      <c r="MUS73" s="263" t="s">
        <v>31</v>
      </c>
      <c r="MUT73" s="254"/>
      <c r="MUU73" s="254"/>
      <c r="MUV73" s="264">
        <v>5.7000000000000002E-2</v>
      </c>
      <c r="MUW73" s="193"/>
      <c r="MUX73" s="263" t="s">
        <v>2</v>
      </c>
      <c r="MUY73" s="193"/>
      <c r="MUZ73" s="255" t="s">
        <v>168</v>
      </c>
      <c r="MVA73" s="263" t="s">
        <v>31</v>
      </c>
      <c r="MVB73" s="254"/>
      <c r="MVC73" s="254"/>
      <c r="MVD73" s="264">
        <v>5.7000000000000002E-2</v>
      </c>
      <c r="MVE73" s="193"/>
      <c r="MVF73" s="263" t="s">
        <v>2</v>
      </c>
      <c r="MVG73" s="193"/>
      <c r="MVH73" s="255" t="s">
        <v>168</v>
      </c>
      <c r="MVI73" s="263" t="s">
        <v>31</v>
      </c>
      <c r="MVJ73" s="254"/>
      <c r="MVK73" s="254"/>
      <c r="MVL73" s="264">
        <v>5.7000000000000002E-2</v>
      </c>
      <c r="MVM73" s="193"/>
      <c r="MVN73" s="263" t="s">
        <v>2</v>
      </c>
      <c r="MVO73" s="193"/>
      <c r="MVP73" s="255" t="s">
        <v>168</v>
      </c>
      <c r="MVQ73" s="263" t="s">
        <v>31</v>
      </c>
      <c r="MVR73" s="254"/>
      <c r="MVS73" s="254"/>
      <c r="MVT73" s="264">
        <v>5.7000000000000002E-2</v>
      </c>
      <c r="MVU73" s="193"/>
      <c r="MVV73" s="263" t="s">
        <v>2</v>
      </c>
      <c r="MVW73" s="193"/>
      <c r="MVX73" s="255" t="s">
        <v>168</v>
      </c>
      <c r="MVY73" s="263" t="s">
        <v>31</v>
      </c>
      <c r="MVZ73" s="254"/>
      <c r="MWA73" s="254"/>
      <c r="MWB73" s="264">
        <v>5.7000000000000002E-2</v>
      </c>
      <c r="MWC73" s="193"/>
      <c r="MWD73" s="263" t="s">
        <v>2</v>
      </c>
      <c r="MWE73" s="193"/>
      <c r="MWF73" s="255" t="s">
        <v>168</v>
      </c>
      <c r="MWG73" s="263" t="s">
        <v>31</v>
      </c>
      <c r="MWH73" s="254"/>
      <c r="MWI73" s="254"/>
      <c r="MWJ73" s="264">
        <v>5.7000000000000002E-2</v>
      </c>
      <c r="MWK73" s="193"/>
      <c r="MWL73" s="263" t="s">
        <v>2</v>
      </c>
      <c r="MWM73" s="193"/>
      <c r="MWN73" s="255" t="s">
        <v>168</v>
      </c>
      <c r="MWO73" s="263" t="s">
        <v>31</v>
      </c>
      <c r="MWP73" s="254"/>
      <c r="MWQ73" s="254"/>
      <c r="MWR73" s="264">
        <v>5.7000000000000002E-2</v>
      </c>
      <c r="MWS73" s="193"/>
      <c r="MWT73" s="263" t="s">
        <v>2</v>
      </c>
      <c r="MWU73" s="193"/>
      <c r="MWV73" s="255" t="s">
        <v>168</v>
      </c>
      <c r="MWW73" s="263" t="s">
        <v>31</v>
      </c>
      <c r="MWX73" s="254"/>
      <c r="MWY73" s="254"/>
      <c r="MWZ73" s="264">
        <v>5.7000000000000002E-2</v>
      </c>
      <c r="MXA73" s="193"/>
      <c r="MXB73" s="263" t="s">
        <v>2</v>
      </c>
      <c r="MXC73" s="193"/>
      <c r="MXD73" s="255" t="s">
        <v>168</v>
      </c>
      <c r="MXE73" s="263" t="s">
        <v>31</v>
      </c>
      <c r="MXF73" s="254"/>
      <c r="MXG73" s="254"/>
      <c r="MXH73" s="264">
        <v>5.7000000000000002E-2</v>
      </c>
      <c r="MXI73" s="193"/>
      <c r="MXJ73" s="263" t="s">
        <v>2</v>
      </c>
      <c r="MXK73" s="193"/>
      <c r="MXL73" s="255" t="s">
        <v>168</v>
      </c>
      <c r="MXM73" s="263" t="s">
        <v>31</v>
      </c>
      <c r="MXN73" s="254"/>
      <c r="MXO73" s="254"/>
      <c r="MXP73" s="264">
        <v>5.7000000000000002E-2</v>
      </c>
      <c r="MXQ73" s="193"/>
      <c r="MXR73" s="263" t="s">
        <v>2</v>
      </c>
      <c r="MXS73" s="193"/>
      <c r="MXT73" s="255" t="s">
        <v>168</v>
      </c>
      <c r="MXU73" s="263" t="s">
        <v>31</v>
      </c>
      <c r="MXV73" s="254"/>
      <c r="MXW73" s="254"/>
      <c r="MXX73" s="264">
        <v>5.7000000000000002E-2</v>
      </c>
      <c r="MXY73" s="193"/>
      <c r="MXZ73" s="263" t="s">
        <v>2</v>
      </c>
      <c r="MYA73" s="193"/>
      <c r="MYB73" s="255" t="s">
        <v>168</v>
      </c>
      <c r="MYC73" s="263" t="s">
        <v>31</v>
      </c>
      <c r="MYD73" s="254"/>
      <c r="MYE73" s="254"/>
      <c r="MYF73" s="264">
        <v>5.7000000000000002E-2</v>
      </c>
      <c r="MYG73" s="193"/>
      <c r="MYH73" s="263" t="s">
        <v>2</v>
      </c>
      <c r="MYI73" s="193"/>
      <c r="MYJ73" s="255" t="s">
        <v>168</v>
      </c>
      <c r="MYK73" s="263" t="s">
        <v>31</v>
      </c>
      <c r="MYL73" s="254"/>
      <c r="MYM73" s="254"/>
      <c r="MYN73" s="264">
        <v>5.7000000000000002E-2</v>
      </c>
      <c r="MYO73" s="193"/>
      <c r="MYP73" s="263" t="s">
        <v>2</v>
      </c>
      <c r="MYQ73" s="193"/>
      <c r="MYR73" s="255" t="s">
        <v>168</v>
      </c>
      <c r="MYS73" s="263" t="s">
        <v>31</v>
      </c>
      <c r="MYT73" s="254"/>
      <c r="MYU73" s="254"/>
      <c r="MYV73" s="264">
        <v>5.7000000000000002E-2</v>
      </c>
      <c r="MYW73" s="193"/>
      <c r="MYX73" s="263" t="s">
        <v>2</v>
      </c>
      <c r="MYY73" s="193"/>
      <c r="MYZ73" s="255" t="s">
        <v>168</v>
      </c>
      <c r="MZA73" s="263" t="s">
        <v>31</v>
      </c>
      <c r="MZB73" s="254"/>
      <c r="MZC73" s="254"/>
      <c r="MZD73" s="264">
        <v>5.7000000000000002E-2</v>
      </c>
      <c r="MZE73" s="193"/>
      <c r="MZF73" s="263" t="s">
        <v>2</v>
      </c>
      <c r="MZG73" s="193"/>
      <c r="MZH73" s="255" t="s">
        <v>168</v>
      </c>
      <c r="MZI73" s="263" t="s">
        <v>31</v>
      </c>
      <c r="MZJ73" s="254"/>
      <c r="MZK73" s="254"/>
      <c r="MZL73" s="264">
        <v>5.7000000000000002E-2</v>
      </c>
      <c r="MZM73" s="193"/>
      <c r="MZN73" s="263" t="s">
        <v>2</v>
      </c>
      <c r="MZO73" s="193"/>
      <c r="MZP73" s="255" t="s">
        <v>168</v>
      </c>
      <c r="MZQ73" s="263" t="s">
        <v>31</v>
      </c>
      <c r="MZR73" s="254"/>
      <c r="MZS73" s="254"/>
      <c r="MZT73" s="264">
        <v>5.7000000000000002E-2</v>
      </c>
      <c r="MZU73" s="193"/>
      <c r="MZV73" s="263" t="s">
        <v>2</v>
      </c>
      <c r="MZW73" s="193"/>
      <c r="MZX73" s="255" t="s">
        <v>168</v>
      </c>
      <c r="MZY73" s="263" t="s">
        <v>31</v>
      </c>
      <c r="MZZ73" s="254"/>
      <c r="NAA73" s="254"/>
      <c r="NAB73" s="264">
        <v>5.7000000000000002E-2</v>
      </c>
      <c r="NAC73" s="193"/>
      <c r="NAD73" s="263" t="s">
        <v>2</v>
      </c>
      <c r="NAE73" s="193"/>
      <c r="NAF73" s="255" t="s">
        <v>168</v>
      </c>
      <c r="NAG73" s="263" t="s">
        <v>31</v>
      </c>
      <c r="NAH73" s="254"/>
      <c r="NAI73" s="254"/>
      <c r="NAJ73" s="264">
        <v>5.7000000000000002E-2</v>
      </c>
      <c r="NAK73" s="193"/>
      <c r="NAL73" s="263" t="s">
        <v>2</v>
      </c>
      <c r="NAM73" s="193"/>
      <c r="NAN73" s="255" t="s">
        <v>168</v>
      </c>
      <c r="NAO73" s="263" t="s">
        <v>31</v>
      </c>
      <c r="NAP73" s="254"/>
      <c r="NAQ73" s="254"/>
      <c r="NAR73" s="264">
        <v>5.7000000000000002E-2</v>
      </c>
      <c r="NAS73" s="193"/>
      <c r="NAT73" s="263" t="s">
        <v>2</v>
      </c>
      <c r="NAU73" s="193"/>
      <c r="NAV73" s="255" t="s">
        <v>168</v>
      </c>
      <c r="NAW73" s="263" t="s">
        <v>31</v>
      </c>
      <c r="NAX73" s="254"/>
      <c r="NAY73" s="254"/>
      <c r="NAZ73" s="264">
        <v>5.7000000000000002E-2</v>
      </c>
      <c r="NBA73" s="193"/>
      <c r="NBB73" s="263" t="s">
        <v>2</v>
      </c>
      <c r="NBC73" s="193"/>
      <c r="NBD73" s="255" t="s">
        <v>168</v>
      </c>
      <c r="NBE73" s="263" t="s">
        <v>31</v>
      </c>
      <c r="NBF73" s="254"/>
      <c r="NBG73" s="254"/>
      <c r="NBH73" s="264">
        <v>5.7000000000000002E-2</v>
      </c>
      <c r="NBI73" s="193"/>
      <c r="NBJ73" s="263" t="s">
        <v>2</v>
      </c>
      <c r="NBK73" s="193"/>
      <c r="NBL73" s="255" t="s">
        <v>168</v>
      </c>
      <c r="NBM73" s="263" t="s">
        <v>31</v>
      </c>
      <c r="NBN73" s="254"/>
      <c r="NBO73" s="254"/>
      <c r="NBP73" s="264">
        <v>5.7000000000000002E-2</v>
      </c>
      <c r="NBQ73" s="193"/>
      <c r="NBR73" s="263" t="s">
        <v>2</v>
      </c>
      <c r="NBS73" s="193"/>
      <c r="NBT73" s="255" t="s">
        <v>168</v>
      </c>
      <c r="NBU73" s="263" t="s">
        <v>31</v>
      </c>
      <c r="NBV73" s="254"/>
      <c r="NBW73" s="254"/>
      <c r="NBX73" s="264">
        <v>5.7000000000000002E-2</v>
      </c>
      <c r="NBY73" s="193"/>
      <c r="NBZ73" s="263" t="s">
        <v>2</v>
      </c>
      <c r="NCA73" s="193"/>
      <c r="NCB73" s="255" t="s">
        <v>168</v>
      </c>
      <c r="NCC73" s="263" t="s">
        <v>31</v>
      </c>
      <c r="NCD73" s="254"/>
      <c r="NCE73" s="254"/>
      <c r="NCF73" s="264">
        <v>5.7000000000000002E-2</v>
      </c>
      <c r="NCG73" s="193"/>
      <c r="NCH73" s="263" t="s">
        <v>2</v>
      </c>
      <c r="NCI73" s="193"/>
      <c r="NCJ73" s="255" t="s">
        <v>168</v>
      </c>
      <c r="NCK73" s="263" t="s">
        <v>31</v>
      </c>
      <c r="NCL73" s="254"/>
      <c r="NCM73" s="254"/>
      <c r="NCN73" s="264">
        <v>5.7000000000000002E-2</v>
      </c>
      <c r="NCO73" s="193"/>
      <c r="NCP73" s="263" t="s">
        <v>2</v>
      </c>
      <c r="NCQ73" s="193"/>
      <c r="NCR73" s="255" t="s">
        <v>168</v>
      </c>
      <c r="NCS73" s="263" t="s">
        <v>31</v>
      </c>
      <c r="NCT73" s="254"/>
      <c r="NCU73" s="254"/>
      <c r="NCV73" s="264">
        <v>5.7000000000000002E-2</v>
      </c>
      <c r="NCW73" s="193"/>
      <c r="NCX73" s="263" t="s">
        <v>2</v>
      </c>
      <c r="NCY73" s="193"/>
      <c r="NCZ73" s="255" t="s">
        <v>168</v>
      </c>
      <c r="NDA73" s="263" t="s">
        <v>31</v>
      </c>
      <c r="NDB73" s="254"/>
      <c r="NDC73" s="254"/>
      <c r="NDD73" s="264">
        <v>5.7000000000000002E-2</v>
      </c>
      <c r="NDE73" s="193"/>
      <c r="NDF73" s="263" t="s">
        <v>2</v>
      </c>
      <c r="NDG73" s="193"/>
      <c r="NDH73" s="255" t="s">
        <v>168</v>
      </c>
      <c r="NDI73" s="263" t="s">
        <v>31</v>
      </c>
      <c r="NDJ73" s="254"/>
      <c r="NDK73" s="254"/>
      <c r="NDL73" s="264">
        <v>5.7000000000000002E-2</v>
      </c>
      <c r="NDM73" s="193"/>
      <c r="NDN73" s="263" t="s">
        <v>2</v>
      </c>
      <c r="NDO73" s="193"/>
      <c r="NDP73" s="255" t="s">
        <v>168</v>
      </c>
      <c r="NDQ73" s="263" t="s">
        <v>31</v>
      </c>
      <c r="NDR73" s="254"/>
      <c r="NDS73" s="254"/>
      <c r="NDT73" s="264">
        <v>5.7000000000000002E-2</v>
      </c>
      <c r="NDU73" s="193"/>
      <c r="NDV73" s="263" t="s">
        <v>2</v>
      </c>
      <c r="NDW73" s="193"/>
      <c r="NDX73" s="255" t="s">
        <v>168</v>
      </c>
      <c r="NDY73" s="263" t="s">
        <v>31</v>
      </c>
      <c r="NDZ73" s="254"/>
      <c r="NEA73" s="254"/>
      <c r="NEB73" s="264">
        <v>5.7000000000000002E-2</v>
      </c>
      <c r="NEC73" s="193"/>
      <c r="NED73" s="263" t="s">
        <v>2</v>
      </c>
      <c r="NEE73" s="193"/>
      <c r="NEF73" s="255" t="s">
        <v>168</v>
      </c>
      <c r="NEG73" s="263" t="s">
        <v>31</v>
      </c>
      <c r="NEH73" s="254"/>
      <c r="NEI73" s="254"/>
      <c r="NEJ73" s="264">
        <v>5.7000000000000002E-2</v>
      </c>
      <c r="NEK73" s="193"/>
      <c r="NEL73" s="263" t="s">
        <v>2</v>
      </c>
      <c r="NEM73" s="193"/>
      <c r="NEN73" s="255" t="s">
        <v>168</v>
      </c>
      <c r="NEO73" s="263" t="s">
        <v>31</v>
      </c>
      <c r="NEP73" s="254"/>
      <c r="NEQ73" s="254"/>
      <c r="NER73" s="264">
        <v>5.7000000000000002E-2</v>
      </c>
      <c r="NES73" s="193"/>
      <c r="NET73" s="263" t="s">
        <v>2</v>
      </c>
      <c r="NEU73" s="193"/>
      <c r="NEV73" s="255" t="s">
        <v>168</v>
      </c>
      <c r="NEW73" s="263" t="s">
        <v>31</v>
      </c>
      <c r="NEX73" s="254"/>
      <c r="NEY73" s="254"/>
      <c r="NEZ73" s="264">
        <v>5.7000000000000002E-2</v>
      </c>
      <c r="NFA73" s="193"/>
      <c r="NFB73" s="263" t="s">
        <v>2</v>
      </c>
      <c r="NFC73" s="193"/>
      <c r="NFD73" s="255" t="s">
        <v>168</v>
      </c>
      <c r="NFE73" s="263" t="s">
        <v>31</v>
      </c>
      <c r="NFF73" s="254"/>
      <c r="NFG73" s="254"/>
      <c r="NFH73" s="264">
        <v>5.7000000000000002E-2</v>
      </c>
      <c r="NFI73" s="193"/>
      <c r="NFJ73" s="263" t="s">
        <v>2</v>
      </c>
      <c r="NFK73" s="193"/>
      <c r="NFL73" s="255" t="s">
        <v>168</v>
      </c>
      <c r="NFM73" s="263" t="s">
        <v>31</v>
      </c>
      <c r="NFN73" s="254"/>
      <c r="NFO73" s="254"/>
      <c r="NFP73" s="264">
        <v>5.7000000000000002E-2</v>
      </c>
      <c r="NFQ73" s="193"/>
      <c r="NFR73" s="263" t="s">
        <v>2</v>
      </c>
      <c r="NFS73" s="193"/>
      <c r="NFT73" s="255" t="s">
        <v>168</v>
      </c>
      <c r="NFU73" s="263" t="s">
        <v>31</v>
      </c>
      <c r="NFV73" s="254"/>
      <c r="NFW73" s="254"/>
      <c r="NFX73" s="264">
        <v>5.7000000000000002E-2</v>
      </c>
      <c r="NFY73" s="193"/>
      <c r="NFZ73" s="263" t="s">
        <v>2</v>
      </c>
      <c r="NGA73" s="193"/>
      <c r="NGB73" s="255" t="s">
        <v>168</v>
      </c>
      <c r="NGC73" s="263" t="s">
        <v>31</v>
      </c>
      <c r="NGD73" s="254"/>
      <c r="NGE73" s="254"/>
      <c r="NGF73" s="264">
        <v>5.7000000000000002E-2</v>
      </c>
      <c r="NGG73" s="193"/>
      <c r="NGH73" s="263" t="s">
        <v>2</v>
      </c>
      <c r="NGI73" s="193"/>
      <c r="NGJ73" s="255" t="s">
        <v>168</v>
      </c>
      <c r="NGK73" s="263" t="s">
        <v>31</v>
      </c>
      <c r="NGL73" s="254"/>
      <c r="NGM73" s="254"/>
      <c r="NGN73" s="264">
        <v>5.7000000000000002E-2</v>
      </c>
      <c r="NGO73" s="193"/>
      <c r="NGP73" s="263" t="s">
        <v>2</v>
      </c>
      <c r="NGQ73" s="193"/>
      <c r="NGR73" s="255" t="s">
        <v>168</v>
      </c>
      <c r="NGS73" s="263" t="s">
        <v>31</v>
      </c>
      <c r="NGT73" s="254"/>
      <c r="NGU73" s="254"/>
      <c r="NGV73" s="264">
        <v>5.7000000000000002E-2</v>
      </c>
      <c r="NGW73" s="193"/>
      <c r="NGX73" s="263" t="s">
        <v>2</v>
      </c>
      <c r="NGY73" s="193"/>
      <c r="NGZ73" s="255" t="s">
        <v>168</v>
      </c>
      <c r="NHA73" s="263" t="s">
        <v>31</v>
      </c>
      <c r="NHB73" s="254"/>
      <c r="NHC73" s="254"/>
      <c r="NHD73" s="264">
        <v>5.7000000000000002E-2</v>
      </c>
      <c r="NHE73" s="193"/>
      <c r="NHF73" s="263" t="s">
        <v>2</v>
      </c>
      <c r="NHG73" s="193"/>
      <c r="NHH73" s="255" t="s">
        <v>168</v>
      </c>
      <c r="NHI73" s="263" t="s">
        <v>31</v>
      </c>
      <c r="NHJ73" s="254"/>
      <c r="NHK73" s="254"/>
      <c r="NHL73" s="264">
        <v>5.7000000000000002E-2</v>
      </c>
      <c r="NHM73" s="193"/>
      <c r="NHN73" s="263" t="s">
        <v>2</v>
      </c>
      <c r="NHO73" s="193"/>
      <c r="NHP73" s="255" t="s">
        <v>168</v>
      </c>
      <c r="NHQ73" s="263" t="s">
        <v>31</v>
      </c>
      <c r="NHR73" s="254"/>
      <c r="NHS73" s="254"/>
      <c r="NHT73" s="264">
        <v>5.7000000000000002E-2</v>
      </c>
      <c r="NHU73" s="193"/>
      <c r="NHV73" s="263" t="s">
        <v>2</v>
      </c>
      <c r="NHW73" s="193"/>
      <c r="NHX73" s="255" t="s">
        <v>168</v>
      </c>
      <c r="NHY73" s="263" t="s">
        <v>31</v>
      </c>
      <c r="NHZ73" s="254"/>
      <c r="NIA73" s="254"/>
      <c r="NIB73" s="264">
        <v>5.7000000000000002E-2</v>
      </c>
      <c r="NIC73" s="193"/>
      <c r="NID73" s="263" t="s">
        <v>2</v>
      </c>
      <c r="NIE73" s="193"/>
      <c r="NIF73" s="255" t="s">
        <v>168</v>
      </c>
      <c r="NIG73" s="263" t="s">
        <v>31</v>
      </c>
      <c r="NIH73" s="254"/>
      <c r="NII73" s="254"/>
      <c r="NIJ73" s="264">
        <v>5.7000000000000002E-2</v>
      </c>
      <c r="NIK73" s="193"/>
      <c r="NIL73" s="263" t="s">
        <v>2</v>
      </c>
      <c r="NIM73" s="193"/>
      <c r="NIN73" s="255" t="s">
        <v>168</v>
      </c>
      <c r="NIO73" s="263" t="s">
        <v>31</v>
      </c>
      <c r="NIP73" s="254"/>
      <c r="NIQ73" s="254"/>
      <c r="NIR73" s="264">
        <v>5.7000000000000002E-2</v>
      </c>
      <c r="NIS73" s="193"/>
      <c r="NIT73" s="263" t="s">
        <v>2</v>
      </c>
      <c r="NIU73" s="193"/>
      <c r="NIV73" s="255" t="s">
        <v>168</v>
      </c>
      <c r="NIW73" s="263" t="s">
        <v>31</v>
      </c>
      <c r="NIX73" s="254"/>
      <c r="NIY73" s="254"/>
      <c r="NIZ73" s="264">
        <v>5.7000000000000002E-2</v>
      </c>
      <c r="NJA73" s="193"/>
      <c r="NJB73" s="263" t="s">
        <v>2</v>
      </c>
      <c r="NJC73" s="193"/>
      <c r="NJD73" s="255" t="s">
        <v>168</v>
      </c>
      <c r="NJE73" s="263" t="s">
        <v>31</v>
      </c>
      <c r="NJF73" s="254"/>
      <c r="NJG73" s="254"/>
      <c r="NJH73" s="264">
        <v>5.7000000000000002E-2</v>
      </c>
      <c r="NJI73" s="193"/>
      <c r="NJJ73" s="263" t="s">
        <v>2</v>
      </c>
      <c r="NJK73" s="193"/>
      <c r="NJL73" s="255" t="s">
        <v>168</v>
      </c>
      <c r="NJM73" s="263" t="s">
        <v>31</v>
      </c>
      <c r="NJN73" s="254"/>
      <c r="NJO73" s="254"/>
      <c r="NJP73" s="264">
        <v>5.7000000000000002E-2</v>
      </c>
      <c r="NJQ73" s="193"/>
      <c r="NJR73" s="263" t="s">
        <v>2</v>
      </c>
      <c r="NJS73" s="193"/>
      <c r="NJT73" s="255" t="s">
        <v>168</v>
      </c>
      <c r="NJU73" s="263" t="s">
        <v>31</v>
      </c>
      <c r="NJV73" s="254"/>
      <c r="NJW73" s="254"/>
      <c r="NJX73" s="264">
        <v>5.7000000000000002E-2</v>
      </c>
      <c r="NJY73" s="193"/>
      <c r="NJZ73" s="263" t="s">
        <v>2</v>
      </c>
      <c r="NKA73" s="193"/>
      <c r="NKB73" s="255" t="s">
        <v>168</v>
      </c>
      <c r="NKC73" s="263" t="s">
        <v>31</v>
      </c>
      <c r="NKD73" s="254"/>
      <c r="NKE73" s="254"/>
      <c r="NKF73" s="264">
        <v>5.7000000000000002E-2</v>
      </c>
      <c r="NKG73" s="193"/>
      <c r="NKH73" s="263" t="s">
        <v>2</v>
      </c>
      <c r="NKI73" s="193"/>
      <c r="NKJ73" s="255" t="s">
        <v>168</v>
      </c>
      <c r="NKK73" s="263" t="s">
        <v>31</v>
      </c>
      <c r="NKL73" s="254"/>
      <c r="NKM73" s="254"/>
      <c r="NKN73" s="264">
        <v>5.7000000000000002E-2</v>
      </c>
      <c r="NKO73" s="193"/>
      <c r="NKP73" s="263" t="s">
        <v>2</v>
      </c>
      <c r="NKQ73" s="193"/>
      <c r="NKR73" s="255" t="s">
        <v>168</v>
      </c>
      <c r="NKS73" s="263" t="s">
        <v>31</v>
      </c>
      <c r="NKT73" s="254"/>
      <c r="NKU73" s="254"/>
      <c r="NKV73" s="264">
        <v>5.7000000000000002E-2</v>
      </c>
      <c r="NKW73" s="193"/>
      <c r="NKX73" s="263" t="s">
        <v>2</v>
      </c>
      <c r="NKY73" s="193"/>
      <c r="NKZ73" s="255" t="s">
        <v>168</v>
      </c>
      <c r="NLA73" s="263" t="s">
        <v>31</v>
      </c>
      <c r="NLB73" s="254"/>
      <c r="NLC73" s="254"/>
      <c r="NLD73" s="264">
        <v>5.7000000000000002E-2</v>
      </c>
      <c r="NLE73" s="193"/>
      <c r="NLF73" s="263" t="s">
        <v>2</v>
      </c>
      <c r="NLG73" s="193"/>
      <c r="NLH73" s="255" t="s">
        <v>168</v>
      </c>
      <c r="NLI73" s="263" t="s">
        <v>31</v>
      </c>
      <c r="NLJ73" s="254"/>
      <c r="NLK73" s="254"/>
      <c r="NLL73" s="264">
        <v>5.7000000000000002E-2</v>
      </c>
      <c r="NLM73" s="193"/>
      <c r="NLN73" s="263" t="s">
        <v>2</v>
      </c>
      <c r="NLO73" s="193"/>
      <c r="NLP73" s="255" t="s">
        <v>168</v>
      </c>
      <c r="NLQ73" s="263" t="s">
        <v>31</v>
      </c>
      <c r="NLR73" s="254"/>
      <c r="NLS73" s="254"/>
      <c r="NLT73" s="264">
        <v>5.7000000000000002E-2</v>
      </c>
      <c r="NLU73" s="193"/>
      <c r="NLV73" s="263" t="s">
        <v>2</v>
      </c>
      <c r="NLW73" s="193"/>
      <c r="NLX73" s="255" t="s">
        <v>168</v>
      </c>
      <c r="NLY73" s="263" t="s">
        <v>31</v>
      </c>
      <c r="NLZ73" s="254"/>
      <c r="NMA73" s="254"/>
      <c r="NMB73" s="264">
        <v>5.7000000000000002E-2</v>
      </c>
      <c r="NMC73" s="193"/>
      <c r="NMD73" s="263" t="s">
        <v>2</v>
      </c>
      <c r="NME73" s="193"/>
      <c r="NMF73" s="255" t="s">
        <v>168</v>
      </c>
      <c r="NMG73" s="263" t="s">
        <v>31</v>
      </c>
      <c r="NMH73" s="254"/>
      <c r="NMI73" s="254"/>
      <c r="NMJ73" s="264">
        <v>5.7000000000000002E-2</v>
      </c>
      <c r="NMK73" s="193"/>
      <c r="NML73" s="263" t="s">
        <v>2</v>
      </c>
      <c r="NMM73" s="193"/>
      <c r="NMN73" s="255" t="s">
        <v>168</v>
      </c>
      <c r="NMO73" s="263" t="s">
        <v>31</v>
      </c>
      <c r="NMP73" s="254"/>
      <c r="NMQ73" s="254"/>
      <c r="NMR73" s="264">
        <v>5.7000000000000002E-2</v>
      </c>
      <c r="NMS73" s="193"/>
      <c r="NMT73" s="263" t="s">
        <v>2</v>
      </c>
      <c r="NMU73" s="193"/>
      <c r="NMV73" s="255" t="s">
        <v>168</v>
      </c>
      <c r="NMW73" s="263" t="s">
        <v>31</v>
      </c>
      <c r="NMX73" s="254"/>
      <c r="NMY73" s="254"/>
      <c r="NMZ73" s="264">
        <v>5.7000000000000002E-2</v>
      </c>
      <c r="NNA73" s="193"/>
      <c r="NNB73" s="263" t="s">
        <v>2</v>
      </c>
      <c r="NNC73" s="193"/>
      <c r="NND73" s="255" t="s">
        <v>168</v>
      </c>
      <c r="NNE73" s="263" t="s">
        <v>31</v>
      </c>
      <c r="NNF73" s="254"/>
      <c r="NNG73" s="254"/>
      <c r="NNH73" s="264">
        <v>5.7000000000000002E-2</v>
      </c>
      <c r="NNI73" s="193"/>
      <c r="NNJ73" s="263" t="s">
        <v>2</v>
      </c>
      <c r="NNK73" s="193"/>
      <c r="NNL73" s="255" t="s">
        <v>168</v>
      </c>
      <c r="NNM73" s="263" t="s">
        <v>31</v>
      </c>
      <c r="NNN73" s="254"/>
      <c r="NNO73" s="254"/>
      <c r="NNP73" s="264">
        <v>5.7000000000000002E-2</v>
      </c>
      <c r="NNQ73" s="193"/>
      <c r="NNR73" s="263" t="s">
        <v>2</v>
      </c>
      <c r="NNS73" s="193"/>
      <c r="NNT73" s="255" t="s">
        <v>168</v>
      </c>
      <c r="NNU73" s="263" t="s">
        <v>31</v>
      </c>
      <c r="NNV73" s="254"/>
      <c r="NNW73" s="254"/>
      <c r="NNX73" s="264">
        <v>5.7000000000000002E-2</v>
      </c>
      <c r="NNY73" s="193"/>
      <c r="NNZ73" s="263" t="s">
        <v>2</v>
      </c>
      <c r="NOA73" s="193"/>
      <c r="NOB73" s="255" t="s">
        <v>168</v>
      </c>
      <c r="NOC73" s="263" t="s">
        <v>31</v>
      </c>
      <c r="NOD73" s="254"/>
      <c r="NOE73" s="254"/>
      <c r="NOF73" s="264">
        <v>5.7000000000000002E-2</v>
      </c>
      <c r="NOG73" s="193"/>
      <c r="NOH73" s="263" t="s">
        <v>2</v>
      </c>
      <c r="NOI73" s="193"/>
      <c r="NOJ73" s="255" t="s">
        <v>168</v>
      </c>
      <c r="NOK73" s="263" t="s">
        <v>31</v>
      </c>
      <c r="NOL73" s="254"/>
      <c r="NOM73" s="254"/>
      <c r="NON73" s="264">
        <v>5.7000000000000002E-2</v>
      </c>
      <c r="NOO73" s="193"/>
      <c r="NOP73" s="263" t="s">
        <v>2</v>
      </c>
      <c r="NOQ73" s="193"/>
      <c r="NOR73" s="255" t="s">
        <v>168</v>
      </c>
      <c r="NOS73" s="263" t="s">
        <v>31</v>
      </c>
      <c r="NOT73" s="254"/>
      <c r="NOU73" s="254"/>
      <c r="NOV73" s="264">
        <v>5.7000000000000002E-2</v>
      </c>
      <c r="NOW73" s="193"/>
      <c r="NOX73" s="263" t="s">
        <v>2</v>
      </c>
      <c r="NOY73" s="193"/>
      <c r="NOZ73" s="255" t="s">
        <v>168</v>
      </c>
      <c r="NPA73" s="263" t="s">
        <v>31</v>
      </c>
      <c r="NPB73" s="254"/>
      <c r="NPC73" s="254"/>
      <c r="NPD73" s="264">
        <v>5.7000000000000002E-2</v>
      </c>
      <c r="NPE73" s="193"/>
      <c r="NPF73" s="263" t="s">
        <v>2</v>
      </c>
      <c r="NPG73" s="193"/>
      <c r="NPH73" s="255" t="s">
        <v>168</v>
      </c>
      <c r="NPI73" s="263" t="s">
        <v>31</v>
      </c>
      <c r="NPJ73" s="254"/>
      <c r="NPK73" s="254"/>
      <c r="NPL73" s="264">
        <v>5.7000000000000002E-2</v>
      </c>
      <c r="NPM73" s="193"/>
      <c r="NPN73" s="263" t="s">
        <v>2</v>
      </c>
      <c r="NPO73" s="193"/>
      <c r="NPP73" s="255" t="s">
        <v>168</v>
      </c>
      <c r="NPQ73" s="263" t="s">
        <v>31</v>
      </c>
      <c r="NPR73" s="254"/>
      <c r="NPS73" s="254"/>
      <c r="NPT73" s="264">
        <v>5.7000000000000002E-2</v>
      </c>
      <c r="NPU73" s="193"/>
      <c r="NPV73" s="263" t="s">
        <v>2</v>
      </c>
      <c r="NPW73" s="193"/>
      <c r="NPX73" s="255" t="s">
        <v>168</v>
      </c>
      <c r="NPY73" s="263" t="s">
        <v>31</v>
      </c>
      <c r="NPZ73" s="254"/>
      <c r="NQA73" s="254"/>
      <c r="NQB73" s="264">
        <v>5.7000000000000002E-2</v>
      </c>
      <c r="NQC73" s="193"/>
      <c r="NQD73" s="263" t="s">
        <v>2</v>
      </c>
      <c r="NQE73" s="193"/>
      <c r="NQF73" s="255" t="s">
        <v>168</v>
      </c>
      <c r="NQG73" s="263" t="s">
        <v>31</v>
      </c>
      <c r="NQH73" s="254"/>
      <c r="NQI73" s="254"/>
      <c r="NQJ73" s="264">
        <v>5.7000000000000002E-2</v>
      </c>
      <c r="NQK73" s="193"/>
      <c r="NQL73" s="263" t="s">
        <v>2</v>
      </c>
      <c r="NQM73" s="193"/>
      <c r="NQN73" s="255" t="s">
        <v>168</v>
      </c>
      <c r="NQO73" s="263" t="s">
        <v>31</v>
      </c>
      <c r="NQP73" s="254"/>
      <c r="NQQ73" s="254"/>
      <c r="NQR73" s="264">
        <v>5.7000000000000002E-2</v>
      </c>
      <c r="NQS73" s="193"/>
      <c r="NQT73" s="263" t="s">
        <v>2</v>
      </c>
      <c r="NQU73" s="193"/>
      <c r="NQV73" s="255" t="s">
        <v>168</v>
      </c>
      <c r="NQW73" s="263" t="s">
        <v>31</v>
      </c>
      <c r="NQX73" s="254"/>
      <c r="NQY73" s="254"/>
      <c r="NQZ73" s="264">
        <v>5.7000000000000002E-2</v>
      </c>
      <c r="NRA73" s="193"/>
      <c r="NRB73" s="263" t="s">
        <v>2</v>
      </c>
      <c r="NRC73" s="193"/>
      <c r="NRD73" s="255" t="s">
        <v>168</v>
      </c>
      <c r="NRE73" s="263" t="s">
        <v>31</v>
      </c>
      <c r="NRF73" s="254"/>
      <c r="NRG73" s="254"/>
      <c r="NRH73" s="264">
        <v>5.7000000000000002E-2</v>
      </c>
      <c r="NRI73" s="193"/>
      <c r="NRJ73" s="263" t="s">
        <v>2</v>
      </c>
      <c r="NRK73" s="193"/>
      <c r="NRL73" s="255" t="s">
        <v>168</v>
      </c>
      <c r="NRM73" s="263" t="s">
        <v>31</v>
      </c>
      <c r="NRN73" s="254"/>
      <c r="NRO73" s="254"/>
      <c r="NRP73" s="264">
        <v>5.7000000000000002E-2</v>
      </c>
      <c r="NRQ73" s="193"/>
      <c r="NRR73" s="263" t="s">
        <v>2</v>
      </c>
      <c r="NRS73" s="193"/>
      <c r="NRT73" s="255" t="s">
        <v>168</v>
      </c>
      <c r="NRU73" s="263" t="s">
        <v>31</v>
      </c>
      <c r="NRV73" s="254"/>
      <c r="NRW73" s="254"/>
      <c r="NRX73" s="264">
        <v>5.7000000000000002E-2</v>
      </c>
      <c r="NRY73" s="193"/>
      <c r="NRZ73" s="263" t="s">
        <v>2</v>
      </c>
      <c r="NSA73" s="193"/>
      <c r="NSB73" s="255" t="s">
        <v>168</v>
      </c>
      <c r="NSC73" s="263" t="s">
        <v>31</v>
      </c>
      <c r="NSD73" s="254"/>
      <c r="NSE73" s="254"/>
      <c r="NSF73" s="264">
        <v>5.7000000000000002E-2</v>
      </c>
      <c r="NSG73" s="193"/>
      <c r="NSH73" s="263" t="s">
        <v>2</v>
      </c>
      <c r="NSI73" s="193"/>
      <c r="NSJ73" s="255" t="s">
        <v>168</v>
      </c>
      <c r="NSK73" s="263" t="s">
        <v>31</v>
      </c>
      <c r="NSL73" s="254"/>
      <c r="NSM73" s="254"/>
      <c r="NSN73" s="264">
        <v>5.7000000000000002E-2</v>
      </c>
      <c r="NSO73" s="193"/>
      <c r="NSP73" s="263" t="s">
        <v>2</v>
      </c>
      <c r="NSQ73" s="193"/>
      <c r="NSR73" s="255" t="s">
        <v>168</v>
      </c>
      <c r="NSS73" s="263" t="s">
        <v>31</v>
      </c>
      <c r="NST73" s="254"/>
      <c r="NSU73" s="254"/>
      <c r="NSV73" s="264">
        <v>5.7000000000000002E-2</v>
      </c>
      <c r="NSW73" s="193"/>
      <c r="NSX73" s="263" t="s">
        <v>2</v>
      </c>
      <c r="NSY73" s="193"/>
      <c r="NSZ73" s="255" t="s">
        <v>168</v>
      </c>
      <c r="NTA73" s="263" t="s">
        <v>31</v>
      </c>
      <c r="NTB73" s="254"/>
      <c r="NTC73" s="254"/>
      <c r="NTD73" s="264">
        <v>5.7000000000000002E-2</v>
      </c>
      <c r="NTE73" s="193"/>
      <c r="NTF73" s="263" t="s">
        <v>2</v>
      </c>
      <c r="NTG73" s="193"/>
      <c r="NTH73" s="255" t="s">
        <v>168</v>
      </c>
      <c r="NTI73" s="263" t="s">
        <v>31</v>
      </c>
      <c r="NTJ73" s="254"/>
      <c r="NTK73" s="254"/>
      <c r="NTL73" s="264">
        <v>5.7000000000000002E-2</v>
      </c>
      <c r="NTM73" s="193"/>
      <c r="NTN73" s="263" t="s">
        <v>2</v>
      </c>
      <c r="NTO73" s="193"/>
      <c r="NTP73" s="255" t="s">
        <v>168</v>
      </c>
      <c r="NTQ73" s="263" t="s">
        <v>31</v>
      </c>
      <c r="NTR73" s="254"/>
      <c r="NTS73" s="254"/>
      <c r="NTT73" s="264">
        <v>5.7000000000000002E-2</v>
      </c>
      <c r="NTU73" s="193"/>
      <c r="NTV73" s="263" t="s">
        <v>2</v>
      </c>
      <c r="NTW73" s="193"/>
      <c r="NTX73" s="255" t="s">
        <v>168</v>
      </c>
      <c r="NTY73" s="263" t="s">
        <v>31</v>
      </c>
      <c r="NTZ73" s="254"/>
      <c r="NUA73" s="254"/>
      <c r="NUB73" s="264">
        <v>5.7000000000000002E-2</v>
      </c>
      <c r="NUC73" s="193"/>
      <c r="NUD73" s="263" t="s">
        <v>2</v>
      </c>
      <c r="NUE73" s="193"/>
      <c r="NUF73" s="255" t="s">
        <v>168</v>
      </c>
      <c r="NUG73" s="263" t="s">
        <v>31</v>
      </c>
      <c r="NUH73" s="254"/>
      <c r="NUI73" s="254"/>
      <c r="NUJ73" s="264">
        <v>5.7000000000000002E-2</v>
      </c>
      <c r="NUK73" s="193"/>
      <c r="NUL73" s="263" t="s">
        <v>2</v>
      </c>
      <c r="NUM73" s="193"/>
      <c r="NUN73" s="255" t="s">
        <v>168</v>
      </c>
      <c r="NUO73" s="263" t="s">
        <v>31</v>
      </c>
      <c r="NUP73" s="254"/>
      <c r="NUQ73" s="254"/>
      <c r="NUR73" s="264">
        <v>5.7000000000000002E-2</v>
      </c>
      <c r="NUS73" s="193"/>
      <c r="NUT73" s="263" t="s">
        <v>2</v>
      </c>
      <c r="NUU73" s="193"/>
      <c r="NUV73" s="255" t="s">
        <v>168</v>
      </c>
      <c r="NUW73" s="263" t="s">
        <v>31</v>
      </c>
      <c r="NUX73" s="254"/>
      <c r="NUY73" s="254"/>
      <c r="NUZ73" s="264">
        <v>5.7000000000000002E-2</v>
      </c>
      <c r="NVA73" s="193"/>
      <c r="NVB73" s="263" t="s">
        <v>2</v>
      </c>
      <c r="NVC73" s="193"/>
      <c r="NVD73" s="255" t="s">
        <v>168</v>
      </c>
      <c r="NVE73" s="263" t="s">
        <v>31</v>
      </c>
      <c r="NVF73" s="254"/>
      <c r="NVG73" s="254"/>
      <c r="NVH73" s="264">
        <v>5.7000000000000002E-2</v>
      </c>
      <c r="NVI73" s="193"/>
      <c r="NVJ73" s="263" t="s">
        <v>2</v>
      </c>
      <c r="NVK73" s="193"/>
      <c r="NVL73" s="255" t="s">
        <v>168</v>
      </c>
      <c r="NVM73" s="263" t="s">
        <v>31</v>
      </c>
      <c r="NVN73" s="254"/>
      <c r="NVO73" s="254"/>
      <c r="NVP73" s="264">
        <v>5.7000000000000002E-2</v>
      </c>
      <c r="NVQ73" s="193"/>
      <c r="NVR73" s="263" t="s">
        <v>2</v>
      </c>
      <c r="NVS73" s="193"/>
      <c r="NVT73" s="255" t="s">
        <v>168</v>
      </c>
      <c r="NVU73" s="263" t="s">
        <v>31</v>
      </c>
      <c r="NVV73" s="254"/>
      <c r="NVW73" s="254"/>
      <c r="NVX73" s="264">
        <v>5.7000000000000002E-2</v>
      </c>
      <c r="NVY73" s="193"/>
      <c r="NVZ73" s="263" t="s">
        <v>2</v>
      </c>
      <c r="NWA73" s="193"/>
      <c r="NWB73" s="255" t="s">
        <v>168</v>
      </c>
      <c r="NWC73" s="263" t="s">
        <v>31</v>
      </c>
      <c r="NWD73" s="254"/>
      <c r="NWE73" s="254"/>
      <c r="NWF73" s="264">
        <v>5.7000000000000002E-2</v>
      </c>
      <c r="NWG73" s="193"/>
      <c r="NWH73" s="263" t="s">
        <v>2</v>
      </c>
      <c r="NWI73" s="193"/>
      <c r="NWJ73" s="255" t="s">
        <v>168</v>
      </c>
      <c r="NWK73" s="263" t="s">
        <v>31</v>
      </c>
      <c r="NWL73" s="254"/>
      <c r="NWM73" s="254"/>
      <c r="NWN73" s="264">
        <v>5.7000000000000002E-2</v>
      </c>
      <c r="NWO73" s="193"/>
      <c r="NWP73" s="263" t="s">
        <v>2</v>
      </c>
      <c r="NWQ73" s="193"/>
      <c r="NWR73" s="255" t="s">
        <v>168</v>
      </c>
      <c r="NWS73" s="263" t="s">
        <v>31</v>
      </c>
      <c r="NWT73" s="254"/>
      <c r="NWU73" s="254"/>
      <c r="NWV73" s="264">
        <v>5.7000000000000002E-2</v>
      </c>
      <c r="NWW73" s="193"/>
      <c r="NWX73" s="263" t="s">
        <v>2</v>
      </c>
      <c r="NWY73" s="193"/>
      <c r="NWZ73" s="255" t="s">
        <v>168</v>
      </c>
      <c r="NXA73" s="263" t="s">
        <v>31</v>
      </c>
      <c r="NXB73" s="254"/>
      <c r="NXC73" s="254"/>
      <c r="NXD73" s="264">
        <v>5.7000000000000002E-2</v>
      </c>
      <c r="NXE73" s="193"/>
      <c r="NXF73" s="263" t="s">
        <v>2</v>
      </c>
      <c r="NXG73" s="193"/>
      <c r="NXH73" s="255" t="s">
        <v>168</v>
      </c>
      <c r="NXI73" s="263" t="s">
        <v>31</v>
      </c>
      <c r="NXJ73" s="254"/>
      <c r="NXK73" s="254"/>
      <c r="NXL73" s="264">
        <v>5.7000000000000002E-2</v>
      </c>
      <c r="NXM73" s="193"/>
      <c r="NXN73" s="263" t="s">
        <v>2</v>
      </c>
      <c r="NXO73" s="193"/>
      <c r="NXP73" s="255" t="s">
        <v>168</v>
      </c>
      <c r="NXQ73" s="263" t="s">
        <v>31</v>
      </c>
      <c r="NXR73" s="254"/>
      <c r="NXS73" s="254"/>
      <c r="NXT73" s="264">
        <v>5.7000000000000002E-2</v>
      </c>
      <c r="NXU73" s="193"/>
      <c r="NXV73" s="263" t="s">
        <v>2</v>
      </c>
      <c r="NXW73" s="193"/>
      <c r="NXX73" s="255" t="s">
        <v>168</v>
      </c>
      <c r="NXY73" s="263" t="s">
        <v>31</v>
      </c>
      <c r="NXZ73" s="254"/>
      <c r="NYA73" s="254"/>
      <c r="NYB73" s="264">
        <v>5.7000000000000002E-2</v>
      </c>
      <c r="NYC73" s="193"/>
      <c r="NYD73" s="263" t="s">
        <v>2</v>
      </c>
      <c r="NYE73" s="193"/>
      <c r="NYF73" s="255" t="s">
        <v>168</v>
      </c>
      <c r="NYG73" s="263" t="s">
        <v>31</v>
      </c>
      <c r="NYH73" s="254"/>
      <c r="NYI73" s="254"/>
      <c r="NYJ73" s="264">
        <v>5.7000000000000002E-2</v>
      </c>
      <c r="NYK73" s="193"/>
      <c r="NYL73" s="263" t="s">
        <v>2</v>
      </c>
      <c r="NYM73" s="193"/>
      <c r="NYN73" s="255" t="s">
        <v>168</v>
      </c>
      <c r="NYO73" s="263" t="s">
        <v>31</v>
      </c>
      <c r="NYP73" s="254"/>
      <c r="NYQ73" s="254"/>
      <c r="NYR73" s="264">
        <v>5.7000000000000002E-2</v>
      </c>
      <c r="NYS73" s="193"/>
      <c r="NYT73" s="263" t="s">
        <v>2</v>
      </c>
      <c r="NYU73" s="193"/>
      <c r="NYV73" s="255" t="s">
        <v>168</v>
      </c>
      <c r="NYW73" s="263" t="s">
        <v>31</v>
      </c>
      <c r="NYX73" s="254"/>
      <c r="NYY73" s="254"/>
      <c r="NYZ73" s="264">
        <v>5.7000000000000002E-2</v>
      </c>
      <c r="NZA73" s="193"/>
      <c r="NZB73" s="263" t="s">
        <v>2</v>
      </c>
      <c r="NZC73" s="193"/>
      <c r="NZD73" s="255" t="s">
        <v>168</v>
      </c>
      <c r="NZE73" s="263" t="s">
        <v>31</v>
      </c>
      <c r="NZF73" s="254"/>
      <c r="NZG73" s="254"/>
      <c r="NZH73" s="264">
        <v>5.7000000000000002E-2</v>
      </c>
      <c r="NZI73" s="193"/>
      <c r="NZJ73" s="263" t="s">
        <v>2</v>
      </c>
      <c r="NZK73" s="193"/>
      <c r="NZL73" s="255" t="s">
        <v>168</v>
      </c>
      <c r="NZM73" s="263" t="s">
        <v>31</v>
      </c>
      <c r="NZN73" s="254"/>
      <c r="NZO73" s="254"/>
      <c r="NZP73" s="264">
        <v>5.7000000000000002E-2</v>
      </c>
      <c r="NZQ73" s="193"/>
      <c r="NZR73" s="263" t="s">
        <v>2</v>
      </c>
      <c r="NZS73" s="193"/>
      <c r="NZT73" s="255" t="s">
        <v>168</v>
      </c>
      <c r="NZU73" s="263" t="s">
        <v>31</v>
      </c>
      <c r="NZV73" s="254"/>
      <c r="NZW73" s="254"/>
      <c r="NZX73" s="264">
        <v>5.7000000000000002E-2</v>
      </c>
      <c r="NZY73" s="193"/>
      <c r="NZZ73" s="263" t="s">
        <v>2</v>
      </c>
      <c r="OAA73" s="193"/>
      <c r="OAB73" s="255" t="s">
        <v>168</v>
      </c>
      <c r="OAC73" s="263" t="s">
        <v>31</v>
      </c>
      <c r="OAD73" s="254"/>
      <c r="OAE73" s="254"/>
      <c r="OAF73" s="264">
        <v>5.7000000000000002E-2</v>
      </c>
      <c r="OAG73" s="193"/>
      <c r="OAH73" s="263" t="s">
        <v>2</v>
      </c>
      <c r="OAI73" s="193"/>
      <c r="OAJ73" s="255" t="s">
        <v>168</v>
      </c>
      <c r="OAK73" s="263" t="s">
        <v>31</v>
      </c>
      <c r="OAL73" s="254"/>
      <c r="OAM73" s="254"/>
      <c r="OAN73" s="264">
        <v>5.7000000000000002E-2</v>
      </c>
      <c r="OAO73" s="193"/>
      <c r="OAP73" s="263" t="s">
        <v>2</v>
      </c>
      <c r="OAQ73" s="193"/>
      <c r="OAR73" s="255" t="s">
        <v>168</v>
      </c>
      <c r="OAS73" s="263" t="s">
        <v>31</v>
      </c>
      <c r="OAT73" s="254"/>
      <c r="OAU73" s="254"/>
      <c r="OAV73" s="264">
        <v>5.7000000000000002E-2</v>
      </c>
      <c r="OAW73" s="193"/>
      <c r="OAX73" s="263" t="s">
        <v>2</v>
      </c>
      <c r="OAY73" s="193"/>
      <c r="OAZ73" s="255" t="s">
        <v>168</v>
      </c>
      <c r="OBA73" s="263" t="s">
        <v>31</v>
      </c>
      <c r="OBB73" s="254"/>
      <c r="OBC73" s="254"/>
      <c r="OBD73" s="264">
        <v>5.7000000000000002E-2</v>
      </c>
      <c r="OBE73" s="193"/>
      <c r="OBF73" s="263" t="s">
        <v>2</v>
      </c>
      <c r="OBG73" s="193"/>
      <c r="OBH73" s="255" t="s">
        <v>168</v>
      </c>
      <c r="OBI73" s="263" t="s">
        <v>31</v>
      </c>
      <c r="OBJ73" s="254"/>
      <c r="OBK73" s="254"/>
      <c r="OBL73" s="264">
        <v>5.7000000000000002E-2</v>
      </c>
      <c r="OBM73" s="193"/>
      <c r="OBN73" s="263" t="s">
        <v>2</v>
      </c>
      <c r="OBO73" s="193"/>
      <c r="OBP73" s="255" t="s">
        <v>168</v>
      </c>
      <c r="OBQ73" s="263" t="s">
        <v>31</v>
      </c>
      <c r="OBR73" s="254"/>
      <c r="OBS73" s="254"/>
      <c r="OBT73" s="264">
        <v>5.7000000000000002E-2</v>
      </c>
      <c r="OBU73" s="193"/>
      <c r="OBV73" s="263" t="s">
        <v>2</v>
      </c>
      <c r="OBW73" s="193"/>
      <c r="OBX73" s="255" t="s">
        <v>168</v>
      </c>
      <c r="OBY73" s="263" t="s">
        <v>31</v>
      </c>
      <c r="OBZ73" s="254"/>
      <c r="OCA73" s="254"/>
      <c r="OCB73" s="264">
        <v>5.7000000000000002E-2</v>
      </c>
      <c r="OCC73" s="193"/>
      <c r="OCD73" s="263" t="s">
        <v>2</v>
      </c>
      <c r="OCE73" s="193"/>
      <c r="OCF73" s="255" t="s">
        <v>168</v>
      </c>
      <c r="OCG73" s="263" t="s">
        <v>31</v>
      </c>
      <c r="OCH73" s="254"/>
      <c r="OCI73" s="254"/>
      <c r="OCJ73" s="264">
        <v>5.7000000000000002E-2</v>
      </c>
      <c r="OCK73" s="193"/>
      <c r="OCL73" s="263" t="s">
        <v>2</v>
      </c>
      <c r="OCM73" s="193"/>
      <c r="OCN73" s="255" t="s">
        <v>168</v>
      </c>
      <c r="OCO73" s="263" t="s">
        <v>31</v>
      </c>
      <c r="OCP73" s="254"/>
      <c r="OCQ73" s="254"/>
      <c r="OCR73" s="264">
        <v>5.7000000000000002E-2</v>
      </c>
      <c r="OCS73" s="193"/>
      <c r="OCT73" s="263" t="s">
        <v>2</v>
      </c>
      <c r="OCU73" s="193"/>
      <c r="OCV73" s="255" t="s">
        <v>168</v>
      </c>
      <c r="OCW73" s="263" t="s">
        <v>31</v>
      </c>
      <c r="OCX73" s="254"/>
      <c r="OCY73" s="254"/>
      <c r="OCZ73" s="264">
        <v>5.7000000000000002E-2</v>
      </c>
      <c r="ODA73" s="193"/>
      <c r="ODB73" s="263" t="s">
        <v>2</v>
      </c>
      <c r="ODC73" s="193"/>
      <c r="ODD73" s="255" t="s">
        <v>168</v>
      </c>
      <c r="ODE73" s="263" t="s">
        <v>31</v>
      </c>
      <c r="ODF73" s="254"/>
      <c r="ODG73" s="254"/>
      <c r="ODH73" s="264">
        <v>5.7000000000000002E-2</v>
      </c>
      <c r="ODI73" s="193"/>
      <c r="ODJ73" s="263" t="s">
        <v>2</v>
      </c>
      <c r="ODK73" s="193"/>
      <c r="ODL73" s="255" t="s">
        <v>168</v>
      </c>
      <c r="ODM73" s="263" t="s">
        <v>31</v>
      </c>
      <c r="ODN73" s="254"/>
      <c r="ODO73" s="254"/>
      <c r="ODP73" s="264">
        <v>5.7000000000000002E-2</v>
      </c>
      <c r="ODQ73" s="193"/>
      <c r="ODR73" s="263" t="s">
        <v>2</v>
      </c>
      <c r="ODS73" s="193"/>
      <c r="ODT73" s="255" t="s">
        <v>168</v>
      </c>
      <c r="ODU73" s="263" t="s">
        <v>31</v>
      </c>
      <c r="ODV73" s="254"/>
      <c r="ODW73" s="254"/>
      <c r="ODX73" s="264">
        <v>5.7000000000000002E-2</v>
      </c>
      <c r="ODY73" s="193"/>
      <c r="ODZ73" s="263" t="s">
        <v>2</v>
      </c>
      <c r="OEA73" s="193"/>
      <c r="OEB73" s="255" t="s">
        <v>168</v>
      </c>
      <c r="OEC73" s="263" t="s">
        <v>31</v>
      </c>
      <c r="OED73" s="254"/>
      <c r="OEE73" s="254"/>
      <c r="OEF73" s="264">
        <v>5.7000000000000002E-2</v>
      </c>
      <c r="OEG73" s="193"/>
      <c r="OEH73" s="263" t="s">
        <v>2</v>
      </c>
      <c r="OEI73" s="193"/>
      <c r="OEJ73" s="255" t="s">
        <v>168</v>
      </c>
      <c r="OEK73" s="263" t="s">
        <v>31</v>
      </c>
      <c r="OEL73" s="254"/>
      <c r="OEM73" s="254"/>
      <c r="OEN73" s="264">
        <v>5.7000000000000002E-2</v>
      </c>
      <c r="OEO73" s="193"/>
      <c r="OEP73" s="263" t="s">
        <v>2</v>
      </c>
      <c r="OEQ73" s="193"/>
      <c r="OER73" s="255" t="s">
        <v>168</v>
      </c>
      <c r="OES73" s="263" t="s">
        <v>31</v>
      </c>
      <c r="OET73" s="254"/>
      <c r="OEU73" s="254"/>
      <c r="OEV73" s="264">
        <v>5.7000000000000002E-2</v>
      </c>
      <c r="OEW73" s="193"/>
      <c r="OEX73" s="263" t="s">
        <v>2</v>
      </c>
      <c r="OEY73" s="193"/>
      <c r="OEZ73" s="255" t="s">
        <v>168</v>
      </c>
      <c r="OFA73" s="263" t="s">
        <v>31</v>
      </c>
      <c r="OFB73" s="254"/>
      <c r="OFC73" s="254"/>
      <c r="OFD73" s="264">
        <v>5.7000000000000002E-2</v>
      </c>
      <c r="OFE73" s="193"/>
      <c r="OFF73" s="263" t="s">
        <v>2</v>
      </c>
      <c r="OFG73" s="193"/>
      <c r="OFH73" s="255" t="s">
        <v>168</v>
      </c>
      <c r="OFI73" s="263" t="s">
        <v>31</v>
      </c>
      <c r="OFJ73" s="254"/>
      <c r="OFK73" s="254"/>
      <c r="OFL73" s="264">
        <v>5.7000000000000002E-2</v>
      </c>
      <c r="OFM73" s="193"/>
      <c r="OFN73" s="263" t="s">
        <v>2</v>
      </c>
      <c r="OFO73" s="193"/>
      <c r="OFP73" s="255" t="s">
        <v>168</v>
      </c>
      <c r="OFQ73" s="263" t="s">
        <v>31</v>
      </c>
      <c r="OFR73" s="254"/>
      <c r="OFS73" s="254"/>
      <c r="OFT73" s="264">
        <v>5.7000000000000002E-2</v>
      </c>
      <c r="OFU73" s="193"/>
      <c r="OFV73" s="263" t="s">
        <v>2</v>
      </c>
      <c r="OFW73" s="193"/>
      <c r="OFX73" s="255" t="s">
        <v>168</v>
      </c>
      <c r="OFY73" s="263" t="s">
        <v>31</v>
      </c>
      <c r="OFZ73" s="254"/>
      <c r="OGA73" s="254"/>
      <c r="OGB73" s="264">
        <v>5.7000000000000002E-2</v>
      </c>
      <c r="OGC73" s="193"/>
      <c r="OGD73" s="263" t="s">
        <v>2</v>
      </c>
      <c r="OGE73" s="193"/>
      <c r="OGF73" s="255" t="s">
        <v>168</v>
      </c>
      <c r="OGG73" s="263" t="s">
        <v>31</v>
      </c>
      <c r="OGH73" s="254"/>
      <c r="OGI73" s="254"/>
      <c r="OGJ73" s="264">
        <v>5.7000000000000002E-2</v>
      </c>
      <c r="OGK73" s="193"/>
      <c r="OGL73" s="263" t="s">
        <v>2</v>
      </c>
      <c r="OGM73" s="193"/>
      <c r="OGN73" s="255" t="s">
        <v>168</v>
      </c>
      <c r="OGO73" s="263" t="s">
        <v>31</v>
      </c>
      <c r="OGP73" s="254"/>
      <c r="OGQ73" s="254"/>
      <c r="OGR73" s="264">
        <v>5.7000000000000002E-2</v>
      </c>
      <c r="OGS73" s="193"/>
      <c r="OGT73" s="263" t="s">
        <v>2</v>
      </c>
      <c r="OGU73" s="193"/>
      <c r="OGV73" s="255" t="s">
        <v>168</v>
      </c>
      <c r="OGW73" s="263" t="s">
        <v>31</v>
      </c>
      <c r="OGX73" s="254"/>
      <c r="OGY73" s="254"/>
      <c r="OGZ73" s="264">
        <v>5.7000000000000002E-2</v>
      </c>
      <c r="OHA73" s="193"/>
      <c r="OHB73" s="263" t="s">
        <v>2</v>
      </c>
      <c r="OHC73" s="193"/>
      <c r="OHD73" s="255" t="s">
        <v>168</v>
      </c>
      <c r="OHE73" s="263" t="s">
        <v>31</v>
      </c>
      <c r="OHF73" s="254"/>
      <c r="OHG73" s="254"/>
      <c r="OHH73" s="264">
        <v>5.7000000000000002E-2</v>
      </c>
      <c r="OHI73" s="193"/>
      <c r="OHJ73" s="263" t="s">
        <v>2</v>
      </c>
      <c r="OHK73" s="193"/>
      <c r="OHL73" s="255" t="s">
        <v>168</v>
      </c>
      <c r="OHM73" s="263" t="s">
        <v>31</v>
      </c>
      <c r="OHN73" s="254"/>
      <c r="OHO73" s="254"/>
      <c r="OHP73" s="264">
        <v>5.7000000000000002E-2</v>
      </c>
      <c r="OHQ73" s="193"/>
      <c r="OHR73" s="263" t="s">
        <v>2</v>
      </c>
      <c r="OHS73" s="193"/>
      <c r="OHT73" s="255" t="s">
        <v>168</v>
      </c>
      <c r="OHU73" s="263" t="s">
        <v>31</v>
      </c>
      <c r="OHV73" s="254"/>
      <c r="OHW73" s="254"/>
      <c r="OHX73" s="264">
        <v>5.7000000000000002E-2</v>
      </c>
      <c r="OHY73" s="193"/>
      <c r="OHZ73" s="263" t="s">
        <v>2</v>
      </c>
      <c r="OIA73" s="193"/>
      <c r="OIB73" s="255" t="s">
        <v>168</v>
      </c>
      <c r="OIC73" s="263" t="s">
        <v>31</v>
      </c>
      <c r="OID73" s="254"/>
      <c r="OIE73" s="254"/>
      <c r="OIF73" s="264">
        <v>5.7000000000000002E-2</v>
      </c>
      <c r="OIG73" s="193"/>
      <c r="OIH73" s="263" t="s">
        <v>2</v>
      </c>
      <c r="OII73" s="193"/>
      <c r="OIJ73" s="255" t="s">
        <v>168</v>
      </c>
      <c r="OIK73" s="263" t="s">
        <v>31</v>
      </c>
      <c r="OIL73" s="254"/>
      <c r="OIM73" s="254"/>
      <c r="OIN73" s="264">
        <v>5.7000000000000002E-2</v>
      </c>
      <c r="OIO73" s="193"/>
      <c r="OIP73" s="263" t="s">
        <v>2</v>
      </c>
      <c r="OIQ73" s="193"/>
      <c r="OIR73" s="255" t="s">
        <v>168</v>
      </c>
      <c r="OIS73" s="263" t="s">
        <v>31</v>
      </c>
      <c r="OIT73" s="254"/>
      <c r="OIU73" s="254"/>
      <c r="OIV73" s="264">
        <v>5.7000000000000002E-2</v>
      </c>
      <c r="OIW73" s="193"/>
      <c r="OIX73" s="263" t="s">
        <v>2</v>
      </c>
      <c r="OIY73" s="193"/>
      <c r="OIZ73" s="255" t="s">
        <v>168</v>
      </c>
      <c r="OJA73" s="263" t="s">
        <v>31</v>
      </c>
      <c r="OJB73" s="254"/>
      <c r="OJC73" s="254"/>
      <c r="OJD73" s="264">
        <v>5.7000000000000002E-2</v>
      </c>
      <c r="OJE73" s="193"/>
      <c r="OJF73" s="263" t="s">
        <v>2</v>
      </c>
      <c r="OJG73" s="193"/>
      <c r="OJH73" s="255" t="s">
        <v>168</v>
      </c>
      <c r="OJI73" s="263" t="s">
        <v>31</v>
      </c>
      <c r="OJJ73" s="254"/>
      <c r="OJK73" s="254"/>
      <c r="OJL73" s="264">
        <v>5.7000000000000002E-2</v>
      </c>
      <c r="OJM73" s="193"/>
      <c r="OJN73" s="263" t="s">
        <v>2</v>
      </c>
      <c r="OJO73" s="193"/>
      <c r="OJP73" s="255" t="s">
        <v>168</v>
      </c>
      <c r="OJQ73" s="263" t="s">
        <v>31</v>
      </c>
      <c r="OJR73" s="254"/>
      <c r="OJS73" s="254"/>
      <c r="OJT73" s="264">
        <v>5.7000000000000002E-2</v>
      </c>
      <c r="OJU73" s="193"/>
      <c r="OJV73" s="263" t="s">
        <v>2</v>
      </c>
      <c r="OJW73" s="193"/>
      <c r="OJX73" s="255" t="s">
        <v>168</v>
      </c>
      <c r="OJY73" s="263" t="s">
        <v>31</v>
      </c>
      <c r="OJZ73" s="254"/>
      <c r="OKA73" s="254"/>
      <c r="OKB73" s="264">
        <v>5.7000000000000002E-2</v>
      </c>
      <c r="OKC73" s="193"/>
      <c r="OKD73" s="263" t="s">
        <v>2</v>
      </c>
      <c r="OKE73" s="193"/>
      <c r="OKF73" s="255" t="s">
        <v>168</v>
      </c>
      <c r="OKG73" s="263" t="s">
        <v>31</v>
      </c>
      <c r="OKH73" s="254"/>
      <c r="OKI73" s="254"/>
      <c r="OKJ73" s="264">
        <v>5.7000000000000002E-2</v>
      </c>
      <c r="OKK73" s="193"/>
      <c r="OKL73" s="263" t="s">
        <v>2</v>
      </c>
      <c r="OKM73" s="193"/>
      <c r="OKN73" s="255" t="s">
        <v>168</v>
      </c>
      <c r="OKO73" s="263" t="s">
        <v>31</v>
      </c>
      <c r="OKP73" s="254"/>
      <c r="OKQ73" s="254"/>
      <c r="OKR73" s="264">
        <v>5.7000000000000002E-2</v>
      </c>
      <c r="OKS73" s="193"/>
      <c r="OKT73" s="263" t="s">
        <v>2</v>
      </c>
      <c r="OKU73" s="193"/>
      <c r="OKV73" s="255" t="s">
        <v>168</v>
      </c>
      <c r="OKW73" s="263" t="s">
        <v>31</v>
      </c>
      <c r="OKX73" s="254"/>
      <c r="OKY73" s="254"/>
      <c r="OKZ73" s="264">
        <v>5.7000000000000002E-2</v>
      </c>
      <c r="OLA73" s="193"/>
      <c r="OLB73" s="263" t="s">
        <v>2</v>
      </c>
      <c r="OLC73" s="193"/>
      <c r="OLD73" s="255" t="s">
        <v>168</v>
      </c>
      <c r="OLE73" s="263" t="s">
        <v>31</v>
      </c>
      <c r="OLF73" s="254"/>
      <c r="OLG73" s="254"/>
      <c r="OLH73" s="264">
        <v>5.7000000000000002E-2</v>
      </c>
      <c r="OLI73" s="193"/>
      <c r="OLJ73" s="263" t="s">
        <v>2</v>
      </c>
      <c r="OLK73" s="193"/>
      <c r="OLL73" s="255" t="s">
        <v>168</v>
      </c>
      <c r="OLM73" s="263" t="s">
        <v>31</v>
      </c>
      <c r="OLN73" s="254"/>
      <c r="OLO73" s="254"/>
      <c r="OLP73" s="264">
        <v>5.7000000000000002E-2</v>
      </c>
      <c r="OLQ73" s="193"/>
      <c r="OLR73" s="263" t="s">
        <v>2</v>
      </c>
      <c r="OLS73" s="193"/>
      <c r="OLT73" s="255" t="s">
        <v>168</v>
      </c>
      <c r="OLU73" s="263" t="s">
        <v>31</v>
      </c>
      <c r="OLV73" s="254"/>
      <c r="OLW73" s="254"/>
      <c r="OLX73" s="264">
        <v>5.7000000000000002E-2</v>
      </c>
      <c r="OLY73" s="193"/>
      <c r="OLZ73" s="263" t="s">
        <v>2</v>
      </c>
      <c r="OMA73" s="193"/>
      <c r="OMB73" s="255" t="s">
        <v>168</v>
      </c>
      <c r="OMC73" s="263" t="s">
        <v>31</v>
      </c>
      <c r="OMD73" s="254"/>
      <c r="OME73" s="254"/>
      <c r="OMF73" s="264">
        <v>5.7000000000000002E-2</v>
      </c>
      <c r="OMG73" s="193"/>
      <c r="OMH73" s="263" t="s">
        <v>2</v>
      </c>
      <c r="OMI73" s="193"/>
      <c r="OMJ73" s="255" t="s">
        <v>168</v>
      </c>
      <c r="OMK73" s="263" t="s">
        <v>31</v>
      </c>
      <c r="OML73" s="254"/>
      <c r="OMM73" s="254"/>
      <c r="OMN73" s="264">
        <v>5.7000000000000002E-2</v>
      </c>
      <c r="OMO73" s="193"/>
      <c r="OMP73" s="263" t="s">
        <v>2</v>
      </c>
      <c r="OMQ73" s="193"/>
      <c r="OMR73" s="255" t="s">
        <v>168</v>
      </c>
      <c r="OMS73" s="263" t="s">
        <v>31</v>
      </c>
      <c r="OMT73" s="254"/>
      <c r="OMU73" s="254"/>
      <c r="OMV73" s="264">
        <v>5.7000000000000002E-2</v>
      </c>
      <c r="OMW73" s="193"/>
      <c r="OMX73" s="263" t="s">
        <v>2</v>
      </c>
      <c r="OMY73" s="193"/>
      <c r="OMZ73" s="255" t="s">
        <v>168</v>
      </c>
      <c r="ONA73" s="263" t="s">
        <v>31</v>
      </c>
      <c r="ONB73" s="254"/>
      <c r="ONC73" s="254"/>
      <c r="OND73" s="264">
        <v>5.7000000000000002E-2</v>
      </c>
      <c r="ONE73" s="193"/>
      <c r="ONF73" s="263" t="s">
        <v>2</v>
      </c>
      <c r="ONG73" s="193"/>
      <c r="ONH73" s="255" t="s">
        <v>168</v>
      </c>
      <c r="ONI73" s="263" t="s">
        <v>31</v>
      </c>
      <c r="ONJ73" s="254"/>
      <c r="ONK73" s="254"/>
      <c r="ONL73" s="264">
        <v>5.7000000000000002E-2</v>
      </c>
      <c r="ONM73" s="193"/>
      <c r="ONN73" s="263" t="s">
        <v>2</v>
      </c>
      <c r="ONO73" s="193"/>
      <c r="ONP73" s="255" t="s">
        <v>168</v>
      </c>
      <c r="ONQ73" s="263" t="s">
        <v>31</v>
      </c>
      <c r="ONR73" s="254"/>
      <c r="ONS73" s="254"/>
      <c r="ONT73" s="264">
        <v>5.7000000000000002E-2</v>
      </c>
      <c r="ONU73" s="193"/>
      <c r="ONV73" s="263" t="s">
        <v>2</v>
      </c>
      <c r="ONW73" s="193"/>
      <c r="ONX73" s="255" t="s">
        <v>168</v>
      </c>
      <c r="ONY73" s="263" t="s">
        <v>31</v>
      </c>
      <c r="ONZ73" s="254"/>
      <c r="OOA73" s="254"/>
      <c r="OOB73" s="264">
        <v>5.7000000000000002E-2</v>
      </c>
      <c r="OOC73" s="193"/>
      <c r="OOD73" s="263" t="s">
        <v>2</v>
      </c>
      <c r="OOE73" s="193"/>
      <c r="OOF73" s="255" t="s">
        <v>168</v>
      </c>
      <c r="OOG73" s="263" t="s">
        <v>31</v>
      </c>
      <c r="OOH73" s="254"/>
      <c r="OOI73" s="254"/>
      <c r="OOJ73" s="264">
        <v>5.7000000000000002E-2</v>
      </c>
      <c r="OOK73" s="193"/>
      <c r="OOL73" s="263" t="s">
        <v>2</v>
      </c>
      <c r="OOM73" s="193"/>
      <c r="OON73" s="255" t="s">
        <v>168</v>
      </c>
      <c r="OOO73" s="263" t="s">
        <v>31</v>
      </c>
      <c r="OOP73" s="254"/>
      <c r="OOQ73" s="254"/>
      <c r="OOR73" s="264">
        <v>5.7000000000000002E-2</v>
      </c>
      <c r="OOS73" s="193"/>
      <c r="OOT73" s="263" t="s">
        <v>2</v>
      </c>
      <c r="OOU73" s="193"/>
      <c r="OOV73" s="255" t="s">
        <v>168</v>
      </c>
      <c r="OOW73" s="263" t="s">
        <v>31</v>
      </c>
      <c r="OOX73" s="254"/>
      <c r="OOY73" s="254"/>
      <c r="OOZ73" s="264">
        <v>5.7000000000000002E-2</v>
      </c>
      <c r="OPA73" s="193"/>
      <c r="OPB73" s="263" t="s">
        <v>2</v>
      </c>
      <c r="OPC73" s="193"/>
      <c r="OPD73" s="255" t="s">
        <v>168</v>
      </c>
      <c r="OPE73" s="263" t="s">
        <v>31</v>
      </c>
      <c r="OPF73" s="254"/>
      <c r="OPG73" s="254"/>
      <c r="OPH73" s="264">
        <v>5.7000000000000002E-2</v>
      </c>
      <c r="OPI73" s="193"/>
      <c r="OPJ73" s="263" t="s">
        <v>2</v>
      </c>
      <c r="OPK73" s="193"/>
      <c r="OPL73" s="255" t="s">
        <v>168</v>
      </c>
      <c r="OPM73" s="263" t="s">
        <v>31</v>
      </c>
      <c r="OPN73" s="254"/>
      <c r="OPO73" s="254"/>
      <c r="OPP73" s="264">
        <v>5.7000000000000002E-2</v>
      </c>
      <c r="OPQ73" s="193"/>
      <c r="OPR73" s="263" t="s">
        <v>2</v>
      </c>
      <c r="OPS73" s="193"/>
      <c r="OPT73" s="255" t="s">
        <v>168</v>
      </c>
      <c r="OPU73" s="263" t="s">
        <v>31</v>
      </c>
      <c r="OPV73" s="254"/>
      <c r="OPW73" s="254"/>
      <c r="OPX73" s="264">
        <v>5.7000000000000002E-2</v>
      </c>
      <c r="OPY73" s="193"/>
      <c r="OPZ73" s="263" t="s">
        <v>2</v>
      </c>
      <c r="OQA73" s="193"/>
      <c r="OQB73" s="255" t="s">
        <v>168</v>
      </c>
      <c r="OQC73" s="263" t="s">
        <v>31</v>
      </c>
      <c r="OQD73" s="254"/>
      <c r="OQE73" s="254"/>
      <c r="OQF73" s="264">
        <v>5.7000000000000002E-2</v>
      </c>
      <c r="OQG73" s="193"/>
      <c r="OQH73" s="263" t="s">
        <v>2</v>
      </c>
      <c r="OQI73" s="193"/>
      <c r="OQJ73" s="255" t="s">
        <v>168</v>
      </c>
      <c r="OQK73" s="263" t="s">
        <v>31</v>
      </c>
      <c r="OQL73" s="254"/>
      <c r="OQM73" s="254"/>
      <c r="OQN73" s="264">
        <v>5.7000000000000002E-2</v>
      </c>
      <c r="OQO73" s="193"/>
      <c r="OQP73" s="263" t="s">
        <v>2</v>
      </c>
      <c r="OQQ73" s="193"/>
      <c r="OQR73" s="255" t="s">
        <v>168</v>
      </c>
      <c r="OQS73" s="263" t="s">
        <v>31</v>
      </c>
      <c r="OQT73" s="254"/>
      <c r="OQU73" s="254"/>
      <c r="OQV73" s="264">
        <v>5.7000000000000002E-2</v>
      </c>
      <c r="OQW73" s="193"/>
      <c r="OQX73" s="263" t="s">
        <v>2</v>
      </c>
      <c r="OQY73" s="193"/>
      <c r="OQZ73" s="255" t="s">
        <v>168</v>
      </c>
      <c r="ORA73" s="263" t="s">
        <v>31</v>
      </c>
      <c r="ORB73" s="254"/>
      <c r="ORC73" s="254"/>
      <c r="ORD73" s="264">
        <v>5.7000000000000002E-2</v>
      </c>
      <c r="ORE73" s="193"/>
      <c r="ORF73" s="263" t="s">
        <v>2</v>
      </c>
      <c r="ORG73" s="193"/>
      <c r="ORH73" s="255" t="s">
        <v>168</v>
      </c>
      <c r="ORI73" s="263" t="s">
        <v>31</v>
      </c>
      <c r="ORJ73" s="254"/>
      <c r="ORK73" s="254"/>
      <c r="ORL73" s="264">
        <v>5.7000000000000002E-2</v>
      </c>
      <c r="ORM73" s="193"/>
      <c r="ORN73" s="263" t="s">
        <v>2</v>
      </c>
      <c r="ORO73" s="193"/>
      <c r="ORP73" s="255" t="s">
        <v>168</v>
      </c>
      <c r="ORQ73" s="263" t="s">
        <v>31</v>
      </c>
      <c r="ORR73" s="254"/>
      <c r="ORS73" s="254"/>
      <c r="ORT73" s="264">
        <v>5.7000000000000002E-2</v>
      </c>
      <c r="ORU73" s="193"/>
      <c r="ORV73" s="263" t="s">
        <v>2</v>
      </c>
      <c r="ORW73" s="193"/>
      <c r="ORX73" s="255" t="s">
        <v>168</v>
      </c>
      <c r="ORY73" s="263" t="s">
        <v>31</v>
      </c>
      <c r="ORZ73" s="254"/>
      <c r="OSA73" s="254"/>
      <c r="OSB73" s="264">
        <v>5.7000000000000002E-2</v>
      </c>
      <c r="OSC73" s="193"/>
      <c r="OSD73" s="263" t="s">
        <v>2</v>
      </c>
      <c r="OSE73" s="193"/>
      <c r="OSF73" s="255" t="s">
        <v>168</v>
      </c>
      <c r="OSG73" s="263" t="s">
        <v>31</v>
      </c>
      <c r="OSH73" s="254"/>
      <c r="OSI73" s="254"/>
      <c r="OSJ73" s="264">
        <v>5.7000000000000002E-2</v>
      </c>
      <c r="OSK73" s="193"/>
      <c r="OSL73" s="263" t="s">
        <v>2</v>
      </c>
      <c r="OSM73" s="193"/>
      <c r="OSN73" s="255" t="s">
        <v>168</v>
      </c>
      <c r="OSO73" s="263" t="s">
        <v>31</v>
      </c>
      <c r="OSP73" s="254"/>
      <c r="OSQ73" s="254"/>
      <c r="OSR73" s="264">
        <v>5.7000000000000002E-2</v>
      </c>
      <c r="OSS73" s="193"/>
      <c r="OST73" s="263" t="s">
        <v>2</v>
      </c>
      <c r="OSU73" s="193"/>
      <c r="OSV73" s="255" t="s">
        <v>168</v>
      </c>
      <c r="OSW73" s="263" t="s">
        <v>31</v>
      </c>
      <c r="OSX73" s="254"/>
      <c r="OSY73" s="254"/>
      <c r="OSZ73" s="264">
        <v>5.7000000000000002E-2</v>
      </c>
      <c r="OTA73" s="193"/>
      <c r="OTB73" s="263" t="s">
        <v>2</v>
      </c>
      <c r="OTC73" s="193"/>
      <c r="OTD73" s="255" t="s">
        <v>168</v>
      </c>
      <c r="OTE73" s="263" t="s">
        <v>31</v>
      </c>
      <c r="OTF73" s="254"/>
      <c r="OTG73" s="254"/>
      <c r="OTH73" s="264">
        <v>5.7000000000000002E-2</v>
      </c>
      <c r="OTI73" s="193"/>
      <c r="OTJ73" s="263" t="s">
        <v>2</v>
      </c>
      <c r="OTK73" s="193"/>
      <c r="OTL73" s="255" t="s">
        <v>168</v>
      </c>
      <c r="OTM73" s="263" t="s">
        <v>31</v>
      </c>
      <c r="OTN73" s="254"/>
      <c r="OTO73" s="254"/>
      <c r="OTP73" s="264">
        <v>5.7000000000000002E-2</v>
      </c>
      <c r="OTQ73" s="193"/>
      <c r="OTR73" s="263" t="s">
        <v>2</v>
      </c>
      <c r="OTS73" s="193"/>
      <c r="OTT73" s="255" t="s">
        <v>168</v>
      </c>
      <c r="OTU73" s="263" t="s">
        <v>31</v>
      </c>
      <c r="OTV73" s="254"/>
      <c r="OTW73" s="254"/>
      <c r="OTX73" s="264">
        <v>5.7000000000000002E-2</v>
      </c>
      <c r="OTY73" s="193"/>
      <c r="OTZ73" s="263" t="s">
        <v>2</v>
      </c>
      <c r="OUA73" s="193"/>
      <c r="OUB73" s="255" t="s">
        <v>168</v>
      </c>
      <c r="OUC73" s="263" t="s">
        <v>31</v>
      </c>
      <c r="OUD73" s="254"/>
      <c r="OUE73" s="254"/>
      <c r="OUF73" s="264">
        <v>5.7000000000000002E-2</v>
      </c>
      <c r="OUG73" s="193"/>
      <c r="OUH73" s="263" t="s">
        <v>2</v>
      </c>
      <c r="OUI73" s="193"/>
      <c r="OUJ73" s="255" t="s">
        <v>168</v>
      </c>
      <c r="OUK73" s="263" t="s">
        <v>31</v>
      </c>
      <c r="OUL73" s="254"/>
      <c r="OUM73" s="254"/>
      <c r="OUN73" s="264">
        <v>5.7000000000000002E-2</v>
      </c>
      <c r="OUO73" s="193"/>
      <c r="OUP73" s="263" t="s">
        <v>2</v>
      </c>
      <c r="OUQ73" s="193"/>
      <c r="OUR73" s="255" t="s">
        <v>168</v>
      </c>
      <c r="OUS73" s="263" t="s">
        <v>31</v>
      </c>
      <c r="OUT73" s="254"/>
      <c r="OUU73" s="254"/>
      <c r="OUV73" s="264">
        <v>5.7000000000000002E-2</v>
      </c>
      <c r="OUW73" s="193"/>
      <c r="OUX73" s="263" t="s">
        <v>2</v>
      </c>
      <c r="OUY73" s="193"/>
      <c r="OUZ73" s="255" t="s">
        <v>168</v>
      </c>
      <c r="OVA73" s="263" t="s">
        <v>31</v>
      </c>
      <c r="OVB73" s="254"/>
      <c r="OVC73" s="254"/>
      <c r="OVD73" s="264">
        <v>5.7000000000000002E-2</v>
      </c>
      <c r="OVE73" s="193"/>
      <c r="OVF73" s="263" t="s">
        <v>2</v>
      </c>
      <c r="OVG73" s="193"/>
      <c r="OVH73" s="255" t="s">
        <v>168</v>
      </c>
      <c r="OVI73" s="263" t="s">
        <v>31</v>
      </c>
      <c r="OVJ73" s="254"/>
      <c r="OVK73" s="254"/>
      <c r="OVL73" s="264">
        <v>5.7000000000000002E-2</v>
      </c>
      <c r="OVM73" s="193"/>
      <c r="OVN73" s="263" t="s">
        <v>2</v>
      </c>
      <c r="OVO73" s="193"/>
      <c r="OVP73" s="255" t="s">
        <v>168</v>
      </c>
      <c r="OVQ73" s="263" t="s">
        <v>31</v>
      </c>
      <c r="OVR73" s="254"/>
      <c r="OVS73" s="254"/>
      <c r="OVT73" s="264">
        <v>5.7000000000000002E-2</v>
      </c>
      <c r="OVU73" s="193"/>
      <c r="OVV73" s="263" t="s">
        <v>2</v>
      </c>
      <c r="OVW73" s="193"/>
      <c r="OVX73" s="255" t="s">
        <v>168</v>
      </c>
      <c r="OVY73" s="263" t="s">
        <v>31</v>
      </c>
      <c r="OVZ73" s="254"/>
      <c r="OWA73" s="254"/>
      <c r="OWB73" s="264">
        <v>5.7000000000000002E-2</v>
      </c>
      <c r="OWC73" s="193"/>
      <c r="OWD73" s="263" t="s">
        <v>2</v>
      </c>
      <c r="OWE73" s="193"/>
      <c r="OWF73" s="255" t="s">
        <v>168</v>
      </c>
      <c r="OWG73" s="263" t="s">
        <v>31</v>
      </c>
      <c r="OWH73" s="254"/>
      <c r="OWI73" s="254"/>
      <c r="OWJ73" s="264">
        <v>5.7000000000000002E-2</v>
      </c>
      <c r="OWK73" s="193"/>
      <c r="OWL73" s="263" t="s">
        <v>2</v>
      </c>
      <c r="OWM73" s="193"/>
      <c r="OWN73" s="255" t="s">
        <v>168</v>
      </c>
      <c r="OWO73" s="263" t="s">
        <v>31</v>
      </c>
      <c r="OWP73" s="254"/>
      <c r="OWQ73" s="254"/>
      <c r="OWR73" s="264">
        <v>5.7000000000000002E-2</v>
      </c>
      <c r="OWS73" s="193"/>
      <c r="OWT73" s="263" t="s">
        <v>2</v>
      </c>
      <c r="OWU73" s="193"/>
      <c r="OWV73" s="255" t="s">
        <v>168</v>
      </c>
      <c r="OWW73" s="263" t="s">
        <v>31</v>
      </c>
      <c r="OWX73" s="254"/>
      <c r="OWY73" s="254"/>
      <c r="OWZ73" s="264">
        <v>5.7000000000000002E-2</v>
      </c>
      <c r="OXA73" s="193"/>
      <c r="OXB73" s="263" t="s">
        <v>2</v>
      </c>
      <c r="OXC73" s="193"/>
      <c r="OXD73" s="255" t="s">
        <v>168</v>
      </c>
      <c r="OXE73" s="263" t="s">
        <v>31</v>
      </c>
      <c r="OXF73" s="254"/>
      <c r="OXG73" s="254"/>
      <c r="OXH73" s="264">
        <v>5.7000000000000002E-2</v>
      </c>
      <c r="OXI73" s="193"/>
      <c r="OXJ73" s="263" t="s">
        <v>2</v>
      </c>
      <c r="OXK73" s="193"/>
      <c r="OXL73" s="255" t="s">
        <v>168</v>
      </c>
      <c r="OXM73" s="263" t="s">
        <v>31</v>
      </c>
      <c r="OXN73" s="254"/>
      <c r="OXO73" s="254"/>
      <c r="OXP73" s="264">
        <v>5.7000000000000002E-2</v>
      </c>
      <c r="OXQ73" s="193"/>
      <c r="OXR73" s="263" t="s">
        <v>2</v>
      </c>
      <c r="OXS73" s="193"/>
      <c r="OXT73" s="255" t="s">
        <v>168</v>
      </c>
      <c r="OXU73" s="263" t="s">
        <v>31</v>
      </c>
      <c r="OXV73" s="254"/>
      <c r="OXW73" s="254"/>
      <c r="OXX73" s="264">
        <v>5.7000000000000002E-2</v>
      </c>
      <c r="OXY73" s="193"/>
      <c r="OXZ73" s="263" t="s">
        <v>2</v>
      </c>
      <c r="OYA73" s="193"/>
      <c r="OYB73" s="255" t="s">
        <v>168</v>
      </c>
      <c r="OYC73" s="263" t="s">
        <v>31</v>
      </c>
      <c r="OYD73" s="254"/>
      <c r="OYE73" s="254"/>
      <c r="OYF73" s="264">
        <v>5.7000000000000002E-2</v>
      </c>
      <c r="OYG73" s="193"/>
      <c r="OYH73" s="263" t="s">
        <v>2</v>
      </c>
      <c r="OYI73" s="193"/>
      <c r="OYJ73" s="255" t="s">
        <v>168</v>
      </c>
      <c r="OYK73" s="263" t="s">
        <v>31</v>
      </c>
      <c r="OYL73" s="254"/>
      <c r="OYM73" s="254"/>
      <c r="OYN73" s="264">
        <v>5.7000000000000002E-2</v>
      </c>
      <c r="OYO73" s="193"/>
      <c r="OYP73" s="263" t="s">
        <v>2</v>
      </c>
      <c r="OYQ73" s="193"/>
      <c r="OYR73" s="255" t="s">
        <v>168</v>
      </c>
      <c r="OYS73" s="263" t="s">
        <v>31</v>
      </c>
      <c r="OYT73" s="254"/>
      <c r="OYU73" s="254"/>
      <c r="OYV73" s="264">
        <v>5.7000000000000002E-2</v>
      </c>
      <c r="OYW73" s="193"/>
      <c r="OYX73" s="263" t="s">
        <v>2</v>
      </c>
      <c r="OYY73" s="193"/>
      <c r="OYZ73" s="255" t="s">
        <v>168</v>
      </c>
      <c r="OZA73" s="263" t="s">
        <v>31</v>
      </c>
      <c r="OZB73" s="254"/>
      <c r="OZC73" s="254"/>
      <c r="OZD73" s="264">
        <v>5.7000000000000002E-2</v>
      </c>
      <c r="OZE73" s="193"/>
      <c r="OZF73" s="263" t="s">
        <v>2</v>
      </c>
      <c r="OZG73" s="193"/>
      <c r="OZH73" s="255" t="s">
        <v>168</v>
      </c>
      <c r="OZI73" s="263" t="s">
        <v>31</v>
      </c>
      <c r="OZJ73" s="254"/>
      <c r="OZK73" s="254"/>
      <c r="OZL73" s="264">
        <v>5.7000000000000002E-2</v>
      </c>
      <c r="OZM73" s="193"/>
      <c r="OZN73" s="263" t="s">
        <v>2</v>
      </c>
      <c r="OZO73" s="193"/>
      <c r="OZP73" s="255" t="s">
        <v>168</v>
      </c>
      <c r="OZQ73" s="263" t="s">
        <v>31</v>
      </c>
      <c r="OZR73" s="254"/>
      <c r="OZS73" s="254"/>
      <c r="OZT73" s="264">
        <v>5.7000000000000002E-2</v>
      </c>
      <c r="OZU73" s="193"/>
      <c r="OZV73" s="263" t="s">
        <v>2</v>
      </c>
      <c r="OZW73" s="193"/>
      <c r="OZX73" s="255" t="s">
        <v>168</v>
      </c>
      <c r="OZY73" s="263" t="s">
        <v>31</v>
      </c>
      <c r="OZZ73" s="254"/>
      <c r="PAA73" s="254"/>
      <c r="PAB73" s="264">
        <v>5.7000000000000002E-2</v>
      </c>
      <c r="PAC73" s="193"/>
      <c r="PAD73" s="263" t="s">
        <v>2</v>
      </c>
      <c r="PAE73" s="193"/>
      <c r="PAF73" s="255" t="s">
        <v>168</v>
      </c>
      <c r="PAG73" s="263" t="s">
        <v>31</v>
      </c>
      <c r="PAH73" s="254"/>
      <c r="PAI73" s="254"/>
      <c r="PAJ73" s="264">
        <v>5.7000000000000002E-2</v>
      </c>
      <c r="PAK73" s="193"/>
      <c r="PAL73" s="263" t="s">
        <v>2</v>
      </c>
      <c r="PAM73" s="193"/>
      <c r="PAN73" s="255" t="s">
        <v>168</v>
      </c>
      <c r="PAO73" s="263" t="s">
        <v>31</v>
      </c>
      <c r="PAP73" s="254"/>
      <c r="PAQ73" s="254"/>
      <c r="PAR73" s="264">
        <v>5.7000000000000002E-2</v>
      </c>
      <c r="PAS73" s="193"/>
      <c r="PAT73" s="263" t="s">
        <v>2</v>
      </c>
      <c r="PAU73" s="193"/>
      <c r="PAV73" s="255" t="s">
        <v>168</v>
      </c>
      <c r="PAW73" s="263" t="s">
        <v>31</v>
      </c>
      <c r="PAX73" s="254"/>
      <c r="PAY73" s="254"/>
      <c r="PAZ73" s="264">
        <v>5.7000000000000002E-2</v>
      </c>
      <c r="PBA73" s="193"/>
      <c r="PBB73" s="263" t="s">
        <v>2</v>
      </c>
      <c r="PBC73" s="193"/>
      <c r="PBD73" s="255" t="s">
        <v>168</v>
      </c>
      <c r="PBE73" s="263" t="s">
        <v>31</v>
      </c>
      <c r="PBF73" s="254"/>
      <c r="PBG73" s="254"/>
      <c r="PBH73" s="264">
        <v>5.7000000000000002E-2</v>
      </c>
      <c r="PBI73" s="193"/>
      <c r="PBJ73" s="263" t="s">
        <v>2</v>
      </c>
      <c r="PBK73" s="193"/>
      <c r="PBL73" s="255" t="s">
        <v>168</v>
      </c>
      <c r="PBM73" s="263" t="s">
        <v>31</v>
      </c>
      <c r="PBN73" s="254"/>
      <c r="PBO73" s="254"/>
      <c r="PBP73" s="264">
        <v>5.7000000000000002E-2</v>
      </c>
      <c r="PBQ73" s="193"/>
      <c r="PBR73" s="263" t="s">
        <v>2</v>
      </c>
      <c r="PBS73" s="193"/>
      <c r="PBT73" s="255" t="s">
        <v>168</v>
      </c>
      <c r="PBU73" s="263" t="s">
        <v>31</v>
      </c>
      <c r="PBV73" s="254"/>
      <c r="PBW73" s="254"/>
      <c r="PBX73" s="264">
        <v>5.7000000000000002E-2</v>
      </c>
      <c r="PBY73" s="193"/>
      <c r="PBZ73" s="263" t="s">
        <v>2</v>
      </c>
      <c r="PCA73" s="193"/>
      <c r="PCB73" s="255" t="s">
        <v>168</v>
      </c>
      <c r="PCC73" s="263" t="s">
        <v>31</v>
      </c>
      <c r="PCD73" s="254"/>
      <c r="PCE73" s="254"/>
      <c r="PCF73" s="264">
        <v>5.7000000000000002E-2</v>
      </c>
      <c r="PCG73" s="193"/>
      <c r="PCH73" s="263" t="s">
        <v>2</v>
      </c>
      <c r="PCI73" s="193"/>
      <c r="PCJ73" s="255" t="s">
        <v>168</v>
      </c>
      <c r="PCK73" s="263" t="s">
        <v>31</v>
      </c>
      <c r="PCL73" s="254"/>
      <c r="PCM73" s="254"/>
      <c r="PCN73" s="264">
        <v>5.7000000000000002E-2</v>
      </c>
      <c r="PCO73" s="193"/>
      <c r="PCP73" s="263" t="s">
        <v>2</v>
      </c>
      <c r="PCQ73" s="193"/>
      <c r="PCR73" s="255" t="s">
        <v>168</v>
      </c>
      <c r="PCS73" s="263" t="s">
        <v>31</v>
      </c>
      <c r="PCT73" s="254"/>
      <c r="PCU73" s="254"/>
      <c r="PCV73" s="264">
        <v>5.7000000000000002E-2</v>
      </c>
      <c r="PCW73" s="193"/>
      <c r="PCX73" s="263" t="s">
        <v>2</v>
      </c>
      <c r="PCY73" s="193"/>
      <c r="PCZ73" s="255" t="s">
        <v>168</v>
      </c>
      <c r="PDA73" s="263" t="s">
        <v>31</v>
      </c>
      <c r="PDB73" s="254"/>
      <c r="PDC73" s="254"/>
      <c r="PDD73" s="264">
        <v>5.7000000000000002E-2</v>
      </c>
      <c r="PDE73" s="193"/>
      <c r="PDF73" s="263" t="s">
        <v>2</v>
      </c>
      <c r="PDG73" s="193"/>
      <c r="PDH73" s="255" t="s">
        <v>168</v>
      </c>
      <c r="PDI73" s="263" t="s">
        <v>31</v>
      </c>
      <c r="PDJ73" s="254"/>
      <c r="PDK73" s="254"/>
      <c r="PDL73" s="264">
        <v>5.7000000000000002E-2</v>
      </c>
      <c r="PDM73" s="193"/>
      <c r="PDN73" s="263" t="s">
        <v>2</v>
      </c>
      <c r="PDO73" s="193"/>
      <c r="PDP73" s="255" t="s">
        <v>168</v>
      </c>
      <c r="PDQ73" s="263" t="s">
        <v>31</v>
      </c>
      <c r="PDR73" s="254"/>
      <c r="PDS73" s="254"/>
      <c r="PDT73" s="264">
        <v>5.7000000000000002E-2</v>
      </c>
      <c r="PDU73" s="193"/>
      <c r="PDV73" s="263" t="s">
        <v>2</v>
      </c>
      <c r="PDW73" s="193"/>
      <c r="PDX73" s="255" t="s">
        <v>168</v>
      </c>
      <c r="PDY73" s="263" t="s">
        <v>31</v>
      </c>
      <c r="PDZ73" s="254"/>
      <c r="PEA73" s="254"/>
      <c r="PEB73" s="264">
        <v>5.7000000000000002E-2</v>
      </c>
      <c r="PEC73" s="193"/>
      <c r="PED73" s="263" t="s">
        <v>2</v>
      </c>
      <c r="PEE73" s="193"/>
      <c r="PEF73" s="255" t="s">
        <v>168</v>
      </c>
      <c r="PEG73" s="263" t="s">
        <v>31</v>
      </c>
      <c r="PEH73" s="254"/>
      <c r="PEI73" s="254"/>
      <c r="PEJ73" s="264">
        <v>5.7000000000000002E-2</v>
      </c>
      <c r="PEK73" s="193"/>
      <c r="PEL73" s="263" t="s">
        <v>2</v>
      </c>
      <c r="PEM73" s="193"/>
      <c r="PEN73" s="255" t="s">
        <v>168</v>
      </c>
      <c r="PEO73" s="263" t="s">
        <v>31</v>
      </c>
      <c r="PEP73" s="254"/>
      <c r="PEQ73" s="254"/>
      <c r="PER73" s="264">
        <v>5.7000000000000002E-2</v>
      </c>
      <c r="PES73" s="193"/>
      <c r="PET73" s="263" t="s">
        <v>2</v>
      </c>
      <c r="PEU73" s="193"/>
      <c r="PEV73" s="255" t="s">
        <v>168</v>
      </c>
      <c r="PEW73" s="263" t="s">
        <v>31</v>
      </c>
      <c r="PEX73" s="254"/>
      <c r="PEY73" s="254"/>
      <c r="PEZ73" s="264">
        <v>5.7000000000000002E-2</v>
      </c>
      <c r="PFA73" s="193"/>
      <c r="PFB73" s="263" t="s">
        <v>2</v>
      </c>
      <c r="PFC73" s="193"/>
      <c r="PFD73" s="255" t="s">
        <v>168</v>
      </c>
      <c r="PFE73" s="263" t="s">
        <v>31</v>
      </c>
      <c r="PFF73" s="254"/>
      <c r="PFG73" s="254"/>
      <c r="PFH73" s="264">
        <v>5.7000000000000002E-2</v>
      </c>
      <c r="PFI73" s="193"/>
      <c r="PFJ73" s="263" t="s">
        <v>2</v>
      </c>
      <c r="PFK73" s="193"/>
      <c r="PFL73" s="255" t="s">
        <v>168</v>
      </c>
      <c r="PFM73" s="263" t="s">
        <v>31</v>
      </c>
      <c r="PFN73" s="254"/>
      <c r="PFO73" s="254"/>
      <c r="PFP73" s="264">
        <v>5.7000000000000002E-2</v>
      </c>
      <c r="PFQ73" s="193"/>
      <c r="PFR73" s="263" t="s">
        <v>2</v>
      </c>
      <c r="PFS73" s="193"/>
      <c r="PFT73" s="255" t="s">
        <v>168</v>
      </c>
      <c r="PFU73" s="263" t="s">
        <v>31</v>
      </c>
      <c r="PFV73" s="254"/>
      <c r="PFW73" s="254"/>
      <c r="PFX73" s="264">
        <v>5.7000000000000002E-2</v>
      </c>
      <c r="PFY73" s="193"/>
      <c r="PFZ73" s="263" t="s">
        <v>2</v>
      </c>
      <c r="PGA73" s="193"/>
      <c r="PGB73" s="255" t="s">
        <v>168</v>
      </c>
      <c r="PGC73" s="263" t="s">
        <v>31</v>
      </c>
      <c r="PGD73" s="254"/>
      <c r="PGE73" s="254"/>
      <c r="PGF73" s="264">
        <v>5.7000000000000002E-2</v>
      </c>
      <c r="PGG73" s="193"/>
      <c r="PGH73" s="263" t="s">
        <v>2</v>
      </c>
      <c r="PGI73" s="193"/>
      <c r="PGJ73" s="255" t="s">
        <v>168</v>
      </c>
      <c r="PGK73" s="263" t="s">
        <v>31</v>
      </c>
      <c r="PGL73" s="254"/>
      <c r="PGM73" s="254"/>
      <c r="PGN73" s="264">
        <v>5.7000000000000002E-2</v>
      </c>
      <c r="PGO73" s="193"/>
      <c r="PGP73" s="263" t="s">
        <v>2</v>
      </c>
      <c r="PGQ73" s="193"/>
      <c r="PGR73" s="255" t="s">
        <v>168</v>
      </c>
      <c r="PGS73" s="263" t="s">
        <v>31</v>
      </c>
      <c r="PGT73" s="254"/>
      <c r="PGU73" s="254"/>
      <c r="PGV73" s="264">
        <v>5.7000000000000002E-2</v>
      </c>
      <c r="PGW73" s="193"/>
      <c r="PGX73" s="263" t="s">
        <v>2</v>
      </c>
      <c r="PGY73" s="193"/>
      <c r="PGZ73" s="255" t="s">
        <v>168</v>
      </c>
      <c r="PHA73" s="263" t="s">
        <v>31</v>
      </c>
      <c r="PHB73" s="254"/>
      <c r="PHC73" s="254"/>
      <c r="PHD73" s="264">
        <v>5.7000000000000002E-2</v>
      </c>
      <c r="PHE73" s="193"/>
      <c r="PHF73" s="263" t="s">
        <v>2</v>
      </c>
      <c r="PHG73" s="193"/>
      <c r="PHH73" s="255" t="s">
        <v>168</v>
      </c>
      <c r="PHI73" s="263" t="s">
        <v>31</v>
      </c>
      <c r="PHJ73" s="254"/>
      <c r="PHK73" s="254"/>
      <c r="PHL73" s="264">
        <v>5.7000000000000002E-2</v>
      </c>
      <c r="PHM73" s="193"/>
      <c r="PHN73" s="263" t="s">
        <v>2</v>
      </c>
      <c r="PHO73" s="193"/>
      <c r="PHP73" s="255" t="s">
        <v>168</v>
      </c>
      <c r="PHQ73" s="263" t="s">
        <v>31</v>
      </c>
      <c r="PHR73" s="254"/>
      <c r="PHS73" s="254"/>
      <c r="PHT73" s="264">
        <v>5.7000000000000002E-2</v>
      </c>
      <c r="PHU73" s="193"/>
      <c r="PHV73" s="263" t="s">
        <v>2</v>
      </c>
      <c r="PHW73" s="193"/>
      <c r="PHX73" s="255" t="s">
        <v>168</v>
      </c>
      <c r="PHY73" s="263" t="s">
        <v>31</v>
      </c>
      <c r="PHZ73" s="254"/>
      <c r="PIA73" s="254"/>
      <c r="PIB73" s="264">
        <v>5.7000000000000002E-2</v>
      </c>
      <c r="PIC73" s="193"/>
      <c r="PID73" s="263" t="s">
        <v>2</v>
      </c>
      <c r="PIE73" s="193"/>
      <c r="PIF73" s="255" t="s">
        <v>168</v>
      </c>
      <c r="PIG73" s="263" t="s">
        <v>31</v>
      </c>
      <c r="PIH73" s="254"/>
      <c r="PII73" s="254"/>
      <c r="PIJ73" s="264">
        <v>5.7000000000000002E-2</v>
      </c>
      <c r="PIK73" s="193"/>
      <c r="PIL73" s="263" t="s">
        <v>2</v>
      </c>
      <c r="PIM73" s="193"/>
      <c r="PIN73" s="255" t="s">
        <v>168</v>
      </c>
      <c r="PIO73" s="263" t="s">
        <v>31</v>
      </c>
      <c r="PIP73" s="254"/>
      <c r="PIQ73" s="254"/>
      <c r="PIR73" s="264">
        <v>5.7000000000000002E-2</v>
      </c>
      <c r="PIS73" s="193"/>
      <c r="PIT73" s="263" t="s">
        <v>2</v>
      </c>
      <c r="PIU73" s="193"/>
      <c r="PIV73" s="255" t="s">
        <v>168</v>
      </c>
      <c r="PIW73" s="263" t="s">
        <v>31</v>
      </c>
      <c r="PIX73" s="254"/>
      <c r="PIY73" s="254"/>
      <c r="PIZ73" s="264">
        <v>5.7000000000000002E-2</v>
      </c>
      <c r="PJA73" s="193"/>
      <c r="PJB73" s="263" t="s">
        <v>2</v>
      </c>
      <c r="PJC73" s="193"/>
      <c r="PJD73" s="255" t="s">
        <v>168</v>
      </c>
      <c r="PJE73" s="263" t="s">
        <v>31</v>
      </c>
      <c r="PJF73" s="254"/>
      <c r="PJG73" s="254"/>
      <c r="PJH73" s="264">
        <v>5.7000000000000002E-2</v>
      </c>
      <c r="PJI73" s="193"/>
      <c r="PJJ73" s="263" t="s">
        <v>2</v>
      </c>
      <c r="PJK73" s="193"/>
      <c r="PJL73" s="255" t="s">
        <v>168</v>
      </c>
      <c r="PJM73" s="263" t="s">
        <v>31</v>
      </c>
      <c r="PJN73" s="254"/>
      <c r="PJO73" s="254"/>
      <c r="PJP73" s="264">
        <v>5.7000000000000002E-2</v>
      </c>
      <c r="PJQ73" s="193"/>
      <c r="PJR73" s="263" t="s">
        <v>2</v>
      </c>
      <c r="PJS73" s="193"/>
      <c r="PJT73" s="255" t="s">
        <v>168</v>
      </c>
      <c r="PJU73" s="263" t="s">
        <v>31</v>
      </c>
      <c r="PJV73" s="254"/>
      <c r="PJW73" s="254"/>
      <c r="PJX73" s="264">
        <v>5.7000000000000002E-2</v>
      </c>
      <c r="PJY73" s="193"/>
      <c r="PJZ73" s="263" t="s">
        <v>2</v>
      </c>
      <c r="PKA73" s="193"/>
      <c r="PKB73" s="255" t="s">
        <v>168</v>
      </c>
      <c r="PKC73" s="263" t="s">
        <v>31</v>
      </c>
      <c r="PKD73" s="254"/>
      <c r="PKE73" s="254"/>
      <c r="PKF73" s="264">
        <v>5.7000000000000002E-2</v>
      </c>
      <c r="PKG73" s="193"/>
      <c r="PKH73" s="263" t="s">
        <v>2</v>
      </c>
      <c r="PKI73" s="193"/>
      <c r="PKJ73" s="255" t="s">
        <v>168</v>
      </c>
      <c r="PKK73" s="263" t="s">
        <v>31</v>
      </c>
      <c r="PKL73" s="254"/>
      <c r="PKM73" s="254"/>
      <c r="PKN73" s="264">
        <v>5.7000000000000002E-2</v>
      </c>
      <c r="PKO73" s="193"/>
      <c r="PKP73" s="263" t="s">
        <v>2</v>
      </c>
      <c r="PKQ73" s="193"/>
      <c r="PKR73" s="255" t="s">
        <v>168</v>
      </c>
      <c r="PKS73" s="263" t="s">
        <v>31</v>
      </c>
      <c r="PKT73" s="254"/>
      <c r="PKU73" s="254"/>
      <c r="PKV73" s="264">
        <v>5.7000000000000002E-2</v>
      </c>
      <c r="PKW73" s="193"/>
      <c r="PKX73" s="263" t="s">
        <v>2</v>
      </c>
      <c r="PKY73" s="193"/>
      <c r="PKZ73" s="255" t="s">
        <v>168</v>
      </c>
      <c r="PLA73" s="263" t="s">
        <v>31</v>
      </c>
      <c r="PLB73" s="254"/>
      <c r="PLC73" s="254"/>
      <c r="PLD73" s="264">
        <v>5.7000000000000002E-2</v>
      </c>
      <c r="PLE73" s="193"/>
      <c r="PLF73" s="263" t="s">
        <v>2</v>
      </c>
      <c r="PLG73" s="193"/>
      <c r="PLH73" s="255" t="s">
        <v>168</v>
      </c>
      <c r="PLI73" s="263" t="s">
        <v>31</v>
      </c>
      <c r="PLJ73" s="254"/>
      <c r="PLK73" s="254"/>
      <c r="PLL73" s="264">
        <v>5.7000000000000002E-2</v>
      </c>
      <c r="PLM73" s="193"/>
      <c r="PLN73" s="263" t="s">
        <v>2</v>
      </c>
      <c r="PLO73" s="193"/>
      <c r="PLP73" s="255" t="s">
        <v>168</v>
      </c>
      <c r="PLQ73" s="263" t="s">
        <v>31</v>
      </c>
      <c r="PLR73" s="254"/>
      <c r="PLS73" s="254"/>
      <c r="PLT73" s="264">
        <v>5.7000000000000002E-2</v>
      </c>
      <c r="PLU73" s="193"/>
      <c r="PLV73" s="263" t="s">
        <v>2</v>
      </c>
      <c r="PLW73" s="193"/>
      <c r="PLX73" s="255" t="s">
        <v>168</v>
      </c>
      <c r="PLY73" s="263" t="s">
        <v>31</v>
      </c>
      <c r="PLZ73" s="254"/>
      <c r="PMA73" s="254"/>
      <c r="PMB73" s="264">
        <v>5.7000000000000002E-2</v>
      </c>
      <c r="PMC73" s="193"/>
      <c r="PMD73" s="263" t="s">
        <v>2</v>
      </c>
      <c r="PME73" s="193"/>
      <c r="PMF73" s="255" t="s">
        <v>168</v>
      </c>
      <c r="PMG73" s="263" t="s">
        <v>31</v>
      </c>
      <c r="PMH73" s="254"/>
      <c r="PMI73" s="254"/>
      <c r="PMJ73" s="264">
        <v>5.7000000000000002E-2</v>
      </c>
      <c r="PMK73" s="193"/>
      <c r="PML73" s="263" t="s">
        <v>2</v>
      </c>
      <c r="PMM73" s="193"/>
      <c r="PMN73" s="255" t="s">
        <v>168</v>
      </c>
      <c r="PMO73" s="263" t="s">
        <v>31</v>
      </c>
      <c r="PMP73" s="254"/>
      <c r="PMQ73" s="254"/>
      <c r="PMR73" s="264">
        <v>5.7000000000000002E-2</v>
      </c>
      <c r="PMS73" s="193"/>
      <c r="PMT73" s="263" t="s">
        <v>2</v>
      </c>
      <c r="PMU73" s="193"/>
      <c r="PMV73" s="255" t="s">
        <v>168</v>
      </c>
      <c r="PMW73" s="263" t="s">
        <v>31</v>
      </c>
      <c r="PMX73" s="254"/>
      <c r="PMY73" s="254"/>
      <c r="PMZ73" s="264">
        <v>5.7000000000000002E-2</v>
      </c>
      <c r="PNA73" s="193"/>
      <c r="PNB73" s="263" t="s">
        <v>2</v>
      </c>
      <c r="PNC73" s="193"/>
      <c r="PND73" s="255" t="s">
        <v>168</v>
      </c>
      <c r="PNE73" s="263" t="s">
        <v>31</v>
      </c>
      <c r="PNF73" s="254"/>
      <c r="PNG73" s="254"/>
      <c r="PNH73" s="264">
        <v>5.7000000000000002E-2</v>
      </c>
      <c r="PNI73" s="193"/>
      <c r="PNJ73" s="263" t="s">
        <v>2</v>
      </c>
      <c r="PNK73" s="193"/>
      <c r="PNL73" s="255" t="s">
        <v>168</v>
      </c>
      <c r="PNM73" s="263" t="s">
        <v>31</v>
      </c>
      <c r="PNN73" s="254"/>
      <c r="PNO73" s="254"/>
      <c r="PNP73" s="264">
        <v>5.7000000000000002E-2</v>
      </c>
      <c r="PNQ73" s="193"/>
      <c r="PNR73" s="263" t="s">
        <v>2</v>
      </c>
      <c r="PNS73" s="193"/>
      <c r="PNT73" s="255" t="s">
        <v>168</v>
      </c>
      <c r="PNU73" s="263" t="s">
        <v>31</v>
      </c>
      <c r="PNV73" s="254"/>
      <c r="PNW73" s="254"/>
      <c r="PNX73" s="264">
        <v>5.7000000000000002E-2</v>
      </c>
      <c r="PNY73" s="193"/>
      <c r="PNZ73" s="263" t="s">
        <v>2</v>
      </c>
      <c r="POA73" s="193"/>
      <c r="POB73" s="255" t="s">
        <v>168</v>
      </c>
      <c r="POC73" s="263" t="s">
        <v>31</v>
      </c>
      <c r="POD73" s="254"/>
      <c r="POE73" s="254"/>
      <c r="POF73" s="264">
        <v>5.7000000000000002E-2</v>
      </c>
      <c r="POG73" s="193"/>
      <c r="POH73" s="263" t="s">
        <v>2</v>
      </c>
      <c r="POI73" s="193"/>
      <c r="POJ73" s="255" t="s">
        <v>168</v>
      </c>
      <c r="POK73" s="263" t="s">
        <v>31</v>
      </c>
      <c r="POL73" s="254"/>
      <c r="POM73" s="254"/>
      <c r="PON73" s="264">
        <v>5.7000000000000002E-2</v>
      </c>
      <c r="POO73" s="193"/>
      <c r="POP73" s="263" t="s">
        <v>2</v>
      </c>
      <c r="POQ73" s="193"/>
      <c r="POR73" s="255" t="s">
        <v>168</v>
      </c>
      <c r="POS73" s="263" t="s">
        <v>31</v>
      </c>
      <c r="POT73" s="254"/>
      <c r="POU73" s="254"/>
      <c r="POV73" s="264">
        <v>5.7000000000000002E-2</v>
      </c>
      <c r="POW73" s="193"/>
      <c r="POX73" s="263" t="s">
        <v>2</v>
      </c>
      <c r="POY73" s="193"/>
      <c r="POZ73" s="255" t="s">
        <v>168</v>
      </c>
      <c r="PPA73" s="263" t="s">
        <v>31</v>
      </c>
      <c r="PPB73" s="254"/>
      <c r="PPC73" s="254"/>
      <c r="PPD73" s="264">
        <v>5.7000000000000002E-2</v>
      </c>
      <c r="PPE73" s="193"/>
      <c r="PPF73" s="263" t="s">
        <v>2</v>
      </c>
      <c r="PPG73" s="193"/>
      <c r="PPH73" s="255" t="s">
        <v>168</v>
      </c>
      <c r="PPI73" s="263" t="s">
        <v>31</v>
      </c>
      <c r="PPJ73" s="254"/>
      <c r="PPK73" s="254"/>
      <c r="PPL73" s="264">
        <v>5.7000000000000002E-2</v>
      </c>
      <c r="PPM73" s="193"/>
      <c r="PPN73" s="263" t="s">
        <v>2</v>
      </c>
      <c r="PPO73" s="193"/>
      <c r="PPP73" s="255" t="s">
        <v>168</v>
      </c>
      <c r="PPQ73" s="263" t="s">
        <v>31</v>
      </c>
      <c r="PPR73" s="254"/>
      <c r="PPS73" s="254"/>
      <c r="PPT73" s="264">
        <v>5.7000000000000002E-2</v>
      </c>
      <c r="PPU73" s="193"/>
      <c r="PPV73" s="263" t="s">
        <v>2</v>
      </c>
      <c r="PPW73" s="193"/>
      <c r="PPX73" s="255" t="s">
        <v>168</v>
      </c>
      <c r="PPY73" s="263" t="s">
        <v>31</v>
      </c>
      <c r="PPZ73" s="254"/>
      <c r="PQA73" s="254"/>
      <c r="PQB73" s="264">
        <v>5.7000000000000002E-2</v>
      </c>
      <c r="PQC73" s="193"/>
      <c r="PQD73" s="263" t="s">
        <v>2</v>
      </c>
      <c r="PQE73" s="193"/>
      <c r="PQF73" s="255" t="s">
        <v>168</v>
      </c>
      <c r="PQG73" s="263" t="s">
        <v>31</v>
      </c>
      <c r="PQH73" s="254"/>
      <c r="PQI73" s="254"/>
      <c r="PQJ73" s="264">
        <v>5.7000000000000002E-2</v>
      </c>
      <c r="PQK73" s="193"/>
      <c r="PQL73" s="263" t="s">
        <v>2</v>
      </c>
      <c r="PQM73" s="193"/>
      <c r="PQN73" s="255" t="s">
        <v>168</v>
      </c>
      <c r="PQO73" s="263" t="s">
        <v>31</v>
      </c>
      <c r="PQP73" s="254"/>
      <c r="PQQ73" s="254"/>
      <c r="PQR73" s="264">
        <v>5.7000000000000002E-2</v>
      </c>
      <c r="PQS73" s="193"/>
      <c r="PQT73" s="263" t="s">
        <v>2</v>
      </c>
      <c r="PQU73" s="193"/>
      <c r="PQV73" s="255" t="s">
        <v>168</v>
      </c>
      <c r="PQW73" s="263" t="s">
        <v>31</v>
      </c>
      <c r="PQX73" s="254"/>
      <c r="PQY73" s="254"/>
      <c r="PQZ73" s="264">
        <v>5.7000000000000002E-2</v>
      </c>
      <c r="PRA73" s="193"/>
      <c r="PRB73" s="263" t="s">
        <v>2</v>
      </c>
      <c r="PRC73" s="193"/>
      <c r="PRD73" s="255" t="s">
        <v>168</v>
      </c>
      <c r="PRE73" s="263" t="s">
        <v>31</v>
      </c>
      <c r="PRF73" s="254"/>
      <c r="PRG73" s="254"/>
      <c r="PRH73" s="264">
        <v>5.7000000000000002E-2</v>
      </c>
      <c r="PRI73" s="193"/>
      <c r="PRJ73" s="263" t="s">
        <v>2</v>
      </c>
      <c r="PRK73" s="193"/>
      <c r="PRL73" s="255" t="s">
        <v>168</v>
      </c>
      <c r="PRM73" s="263" t="s">
        <v>31</v>
      </c>
      <c r="PRN73" s="254"/>
      <c r="PRO73" s="254"/>
      <c r="PRP73" s="264">
        <v>5.7000000000000002E-2</v>
      </c>
      <c r="PRQ73" s="193"/>
      <c r="PRR73" s="263" t="s">
        <v>2</v>
      </c>
      <c r="PRS73" s="193"/>
      <c r="PRT73" s="255" t="s">
        <v>168</v>
      </c>
      <c r="PRU73" s="263" t="s">
        <v>31</v>
      </c>
      <c r="PRV73" s="254"/>
      <c r="PRW73" s="254"/>
      <c r="PRX73" s="264">
        <v>5.7000000000000002E-2</v>
      </c>
      <c r="PRY73" s="193"/>
      <c r="PRZ73" s="263" t="s">
        <v>2</v>
      </c>
      <c r="PSA73" s="193"/>
      <c r="PSB73" s="255" t="s">
        <v>168</v>
      </c>
      <c r="PSC73" s="263" t="s">
        <v>31</v>
      </c>
      <c r="PSD73" s="254"/>
      <c r="PSE73" s="254"/>
      <c r="PSF73" s="264">
        <v>5.7000000000000002E-2</v>
      </c>
      <c r="PSG73" s="193"/>
      <c r="PSH73" s="263" t="s">
        <v>2</v>
      </c>
      <c r="PSI73" s="193"/>
      <c r="PSJ73" s="255" t="s">
        <v>168</v>
      </c>
      <c r="PSK73" s="263" t="s">
        <v>31</v>
      </c>
      <c r="PSL73" s="254"/>
      <c r="PSM73" s="254"/>
      <c r="PSN73" s="264">
        <v>5.7000000000000002E-2</v>
      </c>
      <c r="PSO73" s="193"/>
      <c r="PSP73" s="263" t="s">
        <v>2</v>
      </c>
      <c r="PSQ73" s="193"/>
      <c r="PSR73" s="255" t="s">
        <v>168</v>
      </c>
      <c r="PSS73" s="263" t="s">
        <v>31</v>
      </c>
      <c r="PST73" s="254"/>
      <c r="PSU73" s="254"/>
      <c r="PSV73" s="264">
        <v>5.7000000000000002E-2</v>
      </c>
      <c r="PSW73" s="193"/>
      <c r="PSX73" s="263" t="s">
        <v>2</v>
      </c>
      <c r="PSY73" s="193"/>
      <c r="PSZ73" s="255" t="s">
        <v>168</v>
      </c>
      <c r="PTA73" s="263" t="s">
        <v>31</v>
      </c>
      <c r="PTB73" s="254"/>
      <c r="PTC73" s="254"/>
      <c r="PTD73" s="264">
        <v>5.7000000000000002E-2</v>
      </c>
      <c r="PTE73" s="193"/>
      <c r="PTF73" s="263" t="s">
        <v>2</v>
      </c>
      <c r="PTG73" s="193"/>
      <c r="PTH73" s="255" t="s">
        <v>168</v>
      </c>
      <c r="PTI73" s="263" t="s">
        <v>31</v>
      </c>
      <c r="PTJ73" s="254"/>
      <c r="PTK73" s="254"/>
      <c r="PTL73" s="264">
        <v>5.7000000000000002E-2</v>
      </c>
      <c r="PTM73" s="193"/>
      <c r="PTN73" s="263" t="s">
        <v>2</v>
      </c>
      <c r="PTO73" s="193"/>
      <c r="PTP73" s="255" t="s">
        <v>168</v>
      </c>
      <c r="PTQ73" s="263" t="s">
        <v>31</v>
      </c>
      <c r="PTR73" s="254"/>
      <c r="PTS73" s="254"/>
      <c r="PTT73" s="264">
        <v>5.7000000000000002E-2</v>
      </c>
      <c r="PTU73" s="193"/>
      <c r="PTV73" s="263" t="s">
        <v>2</v>
      </c>
      <c r="PTW73" s="193"/>
      <c r="PTX73" s="255" t="s">
        <v>168</v>
      </c>
      <c r="PTY73" s="263" t="s">
        <v>31</v>
      </c>
      <c r="PTZ73" s="254"/>
      <c r="PUA73" s="254"/>
      <c r="PUB73" s="264">
        <v>5.7000000000000002E-2</v>
      </c>
      <c r="PUC73" s="193"/>
      <c r="PUD73" s="263" t="s">
        <v>2</v>
      </c>
      <c r="PUE73" s="193"/>
      <c r="PUF73" s="255" t="s">
        <v>168</v>
      </c>
      <c r="PUG73" s="263" t="s">
        <v>31</v>
      </c>
      <c r="PUH73" s="254"/>
      <c r="PUI73" s="254"/>
      <c r="PUJ73" s="264">
        <v>5.7000000000000002E-2</v>
      </c>
      <c r="PUK73" s="193"/>
      <c r="PUL73" s="263" t="s">
        <v>2</v>
      </c>
      <c r="PUM73" s="193"/>
      <c r="PUN73" s="255" t="s">
        <v>168</v>
      </c>
      <c r="PUO73" s="263" t="s">
        <v>31</v>
      </c>
      <c r="PUP73" s="254"/>
      <c r="PUQ73" s="254"/>
      <c r="PUR73" s="264">
        <v>5.7000000000000002E-2</v>
      </c>
      <c r="PUS73" s="193"/>
      <c r="PUT73" s="263" t="s">
        <v>2</v>
      </c>
      <c r="PUU73" s="193"/>
      <c r="PUV73" s="255" t="s">
        <v>168</v>
      </c>
      <c r="PUW73" s="263" t="s">
        <v>31</v>
      </c>
      <c r="PUX73" s="254"/>
      <c r="PUY73" s="254"/>
      <c r="PUZ73" s="264">
        <v>5.7000000000000002E-2</v>
      </c>
      <c r="PVA73" s="193"/>
      <c r="PVB73" s="263" t="s">
        <v>2</v>
      </c>
      <c r="PVC73" s="193"/>
      <c r="PVD73" s="255" t="s">
        <v>168</v>
      </c>
      <c r="PVE73" s="263" t="s">
        <v>31</v>
      </c>
      <c r="PVF73" s="254"/>
      <c r="PVG73" s="254"/>
      <c r="PVH73" s="264">
        <v>5.7000000000000002E-2</v>
      </c>
      <c r="PVI73" s="193"/>
      <c r="PVJ73" s="263" t="s">
        <v>2</v>
      </c>
      <c r="PVK73" s="193"/>
      <c r="PVL73" s="255" t="s">
        <v>168</v>
      </c>
      <c r="PVM73" s="263" t="s">
        <v>31</v>
      </c>
      <c r="PVN73" s="254"/>
      <c r="PVO73" s="254"/>
      <c r="PVP73" s="264">
        <v>5.7000000000000002E-2</v>
      </c>
      <c r="PVQ73" s="193"/>
      <c r="PVR73" s="263" t="s">
        <v>2</v>
      </c>
      <c r="PVS73" s="193"/>
      <c r="PVT73" s="255" t="s">
        <v>168</v>
      </c>
      <c r="PVU73" s="263" t="s">
        <v>31</v>
      </c>
      <c r="PVV73" s="254"/>
      <c r="PVW73" s="254"/>
      <c r="PVX73" s="264">
        <v>5.7000000000000002E-2</v>
      </c>
      <c r="PVY73" s="193"/>
      <c r="PVZ73" s="263" t="s">
        <v>2</v>
      </c>
      <c r="PWA73" s="193"/>
      <c r="PWB73" s="255" t="s">
        <v>168</v>
      </c>
      <c r="PWC73" s="263" t="s">
        <v>31</v>
      </c>
      <c r="PWD73" s="254"/>
      <c r="PWE73" s="254"/>
      <c r="PWF73" s="264">
        <v>5.7000000000000002E-2</v>
      </c>
      <c r="PWG73" s="193"/>
      <c r="PWH73" s="263" t="s">
        <v>2</v>
      </c>
      <c r="PWI73" s="193"/>
      <c r="PWJ73" s="255" t="s">
        <v>168</v>
      </c>
      <c r="PWK73" s="263" t="s">
        <v>31</v>
      </c>
      <c r="PWL73" s="254"/>
      <c r="PWM73" s="254"/>
      <c r="PWN73" s="264">
        <v>5.7000000000000002E-2</v>
      </c>
      <c r="PWO73" s="193"/>
      <c r="PWP73" s="263" t="s">
        <v>2</v>
      </c>
      <c r="PWQ73" s="193"/>
      <c r="PWR73" s="255" t="s">
        <v>168</v>
      </c>
      <c r="PWS73" s="263" t="s">
        <v>31</v>
      </c>
      <c r="PWT73" s="254"/>
      <c r="PWU73" s="254"/>
      <c r="PWV73" s="264">
        <v>5.7000000000000002E-2</v>
      </c>
      <c r="PWW73" s="193"/>
      <c r="PWX73" s="263" t="s">
        <v>2</v>
      </c>
      <c r="PWY73" s="193"/>
      <c r="PWZ73" s="255" t="s">
        <v>168</v>
      </c>
      <c r="PXA73" s="263" t="s">
        <v>31</v>
      </c>
      <c r="PXB73" s="254"/>
      <c r="PXC73" s="254"/>
      <c r="PXD73" s="264">
        <v>5.7000000000000002E-2</v>
      </c>
      <c r="PXE73" s="193"/>
      <c r="PXF73" s="263" t="s">
        <v>2</v>
      </c>
      <c r="PXG73" s="193"/>
      <c r="PXH73" s="255" t="s">
        <v>168</v>
      </c>
      <c r="PXI73" s="263" t="s">
        <v>31</v>
      </c>
      <c r="PXJ73" s="254"/>
      <c r="PXK73" s="254"/>
      <c r="PXL73" s="264">
        <v>5.7000000000000002E-2</v>
      </c>
      <c r="PXM73" s="193"/>
      <c r="PXN73" s="263" t="s">
        <v>2</v>
      </c>
      <c r="PXO73" s="193"/>
      <c r="PXP73" s="255" t="s">
        <v>168</v>
      </c>
      <c r="PXQ73" s="263" t="s">
        <v>31</v>
      </c>
      <c r="PXR73" s="254"/>
      <c r="PXS73" s="254"/>
      <c r="PXT73" s="264">
        <v>5.7000000000000002E-2</v>
      </c>
      <c r="PXU73" s="193"/>
      <c r="PXV73" s="263" t="s">
        <v>2</v>
      </c>
      <c r="PXW73" s="193"/>
      <c r="PXX73" s="255" t="s">
        <v>168</v>
      </c>
      <c r="PXY73" s="263" t="s">
        <v>31</v>
      </c>
      <c r="PXZ73" s="254"/>
      <c r="PYA73" s="254"/>
      <c r="PYB73" s="264">
        <v>5.7000000000000002E-2</v>
      </c>
      <c r="PYC73" s="193"/>
      <c r="PYD73" s="263" t="s">
        <v>2</v>
      </c>
      <c r="PYE73" s="193"/>
      <c r="PYF73" s="255" t="s">
        <v>168</v>
      </c>
      <c r="PYG73" s="263" t="s">
        <v>31</v>
      </c>
      <c r="PYH73" s="254"/>
      <c r="PYI73" s="254"/>
      <c r="PYJ73" s="264">
        <v>5.7000000000000002E-2</v>
      </c>
      <c r="PYK73" s="193"/>
      <c r="PYL73" s="263" t="s">
        <v>2</v>
      </c>
      <c r="PYM73" s="193"/>
      <c r="PYN73" s="255" t="s">
        <v>168</v>
      </c>
      <c r="PYO73" s="263" t="s">
        <v>31</v>
      </c>
      <c r="PYP73" s="254"/>
      <c r="PYQ73" s="254"/>
      <c r="PYR73" s="264">
        <v>5.7000000000000002E-2</v>
      </c>
      <c r="PYS73" s="193"/>
      <c r="PYT73" s="263" t="s">
        <v>2</v>
      </c>
      <c r="PYU73" s="193"/>
      <c r="PYV73" s="255" t="s">
        <v>168</v>
      </c>
      <c r="PYW73" s="263" t="s">
        <v>31</v>
      </c>
      <c r="PYX73" s="254"/>
      <c r="PYY73" s="254"/>
      <c r="PYZ73" s="264">
        <v>5.7000000000000002E-2</v>
      </c>
      <c r="PZA73" s="193"/>
      <c r="PZB73" s="263" t="s">
        <v>2</v>
      </c>
      <c r="PZC73" s="193"/>
      <c r="PZD73" s="255" t="s">
        <v>168</v>
      </c>
      <c r="PZE73" s="263" t="s">
        <v>31</v>
      </c>
      <c r="PZF73" s="254"/>
      <c r="PZG73" s="254"/>
      <c r="PZH73" s="264">
        <v>5.7000000000000002E-2</v>
      </c>
      <c r="PZI73" s="193"/>
      <c r="PZJ73" s="263" t="s">
        <v>2</v>
      </c>
      <c r="PZK73" s="193"/>
      <c r="PZL73" s="255" t="s">
        <v>168</v>
      </c>
      <c r="PZM73" s="263" t="s">
        <v>31</v>
      </c>
      <c r="PZN73" s="254"/>
      <c r="PZO73" s="254"/>
      <c r="PZP73" s="264">
        <v>5.7000000000000002E-2</v>
      </c>
      <c r="PZQ73" s="193"/>
      <c r="PZR73" s="263" t="s">
        <v>2</v>
      </c>
      <c r="PZS73" s="193"/>
      <c r="PZT73" s="255" t="s">
        <v>168</v>
      </c>
      <c r="PZU73" s="263" t="s">
        <v>31</v>
      </c>
      <c r="PZV73" s="254"/>
      <c r="PZW73" s="254"/>
      <c r="PZX73" s="264">
        <v>5.7000000000000002E-2</v>
      </c>
      <c r="PZY73" s="193"/>
      <c r="PZZ73" s="263" t="s">
        <v>2</v>
      </c>
      <c r="QAA73" s="193"/>
      <c r="QAB73" s="255" t="s">
        <v>168</v>
      </c>
      <c r="QAC73" s="263" t="s">
        <v>31</v>
      </c>
      <c r="QAD73" s="254"/>
      <c r="QAE73" s="254"/>
      <c r="QAF73" s="264">
        <v>5.7000000000000002E-2</v>
      </c>
      <c r="QAG73" s="193"/>
      <c r="QAH73" s="263" t="s">
        <v>2</v>
      </c>
      <c r="QAI73" s="193"/>
      <c r="QAJ73" s="255" t="s">
        <v>168</v>
      </c>
      <c r="QAK73" s="263" t="s">
        <v>31</v>
      </c>
      <c r="QAL73" s="254"/>
      <c r="QAM73" s="254"/>
      <c r="QAN73" s="264">
        <v>5.7000000000000002E-2</v>
      </c>
      <c r="QAO73" s="193"/>
      <c r="QAP73" s="263" t="s">
        <v>2</v>
      </c>
      <c r="QAQ73" s="193"/>
      <c r="QAR73" s="255" t="s">
        <v>168</v>
      </c>
      <c r="QAS73" s="263" t="s">
        <v>31</v>
      </c>
      <c r="QAT73" s="254"/>
      <c r="QAU73" s="254"/>
      <c r="QAV73" s="264">
        <v>5.7000000000000002E-2</v>
      </c>
      <c r="QAW73" s="193"/>
      <c r="QAX73" s="263" t="s">
        <v>2</v>
      </c>
      <c r="QAY73" s="193"/>
      <c r="QAZ73" s="255" t="s">
        <v>168</v>
      </c>
      <c r="QBA73" s="263" t="s">
        <v>31</v>
      </c>
      <c r="QBB73" s="254"/>
      <c r="QBC73" s="254"/>
      <c r="QBD73" s="264">
        <v>5.7000000000000002E-2</v>
      </c>
      <c r="QBE73" s="193"/>
      <c r="QBF73" s="263" t="s">
        <v>2</v>
      </c>
      <c r="QBG73" s="193"/>
      <c r="QBH73" s="255" t="s">
        <v>168</v>
      </c>
      <c r="QBI73" s="263" t="s">
        <v>31</v>
      </c>
      <c r="QBJ73" s="254"/>
      <c r="QBK73" s="254"/>
      <c r="QBL73" s="264">
        <v>5.7000000000000002E-2</v>
      </c>
      <c r="QBM73" s="193"/>
      <c r="QBN73" s="263" t="s">
        <v>2</v>
      </c>
      <c r="QBO73" s="193"/>
      <c r="QBP73" s="255" t="s">
        <v>168</v>
      </c>
      <c r="QBQ73" s="263" t="s">
        <v>31</v>
      </c>
      <c r="QBR73" s="254"/>
      <c r="QBS73" s="254"/>
      <c r="QBT73" s="264">
        <v>5.7000000000000002E-2</v>
      </c>
      <c r="QBU73" s="193"/>
      <c r="QBV73" s="263" t="s">
        <v>2</v>
      </c>
      <c r="QBW73" s="193"/>
      <c r="QBX73" s="255" t="s">
        <v>168</v>
      </c>
      <c r="QBY73" s="263" t="s">
        <v>31</v>
      </c>
      <c r="QBZ73" s="254"/>
      <c r="QCA73" s="254"/>
      <c r="QCB73" s="264">
        <v>5.7000000000000002E-2</v>
      </c>
      <c r="QCC73" s="193"/>
      <c r="QCD73" s="263" t="s">
        <v>2</v>
      </c>
      <c r="QCE73" s="193"/>
      <c r="QCF73" s="255" t="s">
        <v>168</v>
      </c>
      <c r="QCG73" s="263" t="s">
        <v>31</v>
      </c>
      <c r="QCH73" s="254"/>
      <c r="QCI73" s="254"/>
      <c r="QCJ73" s="264">
        <v>5.7000000000000002E-2</v>
      </c>
      <c r="QCK73" s="193"/>
      <c r="QCL73" s="263" t="s">
        <v>2</v>
      </c>
      <c r="QCM73" s="193"/>
      <c r="QCN73" s="255" t="s">
        <v>168</v>
      </c>
      <c r="QCO73" s="263" t="s">
        <v>31</v>
      </c>
      <c r="QCP73" s="254"/>
      <c r="QCQ73" s="254"/>
      <c r="QCR73" s="264">
        <v>5.7000000000000002E-2</v>
      </c>
      <c r="QCS73" s="193"/>
      <c r="QCT73" s="263" t="s">
        <v>2</v>
      </c>
      <c r="QCU73" s="193"/>
      <c r="QCV73" s="255" t="s">
        <v>168</v>
      </c>
      <c r="QCW73" s="263" t="s">
        <v>31</v>
      </c>
      <c r="QCX73" s="254"/>
      <c r="QCY73" s="254"/>
      <c r="QCZ73" s="264">
        <v>5.7000000000000002E-2</v>
      </c>
      <c r="QDA73" s="193"/>
      <c r="QDB73" s="263" t="s">
        <v>2</v>
      </c>
      <c r="QDC73" s="193"/>
      <c r="QDD73" s="255" t="s">
        <v>168</v>
      </c>
      <c r="QDE73" s="263" t="s">
        <v>31</v>
      </c>
      <c r="QDF73" s="254"/>
      <c r="QDG73" s="254"/>
      <c r="QDH73" s="264">
        <v>5.7000000000000002E-2</v>
      </c>
      <c r="QDI73" s="193"/>
      <c r="QDJ73" s="263" t="s">
        <v>2</v>
      </c>
      <c r="QDK73" s="193"/>
      <c r="QDL73" s="255" t="s">
        <v>168</v>
      </c>
      <c r="QDM73" s="263" t="s">
        <v>31</v>
      </c>
      <c r="QDN73" s="254"/>
      <c r="QDO73" s="254"/>
      <c r="QDP73" s="264">
        <v>5.7000000000000002E-2</v>
      </c>
      <c r="QDQ73" s="193"/>
      <c r="QDR73" s="263" t="s">
        <v>2</v>
      </c>
      <c r="QDS73" s="193"/>
      <c r="QDT73" s="255" t="s">
        <v>168</v>
      </c>
      <c r="QDU73" s="263" t="s">
        <v>31</v>
      </c>
      <c r="QDV73" s="254"/>
      <c r="QDW73" s="254"/>
      <c r="QDX73" s="264">
        <v>5.7000000000000002E-2</v>
      </c>
      <c r="QDY73" s="193"/>
      <c r="QDZ73" s="263" t="s">
        <v>2</v>
      </c>
      <c r="QEA73" s="193"/>
      <c r="QEB73" s="255" t="s">
        <v>168</v>
      </c>
      <c r="QEC73" s="263" t="s">
        <v>31</v>
      </c>
      <c r="QED73" s="254"/>
      <c r="QEE73" s="254"/>
      <c r="QEF73" s="264">
        <v>5.7000000000000002E-2</v>
      </c>
      <c r="QEG73" s="193"/>
      <c r="QEH73" s="263" t="s">
        <v>2</v>
      </c>
      <c r="QEI73" s="193"/>
      <c r="QEJ73" s="255" t="s">
        <v>168</v>
      </c>
      <c r="QEK73" s="263" t="s">
        <v>31</v>
      </c>
      <c r="QEL73" s="254"/>
      <c r="QEM73" s="254"/>
      <c r="QEN73" s="264">
        <v>5.7000000000000002E-2</v>
      </c>
      <c r="QEO73" s="193"/>
      <c r="QEP73" s="263" t="s">
        <v>2</v>
      </c>
      <c r="QEQ73" s="193"/>
      <c r="QER73" s="255" t="s">
        <v>168</v>
      </c>
      <c r="QES73" s="263" t="s">
        <v>31</v>
      </c>
      <c r="QET73" s="254"/>
      <c r="QEU73" s="254"/>
      <c r="QEV73" s="264">
        <v>5.7000000000000002E-2</v>
      </c>
      <c r="QEW73" s="193"/>
      <c r="QEX73" s="263" t="s">
        <v>2</v>
      </c>
      <c r="QEY73" s="193"/>
      <c r="QEZ73" s="255" t="s">
        <v>168</v>
      </c>
      <c r="QFA73" s="263" t="s">
        <v>31</v>
      </c>
      <c r="QFB73" s="254"/>
      <c r="QFC73" s="254"/>
      <c r="QFD73" s="264">
        <v>5.7000000000000002E-2</v>
      </c>
      <c r="QFE73" s="193"/>
      <c r="QFF73" s="263" t="s">
        <v>2</v>
      </c>
      <c r="QFG73" s="193"/>
      <c r="QFH73" s="255" t="s">
        <v>168</v>
      </c>
      <c r="QFI73" s="263" t="s">
        <v>31</v>
      </c>
      <c r="QFJ73" s="254"/>
      <c r="QFK73" s="254"/>
      <c r="QFL73" s="264">
        <v>5.7000000000000002E-2</v>
      </c>
      <c r="QFM73" s="193"/>
      <c r="QFN73" s="263" t="s">
        <v>2</v>
      </c>
      <c r="QFO73" s="193"/>
      <c r="QFP73" s="255" t="s">
        <v>168</v>
      </c>
      <c r="QFQ73" s="263" t="s">
        <v>31</v>
      </c>
      <c r="QFR73" s="254"/>
      <c r="QFS73" s="254"/>
      <c r="QFT73" s="264">
        <v>5.7000000000000002E-2</v>
      </c>
      <c r="QFU73" s="193"/>
      <c r="QFV73" s="263" t="s">
        <v>2</v>
      </c>
      <c r="QFW73" s="193"/>
      <c r="QFX73" s="255" t="s">
        <v>168</v>
      </c>
      <c r="QFY73" s="263" t="s">
        <v>31</v>
      </c>
      <c r="QFZ73" s="254"/>
      <c r="QGA73" s="254"/>
      <c r="QGB73" s="264">
        <v>5.7000000000000002E-2</v>
      </c>
      <c r="QGC73" s="193"/>
      <c r="QGD73" s="263" t="s">
        <v>2</v>
      </c>
      <c r="QGE73" s="193"/>
      <c r="QGF73" s="255" t="s">
        <v>168</v>
      </c>
      <c r="QGG73" s="263" t="s">
        <v>31</v>
      </c>
      <c r="QGH73" s="254"/>
      <c r="QGI73" s="254"/>
      <c r="QGJ73" s="264">
        <v>5.7000000000000002E-2</v>
      </c>
      <c r="QGK73" s="193"/>
      <c r="QGL73" s="263" t="s">
        <v>2</v>
      </c>
      <c r="QGM73" s="193"/>
      <c r="QGN73" s="255" t="s">
        <v>168</v>
      </c>
      <c r="QGO73" s="263" t="s">
        <v>31</v>
      </c>
      <c r="QGP73" s="254"/>
      <c r="QGQ73" s="254"/>
      <c r="QGR73" s="264">
        <v>5.7000000000000002E-2</v>
      </c>
      <c r="QGS73" s="193"/>
      <c r="QGT73" s="263" t="s">
        <v>2</v>
      </c>
      <c r="QGU73" s="193"/>
      <c r="QGV73" s="255" t="s">
        <v>168</v>
      </c>
      <c r="QGW73" s="263" t="s">
        <v>31</v>
      </c>
      <c r="QGX73" s="254"/>
      <c r="QGY73" s="254"/>
      <c r="QGZ73" s="264">
        <v>5.7000000000000002E-2</v>
      </c>
      <c r="QHA73" s="193"/>
      <c r="QHB73" s="263" t="s">
        <v>2</v>
      </c>
      <c r="QHC73" s="193"/>
      <c r="QHD73" s="255" t="s">
        <v>168</v>
      </c>
      <c r="QHE73" s="263" t="s">
        <v>31</v>
      </c>
      <c r="QHF73" s="254"/>
      <c r="QHG73" s="254"/>
      <c r="QHH73" s="264">
        <v>5.7000000000000002E-2</v>
      </c>
      <c r="QHI73" s="193"/>
      <c r="QHJ73" s="263" t="s">
        <v>2</v>
      </c>
      <c r="QHK73" s="193"/>
      <c r="QHL73" s="255" t="s">
        <v>168</v>
      </c>
      <c r="QHM73" s="263" t="s">
        <v>31</v>
      </c>
      <c r="QHN73" s="254"/>
      <c r="QHO73" s="254"/>
      <c r="QHP73" s="264">
        <v>5.7000000000000002E-2</v>
      </c>
      <c r="QHQ73" s="193"/>
      <c r="QHR73" s="263" t="s">
        <v>2</v>
      </c>
      <c r="QHS73" s="193"/>
      <c r="QHT73" s="255" t="s">
        <v>168</v>
      </c>
      <c r="QHU73" s="263" t="s">
        <v>31</v>
      </c>
      <c r="QHV73" s="254"/>
      <c r="QHW73" s="254"/>
      <c r="QHX73" s="264">
        <v>5.7000000000000002E-2</v>
      </c>
      <c r="QHY73" s="193"/>
      <c r="QHZ73" s="263" t="s">
        <v>2</v>
      </c>
      <c r="QIA73" s="193"/>
      <c r="QIB73" s="255" t="s">
        <v>168</v>
      </c>
      <c r="QIC73" s="263" t="s">
        <v>31</v>
      </c>
      <c r="QID73" s="254"/>
      <c r="QIE73" s="254"/>
      <c r="QIF73" s="264">
        <v>5.7000000000000002E-2</v>
      </c>
      <c r="QIG73" s="193"/>
      <c r="QIH73" s="263" t="s">
        <v>2</v>
      </c>
      <c r="QII73" s="193"/>
      <c r="QIJ73" s="255" t="s">
        <v>168</v>
      </c>
      <c r="QIK73" s="263" t="s">
        <v>31</v>
      </c>
      <c r="QIL73" s="254"/>
      <c r="QIM73" s="254"/>
      <c r="QIN73" s="264">
        <v>5.7000000000000002E-2</v>
      </c>
      <c r="QIO73" s="193"/>
      <c r="QIP73" s="263" t="s">
        <v>2</v>
      </c>
      <c r="QIQ73" s="193"/>
      <c r="QIR73" s="255" t="s">
        <v>168</v>
      </c>
      <c r="QIS73" s="263" t="s">
        <v>31</v>
      </c>
      <c r="QIT73" s="254"/>
      <c r="QIU73" s="254"/>
      <c r="QIV73" s="264">
        <v>5.7000000000000002E-2</v>
      </c>
      <c r="QIW73" s="193"/>
      <c r="QIX73" s="263" t="s">
        <v>2</v>
      </c>
      <c r="QIY73" s="193"/>
      <c r="QIZ73" s="255" t="s">
        <v>168</v>
      </c>
      <c r="QJA73" s="263" t="s">
        <v>31</v>
      </c>
      <c r="QJB73" s="254"/>
      <c r="QJC73" s="254"/>
      <c r="QJD73" s="264">
        <v>5.7000000000000002E-2</v>
      </c>
      <c r="QJE73" s="193"/>
      <c r="QJF73" s="263" t="s">
        <v>2</v>
      </c>
      <c r="QJG73" s="193"/>
      <c r="QJH73" s="255" t="s">
        <v>168</v>
      </c>
      <c r="QJI73" s="263" t="s">
        <v>31</v>
      </c>
      <c r="QJJ73" s="254"/>
      <c r="QJK73" s="254"/>
      <c r="QJL73" s="264">
        <v>5.7000000000000002E-2</v>
      </c>
      <c r="QJM73" s="193"/>
      <c r="QJN73" s="263" t="s">
        <v>2</v>
      </c>
      <c r="QJO73" s="193"/>
      <c r="QJP73" s="255" t="s">
        <v>168</v>
      </c>
      <c r="QJQ73" s="263" t="s">
        <v>31</v>
      </c>
      <c r="QJR73" s="254"/>
      <c r="QJS73" s="254"/>
      <c r="QJT73" s="264">
        <v>5.7000000000000002E-2</v>
      </c>
      <c r="QJU73" s="193"/>
      <c r="QJV73" s="263" t="s">
        <v>2</v>
      </c>
      <c r="QJW73" s="193"/>
      <c r="QJX73" s="255" t="s">
        <v>168</v>
      </c>
      <c r="QJY73" s="263" t="s">
        <v>31</v>
      </c>
      <c r="QJZ73" s="254"/>
      <c r="QKA73" s="254"/>
      <c r="QKB73" s="264">
        <v>5.7000000000000002E-2</v>
      </c>
      <c r="QKC73" s="193"/>
      <c r="QKD73" s="263" t="s">
        <v>2</v>
      </c>
      <c r="QKE73" s="193"/>
      <c r="QKF73" s="255" t="s">
        <v>168</v>
      </c>
      <c r="QKG73" s="263" t="s">
        <v>31</v>
      </c>
      <c r="QKH73" s="254"/>
      <c r="QKI73" s="254"/>
      <c r="QKJ73" s="264">
        <v>5.7000000000000002E-2</v>
      </c>
      <c r="QKK73" s="193"/>
      <c r="QKL73" s="263" t="s">
        <v>2</v>
      </c>
      <c r="QKM73" s="193"/>
      <c r="QKN73" s="255" t="s">
        <v>168</v>
      </c>
      <c r="QKO73" s="263" t="s">
        <v>31</v>
      </c>
      <c r="QKP73" s="254"/>
      <c r="QKQ73" s="254"/>
      <c r="QKR73" s="264">
        <v>5.7000000000000002E-2</v>
      </c>
      <c r="QKS73" s="193"/>
      <c r="QKT73" s="263" t="s">
        <v>2</v>
      </c>
      <c r="QKU73" s="193"/>
      <c r="QKV73" s="255" t="s">
        <v>168</v>
      </c>
      <c r="QKW73" s="263" t="s">
        <v>31</v>
      </c>
      <c r="QKX73" s="254"/>
      <c r="QKY73" s="254"/>
      <c r="QKZ73" s="264">
        <v>5.7000000000000002E-2</v>
      </c>
      <c r="QLA73" s="193"/>
      <c r="QLB73" s="263" t="s">
        <v>2</v>
      </c>
      <c r="QLC73" s="193"/>
      <c r="QLD73" s="255" t="s">
        <v>168</v>
      </c>
      <c r="QLE73" s="263" t="s">
        <v>31</v>
      </c>
      <c r="QLF73" s="254"/>
      <c r="QLG73" s="254"/>
      <c r="QLH73" s="264">
        <v>5.7000000000000002E-2</v>
      </c>
      <c r="QLI73" s="193"/>
      <c r="QLJ73" s="263" t="s">
        <v>2</v>
      </c>
      <c r="QLK73" s="193"/>
      <c r="QLL73" s="255" t="s">
        <v>168</v>
      </c>
      <c r="QLM73" s="263" t="s">
        <v>31</v>
      </c>
      <c r="QLN73" s="254"/>
      <c r="QLO73" s="254"/>
      <c r="QLP73" s="264">
        <v>5.7000000000000002E-2</v>
      </c>
      <c r="QLQ73" s="193"/>
      <c r="QLR73" s="263" t="s">
        <v>2</v>
      </c>
      <c r="QLS73" s="193"/>
      <c r="QLT73" s="255" t="s">
        <v>168</v>
      </c>
      <c r="QLU73" s="263" t="s">
        <v>31</v>
      </c>
      <c r="QLV73" s="254"/>
      <c r="QLW73" s="254"/>
      <c r="QLX73" s="264">
        <v>5.7000000000000002E-2</v>
      </c>
      <c r="QLY73" s="193"/>
      <c r="QLZ73" s="263" t="s">
        <v>2</v>
      </c>
      <c r="QMA73" s="193"/>
      <c r="QMB73" s="255" t="s">
        <v>168</v>
      </c>
      <c r="QMC73" s="263" t="s">
        <v>31</v>
      </c>
      <c r="QMD73" s="254"/>
      <c r="QME73" s="254"/>
      <c r="QMF73" s="264">
        <v>5.7000000000000002E-2</v>
      </c>
      <c r="QMG73" s="193"/>
      <c r="QMH73" s="263" t="s">
        <v>2</v>
      </c>
      <c r="QMI73" s="193"/>
      <c r="QMJ73" s="255" t="s">
        <v>168</v>
      </c>
      <c r="QMK73" s="263" t="s">
        <v>31</v>
      </c>
      <c r="QML73" s="254"/>
      <c r="QMM73" s="254"/>
      <c r="QMN73" s="264">
        <v>5.7000000000000002E-2</v>
      </c>
      <c r="QMO73" s="193"/>
      <c r="QMP73" s="263" t="s">
        <v>2</v>
      </c>
      <c r="QMQ73" s="193"/>
      <c r="QMR73" s="255" t="s">
        <v>168</v>
      </c>
      <c r="QMS73" s="263" t="s">
        <v>31</v>
      </c>
      <c r="QMT73" s="254"/>
      <c r="QMU73" s="254"/>
      <c r="QMV73" s="264">
        <v>5.7000000000000002E-2</v>
      </c>
      <c r="QMW73" s="193"/>
      <c r="QMX73" s="263" t="s">
        <v>2</v>
      </c>
      <c r="QMY73" s="193"/>
      <c r="QMZ73" s="255" t="s">
        <v>168</v>
      </c>
      <c r="QNA73" s="263" t="s">
        <v>31</v>
      </c>
      <c r="QNB73" s="254"/>
      <c r="QNC73" s="254"/>
      <c r="QND73" s="264">
        <v>5.7000000000000002E-2</v>
      </c>
      <c r="QNE73" s="193"/>
      <c r="QNF73" s="263" t="s">
        <v>2</v>
      </c>
      <c r="QNG73" s="193"/>
      <c r="QNH73" s="255" t="s">
        <v>168</v>
      </c>
      <c r="QNI73" s="263" t="s">
        <v>31</v>
      </c>
      <c r="QNJ73" s="254"/>
      <c r="QNK73" s="254"/>
      <c r="QNL73" s="264">
        <v>5.7000000000000002E-2</v>
      </c>
      <c r="QNM73" s="193"/>
      <c r="QNN73" s="263" t="s">
        <v>2</v>
      </c>
      <c r="QNO73" s="193"/>
      <c r="QNP73" s="255" t="s">
        <v>168</v>
      </c>
      <c r="QNQ73" s="263" t="s">
        <v>31</v>
      </c>
      <c r="QNR73" s="254"/>
      <c r="QNS73" s="254"/>
      <c r="QNT73" s="264">
        <v>5.7000000000000002E-2</v>
      </c>
      <c r="QNU73" s="193"/>
      <c r="QNV73" s="263" t="s">
        <v>2</v>
      </c>
      <c r="QNW73" s="193"/>
      <c r="QNX73" s="255" t="s">
        <v>168</v>
      </c>
      <c r="QNY73" s="263" t="s">
        <v>31</v>
      </c>
      <c r="QNZ73" s="254"/>
      <c r="QOA73" s="254"/>
      <c r="QOB73" s="264">
        <v>5.7000000000000002E-2</v>
      </c>
      <c r="QOC73" s="193"/>
      <c r="QOD73" s="263" t="s">
        <v>2</v>
      </c>
      <c r="QOE73" s="193"/>
      <c r="QOF73" s="255" t="s">
        <v>168</v>
      </c>
      <c r="QOG73" s="263" t="s">
        <v>31</v>
      </c>
      <c r="QOH73" s="254"/>
      <c r="QOI73" s="254"/>
      <c r="QOJ73" s="264">
        <v>5.7000000000000002E-2</v>
      </c>
      <c r="QOK73" s="193"/>
      <c r="QOL73" s="263" t="s">
        <v>2</v>
      </c>
      <c r="QOM73" s="193"/>
      <c r="QON73" s="255" t="s">
        <v>168</v>
      </c>
      <c r="QOO73" s="263" t="s">
        <v>31</v>
      </c>
      <c r="QOP73" s="254"/>
      <c r="QOQ73" s="254"/>
      <c r="QOR73" s="264">
        <v>5.7000000000000002E-2</v>
      </c>
      <c r="QOS73" s="193"/>
      <c r="QOT73" s="263" t="s">
        <v>2</v>
      </c>
      <c r="QOU73" s="193"/>
      <c r="QOV73" s="255" t="s">
        <v>168</v>
      </c>
      <c r="QOW73" s="263" t="s">
        <v>31</v>
      </c>
      <c r="QOX73" s="254"/>
      <c r="QOY73" s="254"/>
      <c r="QOZ73" s="264">
        <v>5.7000000000000002E-2</v>
      </c>
      <c r="QPA73" s="193"/>
      <c r="QPB73" s="263" t="s">
        <v>2</v>
      </c>
      <c r="QPC73" s="193"/>
      <c r="QPD73" s="255" t="s">
        <v>168</v>
      </c>
      <c r="QPE73" s="263" t="s">
        <v>31</v>
      </c>
      <c r="QPF73" s="254"/>
      <c r="QPG73" s="254"/>
      <c r="QPH73" s="264">
        <v>5.7000000000000002E-2</v>
      </c>
      <c r="QPI73" s="193"/>
      <c r="QPJ73" s="263" t="s">
        <v>2</v>
      </c>
      <c r="QPK73" s="193"/>
      <c r="QPL73" s="255" t="s">
        <v>168</v>
      </c>
      <c r="QPM73" s="263" t="s">
        <v>31</v>
      </c>
      <c r="QPN73" s="254"/>
      <c r="QPO73" s="254"/>
      <c r="QPP73" s="264">
        <v>5.7000000000000002E-2</v>
      </c>
      <c r="QPQ73" s="193"/>
      <c r="QPR73" s="263" t="s">
        <v>2</v>
      </c>
      <c r="QPS73" s="193"/>
      <c r="QPT73" s="255" t="s">
        <v>168</v>
      </c>
      <c r="QPU73" s="263" t="s">
        <v>31</v>
      </c>
      <c r="QPV73" s="254"/>
      <c r="QPW73" s="254"/>
      <c r="QPX73" s="264">
        <v>5.7000000000000002E-2</v>
      </c>
      <c r="QPY73" s="193"/>
      <c r="QPZ73" s="263" t="s">
        <v>2</v>
      </c>
      <c r="QQA73" s="193"/>
      <c r="QQB73" s="255" t="s">
        <v>168</v>
      </c>
      <c r="QQC73" s="263" t="s">
        <v>31</v>
      </c>
      <c r="QQD73" s="254"/>
      <c r="QQE73" s="254"/>
      <c r="QQF73" s="264">
        <v>5.7000000000000002E-2</v>
      </c>
      <c r="QQG73" s="193"/>
      <c r="QQH73" s="263" t="s">
        <v>2</v>
      </c>
      <c r="QQI73" s="193"/>
      <c r="QQJ73" s="255" t="s">
        <v>168</v>
      </c>
      <c r="QQK73" s="263" t="s">
        <v>31</v>
      </c>
      <c r="QQL73" s="254"/>
      <c r="QQM73" s="254"/>
      <c r="QQN73" s="264">
        <v>5.7000000000000002E-2</v>
      </c>
      <c r="QQO73" s="193"/>
      <c r="QQP73" s="263" t="s">
        <v>2</v>
      </c>
      <c r="QQQ73" s="193"/>
      <c r="QQR73" s="255" t="s">
        <v>168</v>
      </c>
      <c r="QQS73" s="263" t="s">
        <v>31</v>
      </c>
      <c r="QQT73" s="254"/>
      <c r="QQU73" s="254"/>
      <c r="QQV73" s="264">
        <v>5.7000000000000002E-2</v>
      </c>
      <c r="QQW73" s="193"/>
      <c r="QQX73" s="263" t="s">
        <v>2</v>
      </c>
      <c r="QQY73" s="193"/>
      <c r="QQZ73" s="255" t="s">
        <v>168</v>
      </c>
      <c r="QRA73" s="263" t="s">
        <v>31</v>
      </c>
      <c r="QRB73" s="254"/>
      <c r="QRC73" s="254"/>
      <c r="QRD73" s="264">
        <v>5.7000000000000002E-2</v>
      </c>
      <c r="QRE73" s="193"/>
      <c r="QRF73" s="263" t="s">
        <v>2</v>
      </c>
      <c r="QRG73" s="193"/>
      <c r="QRH73" s="255" t="s">
        <v>168</v>
      </c>
      <c r="QRI73" s="263" t="s">
        <v>31</v>
      </c>
      <c r="QRJ73" s="254"/>
      <c r="QRK73" s="254"/>
      <c r="QRL73" s="264">
        <v>5.7000000000000002E-2</v>
      </c>
      <c r="QRM73" s="193"/>
      <c r="QRN73" s="263" t="s">
        <v>2</v>
      </c>
      <c r="QRO73" s="193"/>
      <c r="QRP73" s="255" t="s">
        <v>168</v>
      </c>
      <c r="QRQ73" s="263" t="s">
        <v>31</v>
      </c>
      <c r="QRR73" s="254"/>
      <c r="QRS73" s="254"/>
      <c r="QRT73" s="264">
        <v>5.7000000000000002E-2</v>
      </c>
      <c r="QRU73" s="193"/>
      <c r="QRV73" s="263" t="s">
        <v>2</v>
      </c>
      <c r="QRW73" s="193"/>
      <c r="QRX73" s="255" t="s">
        <v>168</v>
      </c>
      <c r="QRY73" s="263" t="s">
        <v>31</v>
      </c>
      <c r="QRZ73" s="254"/>
      <c r="QSA73" s="254"/>
      <c r="QSB73" s="264">
        <v>5.7000000000000002E-2</v>
      </c>
      <c r="QSC73" s="193"/>
      <c r="QSD73" s="263" t="s">
        <v>2</v>
      </c>
      <c r="QSE73" s="193"/>
      <c r="QSF73" s="255" t="s">
        <v>168</v>
      </c>
      <c r="QSG73" s="263" t="s">
        <v>31</v>
      </c>
      <c r="QSH73" s="254"/>
      <c r="QSI73" s="254"/>
      <c r="QSJ73" s="264">
        <v>5.7000000000000002E-2</v>
      </c>
      <c r="QSK73" s="193"/>
      <c r="QSL73" s="263" t="s">
        <v>2</v>
      </c>
      <c r="QSM73" s="193"/>
      <c r="QSN73" s="255" t="s">
        <v>168</v>
      </c>
      <c r="QSO73" s="263" t="s">
        <v>31</v>
      </c>
      <c r="QSP73" s="254"/>
      <c r="QSQ73" s="254"/>
      <c r="QSR73" s="264">
        <v>5.7000000000000002E-2</v>
      </c>
      <c r="QSS73" s="193"/>
      <c r="QST73" s="263" t="s">
        <v>2</v>
      </c>
      <c r="QSU73" s="193"/>
      <c r="QSV73" s="255" t="s">
        <v>168</v>
      </c>
      <c r="QSW73" s="263" t="s">
        <v>31</v>
      </c>
      <c r="QSX73" s="254"/>
      <c r="QSY73" s="254"/>
      <c r="QSZ73" s="264">
        <v>5.7000000000000002E-2</v>
      </c>
      <c r="QTA73" s="193"/>
      <c r="QTB73" s="263" t="s">
        <v>2</v>
      </c>
      <c r="QTC73" s="193"/>
      <c r="QTD73" s="255" t="s">
        <v>168</v>
      </c>
      <c r="QTE73" s="263" t="s">
        <v>31</v>
      </c>
      <c r="QTF73" s="254"/>
      <c r="QTG73" s="254"/>
      <c r="QTH73" s="264">
        <v>5.7000000000000002E-2</v>
      </c>
      <c r="QTI73" s="193"/>
      <c r="QTJ73" s="263" t="s">
        <v>2</v>
      </c>
      <c r="QTK73" s="193"/>
      <c r="QTL73" s="255" t="s">
        <v>168</v>
      </c>
      <c r="QTM73" s="263" t="s">
        <v>31</v>
      </c>
      <c r="QTN73" s="254"/>
      <c r="QTO73" s="254"/>
      <c r="QTP73" s="264">
        <v>5.7000000000000002E-2</v>
      </c>
      <c r="QTQ73" s="193"/>
      <c r="QTR73" s="263" t="s">
        <v>2</v>
      </c>
      <c r="QTS73" s="193"/>
      <c r="QTT73" s="255" t="s">
        <v>168</v>
      </c>
      <c r="QTU73" s="263" t="s">
        <v>31</v>
      </c>
      <c r="QTV73" s="254"/>
      <c r="QTW73" s="254"/>
      <c r="QTX73" s="264">
        <v>5.7000000000000002E-2</v>
      </c>
      <c r="QTY73" s="193"/>
      <c r="QTZ73" s="263" t="s">
        <v>2</v>
      </c>
      <c r="QUA73" s="193"/>
      <c r="QUB73" s="255" t="s">
        <v>168</v>
      </c>
      <c r="QUC73" s="263" t="s">
        <v>31</v>
      </c>
      <c r="QUD73" s="254"/>
      <c r="QUE73" s="254"/>
      <c r="QUF73" s="264">
        <v>5.7000000000000002E-2</v>
      </c>
      <c r="QUG73" s="193"/>
      <c r="QUH73" s="263" t="s">
        <v>2</v>
      </c>
      <c r="QUI73" s="193"/>
      <c r="QUJ73" s="255" t="s">
        <v>168</v>
      </c>
      <c r="QUK73" s="263" t="s">
        <v>31</v>
      </c>
      <c r="QUL73" s="254"/>
      <c r="QUM73" s="254"/>
      <c r="QUN73" s="264">
        <v>5.7000000000000002E-2</v>
      </c>
      <c r="QUO73" s="193"/>
      <c r="QUP73" s="263" t="s">
        <v>2</v>
      </c>
      <c r="QUQ73" s="193"/>
      <c r="QUR73" s="255" t="s">
        <v>168</v>
      </c>
      <c r="QUS73" s="263" t="s">
        <v>31</v>
      </c>
      <c r="QUT73" s="254"/>
      <c r="QUU73" s="254"/>
      <c r="QUV73" s="264">
        <v>5.7000000000000002E-2</v>
      </c>
      <c r="QUW73" s="193"/>
      <c r="QUX73" s="263" t="s">
        <v>2</v>
      </c>
      <c r="QUY73" s="193"/>
      <c r="QUZ73" s="255" t="s">
        <v>168</v>
      </c>
      <c r="QVA73" s="263" t="s">
        <v>31</v>
      </c>
      <c r="QVB73" s="254"/>
      <c r="QVC73" s="254"/>
      <c r="QVD73" s="264">
        <v>5.7000000000000002E-2</v>
      </c>
      <c r="QVE73" s="193"/>
      <c r="QVF73" s="263" t="s">
        <v>2</v>
      </c>
      <c r="QVG73" s="193"/>
      <c r="QVH73" s="255" t="s">
        <v>168</v>
      </c>
      <c r="QVI73" s="263" t="s">
        <v>31</v>
      </c>
      <c r="QVJ73" s="254"/>
      <c r="QVK73" s="254"/>
      <c r="QVL73" s="264">
        <v>5.7000000000000002E-2</v>
      </c>
      <c r="QVM73" s="193"/>
      <c r="QVN73" s="263" t="s">
        <v>2</v>
      </c>
      <c r="QVO73" s="193"/>
      <c r="QVP73" s="255" t="s">
        <v>168</v>
      </c>
      <c r="QVQ73" s="263" t="s">
        <v>31</v>
      </c>
      <c r="QVR73" s="254"/>
      <c r="QVS73" s="254"/>
      <c r="QVT73" s="264">
        <v>5.7000000000000002E-2</v>
      </c>
      <c r="QVU73" s="193"/>
      <c r="QVV73" s="263" t="s">
        <v>2</v>
      </c>
      <c r="QVW73" s="193"/>
      <c r="QVX73" s="255" t="s">
        <v>168</v>
      </c>
      <c r="QVY73" s="263" t="s">
        <v>31</v>
      </c>
      <c r="QVZ73" s="254"/>
      <c r="QWA73" s="254"/>
      <c r="QWB73" s="264">
        <v>5.7000000000000002E-2</v>
      </c>
      <c r="QWC73" s="193"/>
      <c r="QWD73" s="263" t="s">
        <v>2</v>
      </c>
      <c r="QWE73" s="193"/>
      <c r="QWF73" s="255" t="s">
        <v>168</v>
      </c>
      <c r="QWG73" s="263" t="s">
        <v>31</v>
      </c>
      <c r="QWH73" s="254"/>
      <c r="QWI73" s="254"/>
      <c r="QWJ73" s="264">
        <v>5.7000000000000002E-2</v>
      </c>
      <c r="QWK73" s="193"/>
      <c r="QWL73" s="263" t="s">
        <v>2</v>
      </c>
      <c r="QWM73" s="193"/>
      <c r="QWN73" s="255" t="s">
        <v>168</v>
      </c>
      <c r="QWO73" s="263" t="s">
        <v>31</v>
      </c>
      <c r="QWP73" s="254"/>
      <c r="QWQ73" s="254"/>
      <c r="QWR73" s="264">
        <v>5.7000000000000002E-2</v>
      </c>
      <c r="QWS73" s="193"/>
      <c r="QWT73" s="263" t="s">
        <v>2</v>
      </c>
      <c r="QWU73" s="193"/>
      <c r="QWV73" s="255" t="s">
        <v>168</v>
      </c>
      <c r="QWW73" s="263" t="s">
        <v>31</v>
      </c>
      <c r="QWX73" s="254"/>
      <c r="QWY73" s="254"/>
      <c r="QWZ73" s="264">
        <v>5.7000000000000002E-2</v>
      </c>
      <c r="QXA73" s="193"/>
      <c r="QXB73" s="263" t="s">
        <v>2</v>
      </c>
      <c r="QXC73" s="193"/>
      <c r="QXD73" s="255" t="s">
        <v>168</v>
      </c>
      <c r="QXE73" s="263" t="s">
        <v>31</v>
      </c>
      <c r="QXF73" s="254"/>
      <c r="QXG73" s="254"/>
      <c r="QXH73" s="264">
        <v>5.7000000000000002E-2</v>
      </c>
      <c r="QXI73" s="193"/>
      <c r="QXJ73" s="263" t="s">
        <v>2</v>
      </c>
      <c r="QXK73" s="193"/>
      <c r="QXL73" s="255" t="s">
        <v>168</v>
      </c>
      <c r="QXM73" s="263" t="s">
        <v>31</v>
      </c>
      <c r="QXN73" s="254"/>
      <c r="QXO73" s="254"/>
      <c r="QXP73" s="264">
        <v>5.7000000000000002E-2</v>
      </c>
      <c r="QXQ73" s="193"/>
      <c r="QXR73" s="263" t="s">
        <v>2</v>
      </c>
      <c r="QXS73" s="193"/>
      <c r="QXT73" s="255" t="s">
        <v>168</v>
      </c>
      <c r="QXU73" s="263" t="s">
        <v>31</v>
      </c>
      <c r="QXV73" s="254"/>
      <c r="QXW73" s="254"/>
      <c r="QXX73" s="264">
        <v>5.7000000000000002E-2</v>
      </c>
      <c r="QXY73" s="193"/>
      <c r="QXZ73" s="263" t="s">
        <v>2</v>
      </c>
      <c r="QYA73" s="193"/>
      <c r="QYB73" s="255" t="s">
        <v>168</v>
      </c>
      <c r="QYC73" s="263" t="s">
        <v>31</v>
      </c>
      <c r="QYD73" s="254"/>
      <c r="QYE73" s="254"/>
      <c r="QYF73" s="264">
        <v>5.7000000000000002E-2</v>
      </c>
      <c r="QYG73" s="193"/>
      <c r="QYH73" s="263" t="s">
        <v>2</v>
      </c>
      <c r="QYI73" s="193"/>
      <c r="QYJ73" s="255" t="s">
        <v>168</v>
      </c>
      <c r="QYK73" s="263" t="s">
        <v>31</v>
      </c>
      <c r="QYL73" s="254"/>
      <c r="QYM73" s="254"/>
      <c r="QYN73" s="264">
        <v>5.7000000000000002E-2</v>
      </c>
      <c r="QYO73" s="193"/>
      <c r="QYP73" s="263" t="s">
        <v>2</v>
      </c>
      <c r="QYQ73" s="193"/>
      <c r="QYR73" s="255" t="s">
        <v>168</v>
      </c>
      <c r="QYS73" s="263" t="s">
        <v>31</v>
      </c>
      <c r="QYT73" s="254"/>
      <c r="QYU73" s="254"/>
      <c r="QYV73" s="264">
        <v>5.7000000000000002E-2</v>
      </c>
      <c r="QYW73" s="193"/>
      <c r="QYX73" s="263" t="s">
        <v>2</v>
      </c>
      <c r="QYY73" s="193"/>
      <c r="QYZ73" s="255" t="s">
        <v>168</v>
      </c>
      <c r="QZA73" s="263" t="s">
        <v>31</v>
      </c>
      <c r="QZB73" s="254"/>
      <c r="QZC73" s="254"/>
      <c r="QZD73" s="264">
        <v>5.7000000000000002E-2</v>
      </c>
      <c r="QZE73" s="193"/>
      <c r="QZF73" s="263" t="s">
        <v>2</v>
      </c>
      <c r="QZG73" s="193"/>
      <c r="QZH73" s="255" t="s">
        <v>168</v>
      </c>
      <c r="QZI73" s="263" t="s">
        <v>31</v>
      </c>
      <c r="QZJ73" s="254"/>
      <c r="QZK73" s="254"/>
      <c r="QZL73" s="264">
        <v>5.7000000000000002E-2</v>
      </c>
      <c r="QZM73" s="193"/>
      <c r="QZN73" s="263" t="s">
        <v>2</v>
      </c>
      <c r="QZO73" s="193"/>
      <c r="QZP73" s="255" t="s">
        <v>168</v>
      </c>
      <c r="QZQ73" s="263" t="s">
        <v>31</v>
      </c>
      <c r="QZR73" s="254"/>
      <c r="QZS73" s="254"/>
      <c r="QZT73" s="264">
        <v>5.7000000000000002E-2</v>
      </c>
      <c r="QZU73" s="193"/>
      <c r="QZV73" s="263" t="s">
        <v>2</v>
      </c>
      <c r="QZW73" s="193"/>
      <c r="QZX73" s="255" t="s">
        <v>168</v>
      </c>
      <c r="QZY73" s="263" t="s">
        <v>31</v>
      </c>
      <c r="QZZ73" s="254"/>
      <c r="RAA73" s="254"/>
      <c r="RAB73" s="264">
        <v>5.7000000000000002E-2</v>
      </c>
      <c r="RAC73" s="193"/>
      <c r="RAD73" s="263" t="s">
        <v>2</v>
      </c>
      <c r="RAE73" s="193"/>
      <c r="RAF73" s="255" t="s">
        <v>168</v>
      </c>
      <c r="RAG73" s="263" t="s">
        <v>31</v>
      </c>
      <c r="RAH73" s="254"/>
      <c r="RAI73" s="254"/>
      <c r="RAJ73" s="264">
        <v>5.7000000000000002E-2</v>
      </c>
      <c r="RAK73" s="193"/>
      <c r="RAL73" s="263" t="s">
        <v>2</v>
      </c>
      <c r="RAM73" s="193"/>
      <c r="RAN73" s="255" t="s">
        <v>168</v>
      </c>
      <c r="RAO73" s="263" t="s">
        <v>31</v>
      </c>
      <c r="RAP73" s="254"/>
      <c r="RAQ73" s="254"/>
      <c r="RAR73" s="264">
        <v>5.7000000000000002E-2</v>
      </c>
      <c r="RAS73" s="193"/>
      <c r="RAT73" s="263" t="s">
        <v>2</v>
      </c>
      <c r="RAU73" s="193"/>
      <c r="RAV73" s="255" t="s">
        <v>168</v>
      </c>
      <c r="RAW73" s="263" t="s">
        <v>31</v>
      </c>
      <c r="RAX73" s="254"/>
      <c r="RAY73" s="254"/>
      <c r="RAZ73" s="264">
        <v>5.7000000000000002E-2</v>
      </c>
      <c r="RBA73" s="193"/>
      <c r="RBB73" s="263" t="s">
        <v>2</v>
      </c>
      <c r="RBC73" s="193"/>
      <c r="RBD73" s="255" t="s">
        <v>168</v>
      </c>
      <c r="RBE73" s="263" t="s">
        <v>31</v>
      </c>
      <c r="RBF73" s="254"/>
      <c r="RBG73" s="254"/>
      <c r="RBH73" s="264">
        <v>5.7000000000000002E-2</v>
      </c>
      <c r="RBI73" s="193"/>
      <c r="RBJ73" s="263" t="s">
        <v>2</v>
      </c>
      <c r="RBK73" s="193"/>
      <c r="RBL73" s="255" t="s">
        <v>168</v>
      </c>
      <c r="RBM73" s="263" t="s">
        <v>31</v>
      </c>
      <c r="RBN73" s="254"/>
      <c r="RBO73" s="254"/>
      <c r="RBP73" s="264">
        <v>5.7000000000000002E-2</v>
      </c>
      <c r="RBQ73" s="193"/>
      <c r="RBR73" s="263" t="s">
        <v>2</v>
      </c>
      <c r="RBS73" s="193"/>
      <c r="RBT73" s="255" t="s">
        <v>168</v>
      </c>
      <c r="RBU73" s="263" t="s">
        <v>31</v>
      </c>
      <c r="RBV73" s="254"/>
      <c r="RBW73" s="254"/>
      <c r="RBX73" s="264">
        <v>5.7000000000000002E-2</v>
      </c>
      <c r="RBY73" s="193"/>
      <c r="RBZ73" s="263" t="s">
        <v>2</v>
      </c>
      <c r="RCA73" s="193"/>
      <c r="RCB73" s="255" t="s">
        <v>168</v>
      </c>
      <c r="RCC73" s="263" t="s">
        <v>31</v>
      </c>
      <c r="RCD73" s="254"/>
      <c r="RCE73" s="254"/>
      <c r="RCF73" s="264">
        <v>5.7000000000000002E-2</v>
      </c>
      <c r="RCG73" s="193"/>
      <c r="RCH73" s="263" t="s">
        <v>2</v>
      </c>
      <c r="RCI73" s="193"/>
      <c r="RCJ73" s="255" t="s">
        <v>168</v>
      </c>
      <c r="RCK73" s="263" t="s">
        <v>31</v>
      </c>
      <c r="RCL73" s="254"/>
      <c r="RCM73" s="254"/>
      <c r="RCN73" s="264">
        <v>5.7000000000000002E-2</v>
      </c>
      <c r="RCO73" s="193"/>
      <c r="RCP73" s="263" t="s">
        <v>2</v>
      </c>
      <c r="RCQ73" s="193"/>
      <c r="RCR73" s="255" t="s">
        <v>168</v>
      </c>
      <c r="RCS73" s="263" t="s">
        <v>31</v>
      </c>
      <c r="RCT73" s="254"/>
      <c r="RCU73" s="254"/>
      <c r="RCV73" s="264">
        <v>5.7000000000000002E-2</v>
      </c>
      <c r="RCW73" s="193"/>
      <c r="RCX73" s="263" t="s">
        <v>2</v>
      </c>
      <c r="RCY73" s="193"/>
      <c r="RCZ73" s="255" t="s">
        <v>168</v>
      </c>
      <c r="RDA73" s="263" t="s">
        <v>31</v>
      </c>
      <c r="RDB73" s="254"/>
      <c r="RDC73" s="254"/>
      <c r="RDD73" s="264">
        <v>5.7000000000000002E-2</v>
      </c>
      <c r="RDE73" s="193"/>
      <c r="RDF73" s="263" t="s">
        <v>2</v>
      </c>
      <c r="RDG73" s="193"/>
      <c r="RDH73" s="255" t="s">
        <v>168</v>
      </c>
      <c r="RDI73" s="263" t="s">
        <v>31</v>
      </c>
      <c r="RDJ73" s="254"/>
      <c r="RDK73" s="254"/>
      <c r="RDL73" s="264">
        <v>5.7000000000000002E-2</v>
      </c>
      <c r="RDM73" s="193"/>
      <c r="RDN73" s="263" t="s">
        <v>2</v>
      </c>
      <c r="RDO73" s="193"/>
      <c r="RDP73" s="255" t="s">
        <v>168</v>
      </c>
      <c r="RDQ73" s="263" t="s">
        <v>31</v>
      </c>
      <c r="RDR73" s="254"/>
      <c r="RDS73" s="254"/>
      <c r="RDT73" s="264">
        <v>5.7000000000000002E-2</v>
      </c>
      <c r="RDU73" s="193"/>
      <c r="RDV73" s="263" t="s">
        <v>2</v>
      </c>
      <c r="RDW73" s="193"/>
      <c r="RDX73" s="255" t="s">
        <v>168</v>
      </c>
      <c r="RDY73" s="263" t="s">
        <v>31</v>
      </c>
      <c r="RDZ73" s="254"/>
      <c r="REA73" s="254"/>
      <c r="REB73" s="264">
        <v>5.7000000000000002E-2</v>
      </c>
      <c r="REC73" s="193"/>
      <c r="RED73" s="263" t="s">
        <v>2</v>
      </c>
      <c r="REE73" s="193"/>
      <c r="REF73" s="255" t="s">
        <v>168</v>
      </c>
      <c r="REG73" s="263" t="s">
        <v>31</v>
      </c>
      <c r="REH73" s="254"/>
      <c r="REI73" s="254"/>
      <c r="REJ73" s="264">
        <v>5.7000000000000002E-2</v>
      </c>
      <c r="REK73" s="193"/>
      <c r="REL73" s="263" t="s">
        <v>2</v>
      </c>
      <c r="REM73" s="193"/>
      <c r="REN73" s="255" t="s">
        <v>168</v>
      </c>
      <c r="REO73" s="263" t="s">
        <v>31</v>
      </c>
      <c r="REP73" s="254"/>
      <c r="REQ73" s="254"/>
      <c r="RER73" s="264">
        <v>5.7000000000000002E-2</v>
      </c>
      <c r="RES73" s="193"/>
      <c r="RET73" s="263" t="s">
        <v>2</v>
      </c>
      <c r="REU73" s="193"/>
      <c r="REV73" s="255" t="s">
        <v>168</v>
      </c>
      <c r="REW73" s="263" t="s">
        <v>31</v>
      </c>
      <c r="REX73" s="254"/>
      <c r="REY73" s="254"/>
      <c r="REZ73" s="264">
        <v>5.7000000000000002E-2</v>
      </c>
      <c r="RFA73" s="193"/>
      <c r="RFB73" s="263" t="s">
        <v>2</v>
      </c>
      <c r="RFC73" s="193"/>
      <c r="RFD73" s="255" t="s">
        <v>168</v>
      </c>
      <c r="RFE73" s="263" t="s">
        <v>31</v>
      </c>
      <c r="RFF73" s="254"/>
      <c r="RFG73" s="254"/>
      <c r="RFH73" s="264">
        <v>5.7000000000000002E-2</v>
      </c>
      <c r="RFI73" s="193"/>
      <c r="RFJ73" s="263" t="s">
        <v>2</v>
      </c>
      <c r="RFK73" s="193"/>
      <c r="RFL73" s="255" t="s">
        <v>168</v>
      </c>
      <c r="RFM73" s="263" t="s">
        <v>31</v>
      </c>
      <c r="RFN73" s="254"/>
      <c r="RFO73" s="254"/>
      <c r="RFP73" s="264">
        <v>5.7000000000000002E-2</v>
      </c>
      <c r="RFQ73" s="193"/>
      <c r="RFR73" s="263" t="s">
        <v>2</v>
      </c>
      <c r="RFS73" s="193"/>
      <c r="RFT73" s="255" t="s">
        <v>168</v>
      </c>
      <c r="RFU73" s="263" t="s">
        <v>31</v>
      </c>
      <c r="RFV73" s="254"/>
      <c r="RFW73" s="254"/>
      <c r="RFX73" s="264">
        <v>5.7000000000000002E-2</v>
      </c>
      <c r="RFY73" s="193"/>
      <c r="RFZ73" s="263" t="s">
        <v>2</v>
      </c>
      <c r="RGA73" s="193"/>
      <c r="RGB73" s="255" t="s">
        <v>168</v>
      </c>
      <c r="RGC73" s="263" t="s">
        <v>31</v>
      </c>
      <c r="RGD73" s="254"/>
      <c r="RGE73" s="254"/>
      <c r="RGF73" s="264">
        <v>5.7000000000000002E-2</v>
      </c>
      <c r="RGG73" s="193"/>
      <c r="RGH73" s="263" t="s">
        <v>2</v>
      </c>
      <c r="RGI73" s="193"/>
      <c r="RGJ73" s="255" t="s">
        <v>168</v>
      </c>
      <c r="RGK73" s="263" t="s">
        <v>31</v>
      </c>
      <c r="RGL73" s="254"/>
      <c r="RGM73" s="254"/>
      <c r="RGN73" s="264">
        <v>5.7000000000000002E-2</v>
      </c>
      <c r="RGO73" s="193"/>
      <c r="RGP73" s="263" t="s">
        <v>2</v>
      </c>
      <c r="RGQ73" s="193"/>
      <c r="RGR73" s="255" t="s">
        <v>168</v>
      </c>
      <c r="RGS73" s="263" t="s">
        <v>31</v>
      </c>
      <c r="RGT73" s="254"/>
      <c r="RGU73" s="254"/>
      <c r="RGV73" s="264">
        <v>5.7000000000000002E-2</v>
      </c>
      <c r="RGW73" s="193"/>
      <c r="RGX73" s="263" t="s">
        <v>2</v>
      </c>
      <c r="RGY73" s="193"/>
      <c r="RGZ73" s="255" t="s">
        <v>168</v>
      </c>
      <c r="RHA73" s="263" t="s">
        <v>31</v>
      </c>
      <c r="RHB73" s="254"/>
      <c r="RHC73" s="254"/>
      <c r="RHD73" s="264">
        <v>5.7000000000000002E-2</v>
      </c>
      <c r="RHE73" s="193"/>
      <c r="RHF73" s="263" t="s">
        <v>2</v>
      </c>
      <c r="RHG73" s="193"/>
      <c r="RHH73" s="255" t="s">
        <v>168</v>
      </c>
      <c r="RHI73" s="263" t="s">
        <v>31</v>
      </c>
      <c r="RHJ73" s="254"/>
      <c r="RHK73" s="254"/>
      <c r="RHL73" s="264">
        <v>5.7000000000000002E-2</v>
      </c>
      <c r="RHM73" s="193"/>
      <c r="RHN73" s="263" t="s">
        <v>2</v>
      </c>
      <c r="RHO73" s="193"/>
      <c r="RHP73" s="255" t="s">
        <v>168</v>
      </c>
      <c r="RHQ73" s="263" t="s">
        <v>31</v>
      </c>
      <c r="RHR73" s="254"/>
      <c r="RHS73" s="254"/>
      <c r="RHT73" s="264">
        <v>5.7000000000000002E-2</v>
      </c>
      <c r="RHU73" s="193"/>
      <c r="RHV73" s="263" t="s">
        <v>2</v>
      </c>
      <c r="RHW73" s="193"/>
      <c r="RHX73" s="255" t="s">
        <v>168</v>
      </c>
      <c r="RHY73" s="263" t="s">
        <v>31</v>
      </c>
      <c r="RHZ73" s="254"/>
      <c r="RIA73" s="254"/>
      <c r="RIB73" s="264">
        <v>5.7000000000000002E-2</v>
      </c>
      <c r="RIC73" s="193"/>
      <c r="RID73" s="263" t="s">
        <v>2</v>
      </c>
      <c r="RIE73" s="193"/>
      <c r="RIF73" s="255" t="s">
        <v>168</v>
      </c>
      <c r="RIG73" s="263" t="s">
        <v>31</v>
      </c>
      <c r="RIH73" s="254"/>
      <c r="RII73" s="254"/>
      <c r="RIJ73" s="264">
        <v>5.7000000000000002E-2</v>
      </c>
      <c r="RIK73" s="193"/>
      <c r="RIL73" s="263" t="s">
        <v>2</v>
      </c>
      <c r="RIM73" s="193"/>
      <c r="RIN73" s="255" t="s">
        <v>168</v>
      </c>
      <c r="RIO73" s="263" t="s">
        <v>31</v>
      </c>
      <c r="RIP73" s="254"/>
      <c r="RIQ73" s="254"/>
      <c r="RIR73" s="264">
        <v>5.7000000000000002E-2</v>
      </c>
      <c r="RIS73" s="193"/>
      <c r="RIT73" s="263" t="s">
        <v>2</v>
      </c>
      <c r="RIU73" s="193"/>
      <c r="RIV73" s="255" t="s">
        <v>168</v>
      </c>
      <c r="RIW73" s="263" t="s">
        <v>31</v>
      </c>
      <c r="RIX73" s="254"/>
      <c r="RIY73" s="254"/>
      <c r="RIZ73" s="264">
        <v>5.7000000000000002E-2</v>
      </c>
      <c r="RJA73" s="193"/>
      <c r="RJB73" s="263" t="s">
        <v>2</v>
      </c>
      <c r="RJC73" s="193"/>
      <c r="RJD73" s="255" t="s">
        <v>168</v>
      </c>
      <c r="RJE73" s="263" t="s">
        <v>31</v>
      </c>
      <c r="RJF73" s="254"/>
      <c r="RJG73" s="254"/>
      <c r="RJH73" s="264">
        <v>5.7000000000000002E-2</v>
      </c>
      <c r="RJI73" s="193"/>
      <c r="RJJ73" s="263" t="s">
        <v>2</v>
      </c>
      <c r="RJK73" s="193"/>
      <c r="RJL73" s="255" t="s">
        <v>168</v>
      </c>
      <c r="RJM73" s="263" t="s">
        <v>31</v>
      </c>
      <c r="RJN73" s="254"/>
      <c r="RJO73" s="254"/>
      <c r="RJP73" s="264">
        <v>5.7000000000000002E-2</v>
      </c>
      <c r="RJQ73" s="193"/>
      <c r="RJR73" s="263" t="s">
        <v>2</v>
      </c>
      <c r="RJS73" s="193"/>
      <c r="RJT73" s="255" t="s">
        <v>168</v>
      </c>
      <c r="RJU73" s="263" t="s">
        <v>31</v>
      </c>
      <c r="RJV73" s="254"/>
      <c r="RJW73" s="254"/>
      <c r="RJX73" s="264">
        <v>5.7000000000000002E-2</v>
      </c>
      <c r="RJY73" s="193"/>
      <c r="RJZ73" s="263" t="s">
        <v>2</v>
      </c>
      <c r="RKA73" s="193"/>
      <c r="RKB73" s="255" t="s">
        <v>168</v>
      </c>
      <c r="RKC73" s="263" t="s">
        <v>31</v>
      </c>
      <c r="RKD73" s="254"/>
      <c r="RKE73" s="254"/>
      <c r="RKF73" s="264">
        <v>5.7000000000000002E-2</v>
      </c>
      <c r="RKG73" s="193"/>
      <c r="RKH73" s="263" t="s">
        <v>2</v>
      </c>
      <c r="RKI73" s="193"/>
      <c r="RKJ73" s="255" t="s">
        <v>168</v>
      </c>
      <c r="RKK73" s="263" t="s">
        <v>31</v>
      </c>
      <c r="RKL73" s="254"/>
      <c r="RKM73" s="254"/>
      <c r="RKN73" s="264">
        <v>5.7000000000000002E-2</v>
      </c>
      <c r="RKO73" s="193"/>
      <c r="RKP73" s="263" t="s">
        <v>2</v>
      </c>
      <c r="RKQ73" s="193"/>
      <c r="RKR73" s="255" t="s">
        <v>168</v>
      </c>
      <c r="RKS73" s="263" t="s">
        <v>31</v>
      </c>
      <c r="RKT73" s="254"/>
      <c r="RKU73" s="254"/>
      <c r="RKV73" s="264">
        <v>5.7000000000000002E-2</v>
      </c>
      <c r="RKW73" s="193"/>
      <c r="RKX73" s="263" t="s">
        <v>2</v>
      </c>
      <c r="RKY73" s="193"/>
      <c r="RKZ73" s="255" t="s">
        <v>168</v>
      </c>
      <c r="RLA73" s="263" t="s">
        <v>31</v>
      </c>
      <c r="RLB73" s="254"/>
      <c r="RLC73" s="254"/>
      <c r="RLD73" s="264">
        <v>5.7000000000000002E-2</v>
      </c>
      <c r="RLE73" s="193"/>
      <c r="RLF73" s="263" t="s">
        <v>2</v>
      </c>
      <c r="RLG73" s="193"/>
      <c r="RLH73" s="255" t="s">
        <v>168</v>
      </c>
      <c r="RLI73" s="263" t="s">
        <v>31</v>
      </c>
      <c r="RLJ73" s="254"/>
      <c r="RLK73" s="254"/>
      <c r="RLL73" s="264">
        <v>5.7000000000000002E-2</v>
      </c>
      <c r="RLM73" s="193"/>
      <c r="RLN73" s="263" t="s">
        <v>2</v>
      </c>
      <c r="RLO73" s="193"/>
      <c r="RLP73" s="255" t="s">
        <v>168</v>
      </c>
      <c r="RLQ73" s="263" t="s">
        <v>31</v>
      </c>
      <c r="RLR73" s="254"/>
      <c r="RLS73" s="254"/>
      <c r="RLT73" s="264">
        <v>5.7000000000000002E-2</v>
      </c>
      <c r="RLU73" s="193"/>
      <c r="RLV73" s="263" t="s">
        <v>2</v>
      </c>
      <c r="RLW73" s="193"/>
      <c r="RLX73" s="255" t="s">
        <v>168</v>
      </c>
      <c r="RLY73" s="263" t="s">
        <v>31</v>
      </c>
      <c r="RLZ73" s="254"/>
      <c r="RMA73" s="254"/>
      <c r="RMB73" s="264">
        <v>5.7000000000000002E-2</v>
      </c>
      <c r="RMC73" s="193"/>
      <c r="RMD73" s="263" t="s">
        <v>2</v>
      </c>
      <c r="RME73" s="193"/>
      <c r="RMF73" s="255" t="s">
        <v>168</v>
      </c>
      <c r="RMG73" s="263" t="s">
        <v>31</v>
      </c>
      <c r="RMH73" s="254"/>
      <c r="RMI73" s="254"/>
      <c r="RMJ73" s="264">
        <v>5.7000000000000002E-2</v>
      </c>
      <c r="RMK73" s="193"/>
      <c r="RML73" s="263" t="s">
        <v>2</v>
      </c>
      <c r="RMM73" s="193"/>
      <c r="RMN73" s="255" t="s">
        <v>168</v>
      </c>
      <c r="RMO73" s="263" t="s">
        <v>31</v>
      </c>
      <c r="RMP73" s="254"/>
      <c r="RMQ73" s="254"/>
      <c r="RMR73" s="264">
        <v>5.7000000000000002E-2</v>
      </c>
      <c r="RMS73" s="193"/>
      <c r="RMT73" s="263" t="s">
        <v>2</v>
      </c>
      <c r="RMU73" s="193"/>
      <c r="RMV73" s="255" t="s">
        <v>168</v>
      </c>
      <c r="RMW73" s="263" t="s">
        <v>31</v>
      </c>
      <c r="RMX73" s="254"/>
      <c r="RMY73" s="254"/>
      <c r="RMZ73" s="264">
        <v>5.7000000000000002E-2</v>
      </c>
      <c r="RNA73" s="193"/>
      <c r="RNB73" s="263" t="s">
        <v>2</v>
      </c>
      <c r="RNC73" s="193"/>
      <c r="RND73" s="255" t="s">
        <v>168</v>
      </c>
      <c r="RNE73" s="263" t="s">
        <v>31</v>
      </c>
      <c r="RNF73" s="254"/>
      <c r="RNG73" s="254"/>
      <c r="RNH73" s="264">
        <v>5.7000000000000002E-2</v>
      </c>
      <c r="RNI73" s="193"/>
      <c r="RNJ73" s="263" t="s">
        <v>2</v>
      </c>
      <c r="RNK73" s="193"/>
      <c r="RNL73" s="255" t="s">
        <v>168</v>
      </c>
      <c r="RNM73" s="263" t="s">
        <v>31</v>
      </c>
      <c r="RNN73" s="254"/>
      <c r="RNO73" s="254"/>
      <c r="RNP73" s="264">
        <v>5.7000000000000002E-2</v>
      </c>
      <c r="RNQ73" s="193"/>
      <c r="RNR73" s="263" t="s">
        <v>2</v>
      </c>
      <c r="RNS73" s="193"/>
      <c r="RNT73" s="255" t="s">
        <v>168</v>
      </c>
      <c r="RNU73" s="263" t="s">
        <v>31</v>
      </c>
      <c r="RNV73" s="254"/>
      <c r="RNW73" s="254"/>
      <c r="RNX73" s="264">
        <v>5.7000000000000002E-2</v>
      </c>
      <c r="RNY73" s="193"/>
      <c r="RNZ73" s="263" t="s">
        <v>2</v>
      </c>
      <c r="ROA73" s="193"/>
      <c r="ROB73" s="255" t="s">
        <v>168</v>
      </c>
      <c r="ROC73" s="263" t="s">
        <v>31</v>
      </c>
      <c r="ROD73" s="254"/>
      <c r="ROE73" s="254"/>
      <c r="ROF73" s="264">
        <v>5.7000000000000002E-2</v>
      </c>
      <c r="ROG73" s="193"/>
      <c r="ROH73" s="263" t="s">
        <v>2</v>
      </c>
      <c r="ROI73" s="193"/>
      <c r="ROJ73" s="255" t="s">
        <v>168</v>
      </c>
      <c r="ROK73" s="263" t="s">
        <v>31</v>
      </c>
      <c r="ROL73" s="254"/>
      <c r="ROM73" s="254"/>
      <c r="RON73" s="264">
        <v>5.7000000000000002E-2</v>
      </c>
      <c r="ROO73" s="193"/>
      <c r="ROP73" s="263" t="s">
        <v>2</v>
      </c>
      <c r="ROQ73" s="193"/>
      <c r="ROR73" s="255" t="s">
        <v>168</v>
      </c>
      <c r="ROS73" s="263" t="s">
        <v>31</v>
      </c>
      <c r="ROT73" s="254"/>
      <c r="ROU73" s="254"/>
      <c r="ROV73" s="264">
        <v>5.7000000000000002E-2</v>
      </c>
      <c r="ROW73" s="193"/>
      <c r="ROX73" s="263" t="s">
        <v>2</v>
      </c>
      <c r="ROY73" s="193"/>
      <c r="ROZ73" s="255" t="s">
        <v>168</v>
      </c>
      <c r="RPA73" s="263" t="s">
        <v>31</v>
      </c>
      <c r="RPB73" s="254"/>
      <c r="RPC73" s="254"/>
      <c r="RPD73" s="264">
        <v>5.7000000000000002E-2</v>
      </c>
      <c r="RPE73" s="193"/>
      <c r="RPF73" s="263" t="s">
        <v>2</v>
      </c>
      <c r="RPG73" s="193"/>
      <c r="RPH73" s="255" t="s">
        <v>168</v>
      </c>
      <c r="RPI73" s="263" t="s">
        <v>31</v>
      </c>
      <c r="RPJ73" s="254"/>
      <c r="RPK73" s="254"/>
      <c r="RPL73" s="264">
        <v>5.7000000000000002E-2</v>
      </c>
      <c r="RPM73" s="193"/>
      <c r="RPN73" s="263" t="s">
        <v>2</v>
      </c>
      <c r="RPO73" s="193"/>
      <c r="RPP73" s="255" t="s">
        <v>168</v>
      </c>
      <c r="RPQ73" s="263" t="s">
        <v>31</v>
      </c>
      <c r="RPR73" s="254"/>
      <c r="RPS73" s="254"/>
      <c r="RPT73" s="264">
        <v>5.7000000000000002E-2</v>
      </c>
      <c r="RPU73" s="193"/>
      <c r="RPV73" s="263" t="s">
        <v>2</v>
      </c>
      <c r="RPW73" s="193"/>
      <c r="RPX73" s="255" t="s">
        <v>168</v>
      </c>
      <c r="RPY73" s="263" t="s">
        <v>31</v>
      </c>
      <c r="RPZ73" s="254"/>
      <c r="RQA73" s="254"/>
      <c r="RQB73" s="264">
        <v>5.7000000000000002E-2</v>
      </c>
      <c r="RQC73" s="193"/>
      <c r="RQD73" s="263" t="s">
        <v>2</v>
      </c>
      <c r="RQE73" s="193"/>
      <c r="RQF73" s="255" t="s">
        <v>168</v>
      </c>
      <c r="RQG73" s="263" t="s">
        <v>31</v>
      </c>
      <c r="RQH73" s="254"/>
      <c r="RQI73" s="254"/>
      <c r="RQJ73" s="264">
        <v>5.7000000000000002E-2</v>
      </c>
      <c r="RQK73" s="193"/>
      <c r="RQL73" s="263" t="s">
        <v>2</v>
      </c>
      <c r="RQM73" s="193"/>
      <c r="RQN73" s="255" t="s">
        <v>168</v>
      </c>
      <c r="RQO73" s="263" t="s">
        <v>31</v>
      </c>
      <c r="RQP73" s="254"/>
      <c r="RQQ73" s="254"/>
      <c r="RQR73" s="264">
        <v>5.7000000000000002E-2</v>
      </c>
      <c r="RQS73" s="193"/>
      <c r="RQT73" s="263" t="s">
        <v>2</v>
      </c>
      <c r="RQU73" s="193"/>
      <c r="RQV73" s="255" t="s">
        <v>168</v>
      </c>
      <c r="RQW73" s="263" t="s">
        <v>31</v>
      </c>
      <c r="RQX73" s="254"/>
      <c r="RQY73" s="254"/>
      <c r="RQZ73" s="264">
        <v>5.7000000000000002E-2</v>
      </c>
      <c r="RRA73" s="193"/>
      <c r="RRB73" s="263" t="s">
        <v>2</v>
      </c>
      <c r="RRC73" s="193"/>
      <c r="RRD73" s="255" t="s">
        <v>168</v>
      </c>
      <c r="RRE73" s="263" t="s">
        <v>31</v>
      </c>
      <c r="RRF73" s="254"/>
      <c r="RRG73" s="254"/>
      <c r="RRH73" s="264">
        <v>5.7000000000000002E-2</v>
      </c>
      <c r="RRI73" s="193"/>
      <c r="RRJ73" s="263" t="s">
        <v>2</v>
      </c>
      <c r="RRK73" s="193"/>
      <c r="RRL73" s="255" t="s">
        <v>168</v>
      </c>
      <c r="RRM73" s="263" t="s">
        <v>31</v>
      </c>
      <c r="RRN73" s="254"/>
      <c r="RRO73" s="254"/>
      <c r="RRP73" s="264">
        <v>5.7000000000000002E-2</v>
      </c>
      <c r="RRQ73" s="193"/>
      <c r="RRR73" s="263" t="s">
        <v>2</v>
      </c>
      <c r="RRS73" s="193"/>
      <c r="RRT73" s="255" t="s">
        <v>168</v>
      </c>
      <c r="RRU73" s="263" t="s">
        <v>31</v>
      </c>
      <c r="RRV73" s="254"/>
      <c r="RRW73" s="254"/>
      <c r="RRX73" s="264">
        <v>5.7000000000000002E-2</v>
      </c>
      <c r="RRY73" s="193"/>
      <c r="RRZ73" s="263" t="s">
        <v>2</v>
      </c>
      <c r="RSA73" s="193"/>
      <c r="RSB73" s="255" t="s">
        <v>168</v>
      </c>
      <c r="RSC73" s="263" t="s">
        <v>31</v>
      </c>
      <c r="RSD73" s="254"/>
      <c r="RSE73" s="254"/>
      <c r="RSF73" s="264">
        <v>5.7000000000000002E-2</v>
      </c>
      <c r="RSG73" s="193"/>
      <c r="RSH73" s="263" t="s">
        <v>2</v>
      </c>
      <c r="RSI73" s="193"/>
      <c r="RSJ73" s="255" t="s">
        <v>168</v>
      </c>
      <c r="RSK73" s="263" t="s">
        <v>31</v>
      </c>
      <c r="RSL73" s="254"/>
      <c r="RSM73" s="254"/>
      <c r="RSN73" s="264">
        <v>5.7000000000000002E-2</v>
      </c>
      <c r="RSO73" s="193"/>
      <c r="RSP73" s="263" t="s">
        <v>2</v>
      </c>
      <c r="RSQ73" s="193"/>
      <c r="RSR73" s="255" t="s">
        <v>168</v>
      </c>
      <c r="RSS73" s="263" t="s">
        <v>31</v>
      </c>
      <c r="RST73" s="254"/>
      <c r="RSU73" s="254"/>
      <c r="RSV73" s="264">
        <v>5.7000000000000002E-2</v>
      </c>
      <c r="RSW73" s="193"/>
      <c r="RSX73" s="263" t="s">
        <v>2</v>
      </c>
      <c r="RSY73" s="193"/>
      <c r="RSZ73" s="255" t="s">
        <v>168</v>
      </c>
      <c r="RTA73" s="263" t="s">
        <v>31</v>
      </c>
      <c r="RTB73" s="254"/>
      <c r="RTC73" s="254"/>
      <c r="RTD73" s="264">
        <v>5.7000000000000002E-2</v>
      </c>
      <c r="RTE73" s="193"/>
      <c r="RTF73" s="263" t="s">
        <v>2</v>
      </c>
      <c r="RTG73" s="193"/>
      <c r="RTH73" s="255" t="s">
        <v>168</v>
      </c>
      <c r="RTI73" s="263" t="s">
        <v>31</v>
      </c>
      <c r="RTJ73" s="254"/>
      <c r="RTK73" s="254"/>
      <c r="RTL73" s="264">
        <v>5.7000000000000002E-2</v>
      </c>
      <c r="RTM73" s="193"/>
      <c r="RTN73" s="263" t="s">
        <v>2</v>
      </c>
      <c r="RTO73" s="193"/>
      <c r="RTP73" s="255" t="s">
        <v>168</v>
      </c>
      <c r="RTQ73" s="263" t="s">
        <v>31</v>
      </c>
      <c r="RTR73" s="254"/>
      <c r="RTS73" s="254"/>
      <c r="RTT73" s="264">
        <v>5.7000000000000002E-2</v>
      </c>
      <c r="RTU73" s="193"/>
      <c r="RTV73" s="263" t="s">
        <v>2</v>
      </c>
      <c r="RTW73" s="193"/>
      <c r="RTX73" s="255" t="s">
        <v>168</v>
      </c>
      <c r="RTY73" s="263" t="s">
        <v>31</v>
      </c>
      <c r="RTZ73" s="254"/>
      <c r="RUA73" s="254"/>
      <c r="RUB73" s="264">
        <v>5.7000000000000002E-2</v>
      </c>
      <c r="RUC73" s="193"/>
      <c r="RUD73" s="263" t="s">
        <v>2</v>
      </c>
      <c r="RUE73" s="193"/>
      <c r="RUF73" s="255" t="s">
        <v>168</v>
      </c>
      <c r="RUG73" s="263" t="s">
        <v>31</v>
      </c>
      <c r="RUH73" s="254"/>
      <c r="RUI73" s="254"/>
      <c r="RUJ73" s="264">
        <v>5.7000000000000002E-2</v>
      </c>
      <c r="RUK73" s="193"/>
      <c r="RUL73" s="263" t="s">
        <v>2</v>
      </c>
      <c r="RUM73" s="193"/>
      <c r="RUN73" s="255" t="s">
        <v>168</v>
      </c>
      <c r="RUO73" s="263" t="s">
        <v>31</v>
      </c>
      <c r="RUP73" s="254"/>
      <c r="RUQ73" s="254"/>
      <c r="RUR73" s="264">
        <v>5.7000000000000002E-2</v>
      </c>
      <c r="RUS73" s="193"/>
      <c r="RUT73" s="263" t="s">
        <v>2</v>
      </c>
      <c r="RUU73" s="193"/>
      <c r="RUV73" s="255" t="s">
        <v>168</v>
      </c>
      <c r="RUW73" s="263" t="s">
        <v>31</v>
      </c>
      <c r="RUX73" s="254"/>
      <c r="RUY73" s="254"/>
      <c r="RUZ73" s="264">
        <v>5.7000000000000002E-2</v>
      </c>
      <c r="RVA73" s="193"/>
      <c r="RVB73" s="263" t="s">
        <v>2</v>
      </c>
      <c r="RVC73" s="193"/>
      <c r="RVD73" s="255" t="s">
        <v>168</v>
      </c>
      <c r="RVE73" s="263" t="s">
        <v>31</v>
      </c>
      <c r="RVF73" s="254"/>
      <c r="RVG73" s="254"/>
      <c r="RVH73" s="264">
        <v>5.7000000000000002E-2</v>
      </c>
      <c r="RVI73" s="193"/>
      <c r="RVJ73" s="263" t="s">
        <v>2</v>
      </c>
      <c r="RVK73" s="193"/>
      <c r="RVL73" s="255" t="s">
        <v>168</v>
      </c>
      <c r="RVM73" s="263" t="s">
        <v>31</v>
      </c>
      <c r="RVN73" s="254"/>
      <c r="RVO73" s="254"/>
      <c r="RVP73" s="264">
        <v>5.7000000000000002E-2</v>
      </c>
      <c r="RVQ73" s="193"/>
      <c r="RVR73" s="263" t="s">
        <v>2</v>
      </c>
      <c r="RVS73" s="193"/>
      <c r="RVT73" s="255" t="s">
        <v>168</v>
      </c>
      <c r="RVU73" s="263" t="s">
        <v>31</v>
      </c>
      <c r="RVV73" s="254"/>
      <c r="RVW73" s="254"/>
      <c r="RVX73" s="264">
        <v>5.7000000000000002E-2</v>
      </c>
      <c r="RVY73" s="193"/>
      <c r="RVZ73" s="263" t="s">
        <v>2</v>
      </c>
      <c r="RWA73" s="193"/>
      <c r="RWB73" s="255" t="s">
        <v>168</v>
      </c>
      <c r="RWC73" s="263" t="s">
        <v>31</v>
      </c>
      <c r="RWD73" s="254"/>
      <c r="RWE73" s="254"/>
      <c r="RWF73" s="264">
        <v>5.7000000000000002E-2</v>
      </c>
      <c r="RWG73" s="193"/>
      <c r="RWH73" s="263" t="s">
        <v>2</v>
      </c>
      <c r="RWI73" s="193"/>
      <c r="RWJ73" s="255" t="s">
        <v>168</v>
      </c>
      <c r="RWK73" s="263" t="s">
        <v>31</v>
      </c>
      <c r="RWL73" s="254"/>
      <c r="RWM73" s="254"/>
      <c r="RWN73" s="264">
        <v>5.7000000000000002E-2</v>
      </c>
      <c r="RWO73" s="193"/>
      <c r="RWP73" s="263" t="s">
        <v>2</v>
      </c>
      <c r="RWQ73" s="193"/>
      <c r="RWR73" s="255" t="s">
        <v>168</v>
      </c>
      <c r="RWS73" s="263" t="s">
        <v>31</v>
      </c>
      <c r="RWT73" s="254"/>
      <c r="RWU73" s="254"/>
      <c r="RWV73" s="264">
        <v>5.7000000000000002E-2</v>
      </c>
      <c r="RWW73" s="193"/>
      <c r="RWX73" s="263" t="s">
        <v>2</v>
      </c>
      <c r="RWY73" s="193"/>
      <c r="RWZ73" s="255" t="s">
        <v>168</v>
      </c>
      <c r="RXA73" s="263" t="s">
        <v>31</v>
      </c>
      <c r="RXB73" s="254"/>
      <c r="RXC73" s="254"/>
      <c r="RXD73" s="264">
        <v>5.7000000000000002E-2</v>
      </c>
      <c r="RXE73" s="193"/>
      <c r="RXF73" s="263" t="s">
        <v>2</v>
      </c>
      <c r="RXG73" s="193"/>
      <c r="RXH73" s="255" t="s">
        <v>168</v>
      </c>
      <c r="RXI73" s="263" t="s">
        <v>31</v>
      </c>
      <c r="RXJ73" s="254"/>
      <c r="RXK73" s="254"/>
      <c r="RXL73" s="264">
        <v>5.7000000000000002E-2</v>
      </c>
      <c r="RXM73" s="193"/>
      <c r="RXN73" s="263" t="s">
        <v>2</v>
      </c>
      <c r="RXO73" s="193"/>
      <c r="RXP73" s="255" t="s">
        <v>168</v>
      </c>
      <c r="RXQ73" s="263" t="s">
        <v>31</v>
      </c>
      <c r="RXR73" s="254"/>
      <c r="RXS73" s="254"/>
      <c r="RXT73" s="264">
        <v>5.7000000000000002E-2</v>
      </c>
      <c r="RXU73" s="193"/>
      <c r="RXV73" s="263" t="s">
        <v>2</v>
      </c>
      <c r="RXW73" s="193"/>
      <c r="RXX73" s="255" t="s">
        <v>168</v>
      </c>
      <c r="RXY73" s="263" t="s">
        <v>31</v>
      </c>
      <c r="RXZ73" s="254"/>
      <c r="RYA73" s="254"/>
      <c r="RYB73" s="264">
        <v>5.7000000000000002E-2</v>
      </c>
      <c r="RYC73" s="193"/>
      <c r="RYD73" s="263" t="s">
        <v>2</v>
      </c>
      <c r="RYE73" s="193"/>
      <c r="RYF73" s="255" t="s">
        <v>168</v>
      </c>
      <c r="RYG73" s="263" t="s">
        <v>31</v>
      </c>
      <c r="RYH73" s="254"/>
      <c r="RYI73" s="254"/>
      <c r="RYJ73" s="264">
        <v>5.7000000000000002E-2</v>
      </c>
      <c r="RYK73" s="193"/>
      <c r="RYL73" s="263" t="s">
        <v>2</v>
      </c>
      <c r="RYM73" s="193"/>
      <c r="RYN73" s="255" t="s">
        <v>168</v>
      </c>
      <c r="RYO73" s="263" t="s">
        <v>31</v>
      </c>
      <c r="RYP73" s="254"/>
      <c r="RYQ73" s="254"/>
      <c r="RYR73" s="264">
        <v>5.7000000000000002E-2</v>
      </c>
      <c r="RYS73" s="193"/>
      <c r="RYT73" s="263" t="s">
        <v>2</v>
      </c>
      <c r="RYU73" s="193"/>
      <c r="RYV73" s="255" t="s">
        <v>168</v>
      </c>
      <c r="RYW73" s="263" t="s">
        <v>31</v>
      </c>
      <c r="RYX73" s="254"/>
      <c r="RYY73" s="254"/>
      <c r="RYZ73" s="264">
        <v>5.7000000000000002E-2</v>
      </c>
      <c r="RZA73" s="193"/>
      <c r="RZB73" s="263" t="s">
        <v>2</v>
      </c>
      <c r="RZC73" s="193"/>
      <c r="RZD73" s="255" t="s">
        <v>168</v>
      </c>
      <c r="RZE73" s="263" t="s">
        <v>31</v>
      </c>
      <c r="RZF73" s="254"/>
      <c r="RZG73" s="254"/>
      <c r="RZH73" s="264">
        <v>5.7000000000000002E-2</v>
      </c>
      <c r="RZI73" s="193"/>
      <c r="RZJ73" s="263" t="s">
        <v>2</v>
      </c>
      <c r="RZK73" s="193"/>
      <c r="RZL73" s="255" t="s">
        <v>168</v>
      </c>
      <c r="RZM73" s="263" t="s">
        <v>31</v>
      </c>
      <c r="RZN73" s="254"/>
      <c r="RZO73" s="254"/>
      <c r="RZP73" s="264">
        <v>5.7000000000000002E-2</v>
      </c>
      <c r="RZQ73" s="193"/>
      <c r="RZR73" s="263" t="s">
        <v>2</v>
      </c>
      <c r="RZS73" s="193"/>
      <c r="RZT73" s="255" t="s">
        <v>168</v>
      </c>
      <c r="RZU73" s="263" t="s">
        <v>31</v>
      </c>
      <c r="RZV73" s="254"/>
      <c r="RZW73" s="254"/>
      <c r="RZX73" s="264">
        <v>5.7000000000000002E-2</v>
      </c>
      <c r="RZY73" s="193"/>
      <c r="RZZ73" s="263" t="s">
        <v>2</v>
      </c>
      <c r="SAA73" s="193"/>
      <c r="SAB73" s="255" t="s">
        <v>168</v>
      </c>
      <c r="SAC73" s="263" t="s">
        <v>31</v>
      </c>
      <c r="SAD73" s="254"/>
      <c r="SAE73" s="254"/>
      <c r="SAF73" s="264">
        <v>5.7000000000000002E-2</v>
      </c>
      <c r="SAG73" s="193"/>
      <c r="SAH73" s="263" t="s">
        <v>2</v>
      </c>
      <c r="SAI73" s="193"/>
      <c r="SAJ73" s="255" t="s">
        <v>168</v>
      </c>
      <c r="SAK73" s="263" t="s">
        <v>31</v>
      </c>
      <c r="SAL73" s="254"/>
      <c r="SAM73" s="254"/>
      <c r="SAN73" s="264">
        <v>5.7000000000000002E-2</v>
      </c>
      <c r="SAO73" s="193"/>
      <c r="SAP73" s="263" t="s">
        <v>2</v>
      </c>
      <c r="SAQ73" s="193"/>
      <c r="SAR73" s="255" t="s">
        <v>168</v>
      </c>
      <c r="SAS73" s="263" t="s">
        <v>31</v>
      </c>
      <c r="SAT73" s="254"/>
      <c r="SAU73" s="254"/>
      <c r="SAV73" s="264">
        <v>5.7000000000000002E-2</v>
      </c>
      <c r="SAW73" s="193"/>
      <c r="SAX73" s="263" t="s">
        <v>2</v>
      </c>
      <c r="SAY73" s="193"/>
      <c r="SAZ73" s="255" t="s">
        <v>168</v>
      </c>
      <c r="SBA73" s="263" t="s">
        <v>31</v>
      </c>
      <c r="SBB73" s="254"/>
      <c r="SBC73" s="254"/>
      <c r="SBD73" s="264">
        <v>5.7000000000000002E-2</v>
      </c>
      <c r="SBE73" s="193"/>
      <c r="SBF73" s="263" t="s">
        <v>2</v>
      </c>
      <c r="SBG73" s="193"/>
      <c r="SBH73" s="255" t="s">
        <v>168</v>
      </c>
      <c r="SBI73" s="263" t="s">
        <v>31</v>
      </c>
      <c r="SBJ73" s="254"/>
      <c r="SBK73" s="254"/>
      <c r="SBL73" s="264">
        <v>5.7000000000000002E-2</v>
      </c>
      <c r="SBM73" s="193"/>
      <c r="SBN73" s="263" t="s">
        <v>2</v>
      </c>
      <c r="SBO73" s="193"/>
      <c r="SBP73" s="255" t="s">
        <v>168</v>
      </c>
      <c r="SBQ73" s="263" t="s">
        <v>31</v>
      </c>
      <c r="SBR73" s="254"/>
      <c r="SBS73" s="254"/>
      <c r="SBT73" s="264">
        <v>5.7000000000000002E-2</v>
      </c>
      <c r="SBU73" s="193"/>
      <c r="SBV73" s="263" t="s">
        <v>2</v>
      </c>
      <c r="SBW73" s="193"/>
      <c r="SBX73" s="255" t="s">
        <v>168</v>
      </c>
      <c r="SBY73" s="263" t="s">
        <v>31</v>
      </c>
      <c r="SBZ73" s="254"/>
      <c r="SCA73" s="254"/>
      <c r="SCB73" s="264">
        <v>5.7000000000000002E-2</v>
      </c>
      <c r="SCC73" s="193"/>
      <c r="SCD73" s="263" t="s">
        <v>2</v>
      </c>
      <c r="SCE73" s="193"/>
      <c r="SCF73" s="255" t="s">
        <v>168</v>
      </c>
      <c r="SCG73" s="263" t="s">
        <v>31</v>
      </c>
      <c r="SCH73" s="254"/>
      <c r="SCI73" s="254"/>
      <c r="SCJ73" s="264">
        <v>5.7000000000000002E-2</v>
      </c>
      <c r="SCK73" s="193"/>
      <c r="SCL73" s="263" t="s">
        <v>2</v>
      </c>
      <c r="SCM73" s="193"/>
      <c r="SCN73" s="255" t="s">
        <v>168</v>
      </c>
      <c r="SCO73" s="263" t="s">
        <v>31</v>
      </c>
      <c r="SCP73" s="254"/>
      <c r="SCQ73" s="254"/>
      <c r="SCR73" s="264">
        <v>5.7000000000000002E-2</v>
      </c>
      <c r="SCS73" s="193"/>
      <c r="SCT73" s="263" t="s">
        <v>2</v>
      </c>
      <c r="SCU73" s="193"/>
      <c r="SCV73" s="255" t="s">
        <v>168</v>
      </c>
      <c r="SCW73" s="263" t="s">
        <v>31</v>
      </c>
      <c r="SCX73" s="254"/>
      <c r="SCY73" s="254"/>
      <c r="SCZ73" s="264">
        <v>5.7000000000000002E-2</v>
      </c>
      <c r="SDA73" s="193"/>
      <c r="SDB73" s="263" t="s">
        <v>2</v>
      </c>
      <c r="SDC73" s="193"/>
      <c r="SDD73" s="255" t="s">
        <v>168</v>
      </c>
      <c r="SDE73" s="263" t="s">
        <v>31</v>
      </c>
      <c r="SDF73" s="254"/>
      <c r="SDG73" s="254"/>
      <c r="SDH73" s="264">
        <v>5.7000000000000002E-2</v>
      </c>
      <c r="SDI73" s="193"/>
      <c r="SDJ73" s="263" t="s">
        <v>2</v>
      </c>
      <c r="SDK73" s="193"/>
      <c r="SDL73" s="255" t="s">
        <v>168</v>
      </c>
      <c r="SDM73" s="263" t="s">
        <v>31</v>
      </c>
      <c r="SDN73" s="254"/>
      <c r="SDO73" s="254"/>
      <c r="SDP73" s="264">
        <v>5.7000000000000002E-2</v>
      </c>
      <c r="SDQ73" s="193"/>
      <c r="SDR73" s="263" t="s">
        <v>2</v>
      </c>
      <c r="SDS73" s="193"/>
      <c r="SDT73" s="255" t="s">
        <v>168</v>
      </c>
      <c r="SDU73" s="263" t="s">
        <v>31</v>
      </c>
      <c r="SDV73" s="254"/>
      <c r="SDW73" s="254"/>
      <c r="SDX73" s="264">
        <v>5.7000000000000002E-2</v>
      </c>
      <c r="SDY73" s="193"/>
      <c r="SDZ73" s="263" t="s">
        <v>2</v>
      </c>
      <c r="SEA73" s="193"/>
      <c r="SEB73" s="255" t="s">
        <v>168</v>
      </c>
      <c r="SEC73" s="263" t="s">
        <v>31</v>
      </c>
      <c r="SED73" s="254"/>
      <c r="SEE73" s="254"/>
      <c r="SEF73" s="264">
        <v>5.7000000000000002E-2</v>
      </c>
      <c r="SEG73" s="193"/>
      <c r="SEH73" s="263" t="s">
        <v>2</v>
      </c>
      <c r="SEI73" s="193"/>
      <c r="SEJ73" s="255" t="s">
        <v>168</v>
      </c>
      <c r="SEK73" s="263" t="s">
        <v>31</v>
      </c>
      <c r="SEL73" s="254"/>
      <c r="SEM73" s="254"/>
      <c r="SEN73" s="264">
        <v>5.7000000000000002E-2</v>
      </c>
      <c r="SEO73" s="193"/>
      <c r="SEP73" s="263" t="s">
        <v>2</v>
      </c>
      <c r="SEQ73" s="193"/>
      <c r="SER73" s="255" t="s">
        <v>168</v>
      </c>
      <c r="SES73" s="263" t="s">
        <v>31</v>
      </c>
      <c r="SET73" s="254"/>
      <c r="SEU73" s="254"/>
      <c r="SEV73" s="264">
        <v>5.7000000000000002E-2</v>
      </c>
      <c r="SEW73" s="193"/>
      <c r="SEX73" s="263" t="s">
        <v>2</v>
      </c>
      <c r="SEY73" s="193"/>
      <c r="SEZ73" s="255" t="s">
        <v>168</v>
      </c>
      <c r="SFA73" s="263" t="s">
        <v>31</v>
      </c>
      <c r="SFB73" s="254"/>
      <c r="SFC73" s="254"/>
      <c r="SFD73" s="264">
        <v>5.7000000000000002E-2</v>
      </c>
      <c r="SFE73" s="193"/>
      <c r="SFF73" s="263" t="s">
        <v>2</v>
      </c>
      <c r="SFG73" s="193"/>
      <c r="SFH73" s="255" t="s">
        <v>168</v>
      </c>
      <c r="SFI73" s="263" t="s">
        <v>31</v>
      </c>
      <c r="SFJ73" s="254"/>
      <c r="SFK73" s="254"/>
      <c r="SFL73" s="264">
        <v>5.7000000000000002E-2</v>
      </c>
      <c r="SFM73" s="193"/>
      <c r="SFN73" s="263" t="s">
        <v>2</v>
      </c>
      <c r="SFO73" s="193"/>
      <c r="SFP73" s="255" t="s">
        <v>168</v>
      </c>
      <c r="SFQ73" s="263" t="s">
        <v>31</v>
      </c>
      <c r="SFR73" s="254"/>
      <c r="SFS73" s="254"/>
      <c r="SFT73" s="264">
        <v>5.7000000000000002E-2</v>
      </c>
      <c r="SFU73" s="193"/>
      <c r="SFV73" s="263" t="s">
        <v>2</v>
      </c>
      <c r="SFW73" s="193"/>
      <c r="SFX73" s="255" t="s">
        <v>168</v>
      </c>
      <c r="SFY73" s="263" t="s">
        <v>31</v>
      </c>
      <c r="SFZ73" s="254"/>
      <c r="SGA73" s="254"/>
      <c r="SGB73" s="264">
        <v>5.7000000000000002E-2</v>
      </c>
      <c r="SGC73" s="193"/>
      <c r="SGD73" s="263" t="s">
        <v>2</v>
      </c>
      <c r="SGE73" s="193"/>
      <c r="SGF73" s="255" t="s">
        <v>168</v>
      </c>
      <c r="SGG73" s="263" t="s">
        <v>31</v>
      </c>
      <c r="SGH73" s="254"/>
      <c r="SGI73" s="254"/>
      <c r="SGJ73" s="264">
        <v>5.7000000000000002E-2</v>
      </c>
      <c r="SGK73" s="193"/>
      <c r="SGL73" s="263" t="s">
        <v>2</v>
      </c>
      <c r="SGM73" s="193"/>
      <c r="SGN73" s="255" t="s">
        <v>168</v>
      </c>
      <c r="SGO73" s="263" t="s">
        <v>31</v>
      </c>
      <c r="SGP73" s="254"/>
      <c r="SGQ73" s="254"/>
      <c r="SGR73" s="264">
        <v>5.7000000000000002E-2</v>
      </c>
      <c r="SGS73" s="193"/>
      <c r="SGT73" s="263" t="s">
        <v>2</v>
      </c>
      <c r="SGU73" s="193"/>
      <c r="SGV73" s="255" t="s">
        <v>168</v>
      </c>
      <c r="SGW73" s="263" t="s">
        <v>31</v>
      </c>
      <c r="SGX73" s="254"/>
      <c r="SGY73" s="254"/>
      <c r="SGZ73" s="264">
        <v>5.7000000000000002E-2</v>
      </c>
      <c r="SHA73" s="193"/>
      <c r="SHB73" s="263" t="s">
        <v>2</v>
      </c>
      <c r="SHC73" s="193"/>
      <c r="SHD73" s="255" t="s">
        <v>168</v>
      </c>
      <c r="SHE73" s="263" t="s">
        <v>31</v>
      </c>
      <c r="SHF73" s="254"/>
      <c r="SHG73" s="254"/>
      <c r="SHH73" s="264">
        <v>5.7000000000000002E-2</v>
      </c>
      <c r="SHI73" s="193"/>
      <c r="SHJ73" s="263" t="s">
        <v>2</v>
      </c>
      <c r="SHK73" s="193"/>
      <c r="SHL73" s="255" t="s">
        <v>168</v>
      </c>
      <c r="SHM73" s="263" t="s">
        <v>31</v>
      </c>
      <c r="SHN73" s="254"/>
      <c r="SHO73" s="254"/>
      <c r="SHP73" s="264">
        <v>5.7000000000000002E-2</v>
      </c>
      <c r="SHQ73" s="193"/>
      <c r="SHR73" s="263" t="s">
        <v>2</v>
      </c>
      <c r="SHS73" s="193"/>
      <c r="SHT73" s="255" t="s">
        <v>168</v>
      </c>
      <c r="SHU73" s="263" t="s">
        <v>31</v>
      </c>
      <c r="SHV73" s="254"/>
      <c r="SHW73" s="254"/>
      <c r="SHX73" s="264">
        <v>5.7000000000000002E-2</v>
      </c>
      <c r="SHY73" s="193"/>
      <c r="SHZ73" s="263" t="s">
        <v>2</v>
      </c>
      <c r="SIA73" s="193"/>
      <c r="SIB73" s="255" t="s">
        <v>168</v>
      </c>
      <c r="SIC73" s="263" t="s">
        <v>31</v>
      </c>
      <c r="SID73" s="254"/>
      <c r="SIE73" s="254"/>
      <c r="SIF73" s="264">
        <v>5.7000000000000002E-2</v>
      </c>
      <c r="SIG73" s="193"/>
      <c r="SIH73" s="263" t="s">
        <v>2</v>
      </c>
      <c r="SII73" s="193"/>
      <c r="SIJ73" s="255" t="s">
        <v>168</v>
      </c>
      <c r="SIK73" s="263" t="s">
        <v>31</v>
      </c>
      <c r="SIL73" s="254"/>
      <c r="SIM73" s="254"/>
      <c r="SIN73" s="264">
        <v>5.7000000000000002E-2</v>
      </c>
      <c r="SIO73" s="193"/>
      <c r="SIP73" s="263" t="s">
        <v>2</v>
      </c>
      <c r="SIQ73" s="193"/>
      <c r="SIR73" s="255" t="s">
        <v>168</v>
      </c>
      <c r="SIS73" s="263" t="s">
        <v>31</v>
      </c>
      <c r="SIT73" s="254"/>
      <c r="SIU73" s="254"/>
      <c r="SIV73" s="264">
        <v>5.7000000000000002E-2</v>
      </c>
      <c r="SIW73" s="193"/>
      <c r="SIX73" s="263" t="s">
        <v>2</v>
      </c>
      <c r="SIY73" s="193"/>
      <c r="SIZ73" s="255" t="s">
        <v>168</v>
      </c>
      <c r="SJA73" s="263" t="s">
        <v>31</v>
      </c>
      <c r="SJB73" s="254"/>
      <c r="SJC73" s="254"/>
      <c r="SJD73" s="264">
        <v>5.7000000000000002E-2</v>
      </c>
      <c r="SJE73" s="193"/>
      <c r="SJF73" s="263" t="s">
        <v>2</v>
      </c>
      <c r="SJG73" s="193"/>
      <c r="SJH73" s="255" t="s">
        <v>168</v>
      </c>
      <c r="SJI73" s="263" t="s">
        <v>31</v>
      </c>
      <c r="SJJ73" s="254"/>
      <c r="SJK73" s="254"/>
      <c r="SJL73" s="264">
        <v>5.7000000000000002E-2</v>
      </c>
      <c r="SJM73" s="193"/>
      <c r="SJN73" s="263" t="s">
        <v>2</v>
      </c>
      <c r="SJO73" s="193"/>
      <c r="SJP73" s="255" t="s">
        <v>168</v>
      </c>
      <c r="SJQ73" s="263" t="s">
        <v>31</v>
      </c>
      <c r="SJR73" s="254"/>
      <c r="SJS73" s="254"/>
      <c r="SJT73" s="264">
        <v>5.7000000000000002E-2</v>
      </c>
      <c r="SJU73" s="193"/>
      <c r="SJV73" s="263" t="s">
        <v>2</v>
      </c>
      <c r="SJW73" s="193"/>
      <c r="SJX73" s="255" t="s">
        <v>168</v>
      </c>
      <c r="SJY73" s="263" t="s">
        <v>31</v>
      </c>
      <c r="SJZ73" s="254"/>
      <c r="SKA73" s="254"/>
      <c r="SKB73" s="264">
        <v>5.7000000000000002E-2</v>
      </c>
      <c r="SKC73" s="193"/>
      <c r="SKD73" s="263" t="s">
        <v>2</v>
      </c>
      <c r="SKE73" s="193"/>
      <c r="SKF73" s="255" t="s">
        <v>168</v>
      </c>
      <c r="SKG73" s="263" t="s">
        <v>31</v>
      </c>
      <c r="SKH73" s="254"/>
      <c r="SKI73" s="254"/>
      <c r="SKJ73" s="264">
        <v>5.7000000000000002E-2</v>
      </c>
      <c r="SKK73" s="193"/>
      <c r="SKL73" s="263" t="s">
        <v>2</v>
      </c>
      <c r="SKM73" s="193"/>
      <c r="SKN73" s="255" t="s">
        <v>168</v>
      </c>
      <c r="SKO73" s="263" t="s">
        <v>31</v>
      </c>
      <c r="SKP73" s="254"/>
      <c r="SKQ73" s="254"/>
      <c r="SKR73" s="264">
        <v>5.7000000000000002E-2</v>
      </c>
      <c r="SKS73" s="193"/>
      <c r="SKT73" s="263" t="s">
        <v>2</v>
      </c>
      <c r="SKU73" s="193"/>
      <c r="SKV73" s="255" t="s">
        <v>168</v>
      </c>
      <c r="SKW73" s="263" t="s">
        <v>31</v>
      </c>
      <c r="SKX73" s="254"/>
      <c r="SKY73" s="254"/>
      <c r="SKZ73" s="264">
        <v>5.7000000000000002E-2</v>
      </c>
      <c r="SLA73" s="193"/>
      <c r="SLB73" s="263" t="s">
        <v>2</v>
      </c>
      <c r="SLC73" s="193"/>
      <c r="SLD73" s="255" t="s">
        <v>168</v>
      </c>
      <c r="SLE73" s="263" t="s">
        <v>31</v>
      </c>
      <c r="SLF73" s="254"/>
      <c r="SLG73" s="254"/>
      <c r="SLH73" s="264">
        <v>5.7000000000000002E-2</v>
      </c>
      <c r="SLI73" s="193"/>
      <c r="SLJ73" s="263" t="s">
        <v>2</v>
      </c>
      <c r="SLK73" s="193"/>
      <c r="SLL73" s="255" t="s">
        <v>168</v>
      </c>
      <c r="SLM73" s="263" t="s">
        <v>31</v>
      </c>
      <c r="SLN73" s="254"/>
      <c r="SLO73" s="254"/>
      <c r="SLP73" s="264">
        <v>5.7000000000000002E-2</v>
      </c>
      <c r="SLQ73" s="193"/>
      <c r="SLR73" s="263" t="s">
        <v>2</v>
      </c>
      <c r="SLS73" s="193"/>
      <c r="SLT73" s="255" t="s">
        <v>168</v>
      </c>
      <c r="SLU73" s="263" t="s">
        <v>31</v>
      </c>
      <c r="SLV73" s="254"/>
      <c r="SLW73" s="254"/>
      <c r="SLX73" s="264">
        <v>5.7000000000000002E-2</v>
      </c>
      <c r="SLY73" s="193"/>
      <c r="SLZ73" s="263" t="s">
        <v>2</v>
      </c>
      <c r="SMA73" s="193"/>
      <c r="SMB73" s="255" t="s">
        <v>168</v>
      </c>
      <c r="SMC73" s="263" t="s">
        <v>31</v>
      </c>
      <c r="SMD73" s="254"/>
      <c r="SME73" s="254"/>
      <c r="SMF73" s="264">
        <v>5.7000000000000002E-2</v>
      </c>
      <c r="SMG73" s="193"/>
      <c r="SMH73" s="263" t="s">
        <v>2</v>
      </c>
      <c r="SMI73" s="193"/>
      <c r="SMJ73" s="255" t="s">
        <v>168</v>
      </c>
      <c r="SMK73" s="263" t="s">
        <v>31</v>
      </c>
      <c r="SML73" s="254"/>
      <c r="SMM73" s="254"/>
      <c r="SMN73" s="264">
        <v>5.7000000000000002E-2</v>
      </c>
      <c r="SMO73" s="193"/>
      <c r="SMP73" s="263" t="s">
        <v>2</v>
      </c>
      <c r="SMQ73" s="193"/>
      <c r="SMR73" s="255" t="s">
        <v>168</v>
      </c>
      <c r="SMS73" s="263" t="s">
        <v>31</v>
      </c>
      <c r="SMT73" s="254"/>
      <c r="SMU73" s="254"/>
      <c r="SMV73" s="264">
        <v>5.7000000000000002E-2</v>
      </c>
      <c r="SMW73" s="193"/>
      <c r="SMX73" s="263" t="s">
        <v>2</v>
      </c>
      <c r="SMY73" s="193"/>
      <c r="SMZ73" s="255" t="s">
        <v>168</v>
      </c>
      <c r="SNA73" s="263" t="s">
        <v>31</v>
      </c>
      <c r="SNB73" s="254"/>
      <c r="SNC73" s="254"/>
      <c r="SND73" s="264">
        <v>5.7000000000000002E-2</v>
      </c>
      <c r="SNE73" s="193"/>
      <c r="SNF73" s="263" t="s">
        <v>2</v>
      </c>
      <c r="SNG73" s="193"/>
      <c r="SNH73" s="255" t="s">
        <v>168</v>
      </c>
      <c r="SNI73" s="263" t="s">
        <v>31</v>
      </c>
      <c r="SNJ73" s="254"/>
      <c r="SNK73" s="254"/>
      <c r="SNL73" s="264">
        <v>5.7000000000000002E-2</v>
      </c>
      <c r="SNM73" s="193"/>
      <c r="SNN73" s="263" t="s">
        <v>2</v>
      </c>
      <c r="SNO73" s="193"/>
      <c r="SNP73" s="255" t="s">
        <v>168</v>
      </c>
      <c r="SNQ73" s="263" t="s">
        <v>31</v>
      </c>
      <c r="SNR73" s="254"/>
      <c r="SNS73" s="254"/>
      <c r="SNT73" s="264">
        <v>5.7000000000000002E-2</v>
      </c>
      <c r="SNU73" s="193"/>
      <c r="SNV73" s="263" t="s">
        <v>2</v>
      </c>
      <c r="SNW73" s="193"/>
      <c r="SNX73" s="255" t="s">
        <v>168</v>
      </c>
      <c r="SNY73" s="263" t="s">
        <v>31</v>
      </c>
      <c r="SNZ73" s="254"/>
      <c r="SOA73" s="254"/>
      <c r="SOB73" s="264">
        <v>5.7000000000000002E-2</v>
      </c>
      <c r="SOC73" s="193"/>
      <c r="SOD73" s="263" t="s">
        <v>2</v>
      </c>
      <c r="SOE73" s="193"/>
      <c r="SOF73" s="255" t="s">
        <v>168</v>
      </c>
      <c r="SOG73" s="263" t="s">
        <v>31</v>
      </c>
      <c r="SOH73" s="254"/>
      <c r="SOI73" s="254"/>
      <c r="SOJ73" s="264">
        <v>5.7000000000000002E-2</v>
      </c>
      <c r="SOK73" s="193"/>
      <c r="SOL73" s="263" t="s">
        <v>2</v>
      </c>
      <c r="SOM73" s="193"/>
      <c r="SON73" s="255" t="s">
        <v>168</v>
      </c>
      <c r="SOO73" s="263" t="s">
        <v>31</v>
      </c>
      <c r="SOP73" s="254"/>
      <c r="SOQ73" s="254"/>
      <c r="SOR73" s="264">
        <v>5.7000000000000002E-2</v>
      </c>
      <c r="SOS73" s="193"/>
      <c r="SOT73" s="263" t="s">
        <v>2</v>
      </c>
      <c r="SOU73" s="193"/>
      <c r="SOV73" s="255" t="s">
        <v>168</v>
      </c>
      <c r="SOW73" s="263" t="s">
        <v>31</v>
      </c>
      <c r="SOX73" s="254"/>
      <c r="SOY73" s="254"/>
      <c r="SOZ73" s="264">
        <v>5.7000000000000002E-2</v>
      </c>
      <c r="SPA73" s="193"/>
      <c r="SPB73" s="263" t="s">
        <v>2</v>
      </c>
      <c r="SPC73" s="193"/>
      <c r="SPD73" s="255" t="s">
        <v>168</v>
      </c>
      <c r="SPE73" s="263" t="s">
        <v>31</v>
      </c>
      <c r="SPF73" s="254"/>
      <c r="SPG73" s="254"/>
      <c r="SPH73" s="264">
        <v>5.7000000000000002E-2</v>
      </c>
      <c r="SPI73" s="193"/>
      <c r="SPJ73" s="263" t="s">
        <v>2</v>
      </c>
      <c r="SPK73" s="193"/>
      <c r="SPL73" s="255" t="s">
        <v>168</v>
      </c>
      <c r="SPM73" s="263" t="s">
        <v>31</v>
      </c>
      <c r="SPN73" s="254"/>
      <c r="SPO73" s="254"/>
      <c r="SPP73" s="264">
        <v>5.7000000000000002E-2</v>
      </c>
      <c r="SPQ73" s="193"/>
      <c r="SPR73" s="263" t="s">
        <v>2</v>
      </c>
      <c r="SPS73" s="193"/>
      <c r="SPT73" s="255" t="s">
        <v>168</v>
      </c>
      <c r="SPU73" s="263" t="s">
        <v>31</v>
      </c>
      <c r="SPV73" s="254"/>
      <c r="SPW73" s="254"/>
      <c r="SPX73" s="264">
        <v>5.7000000000000002E-2</v>
      </c>
      <c r="SPY73" s="193"/>
      <c r="SPZ73" s="263" t="s">
        <v>2</v>
      </c>
      <c r="SQA73" s="193"/>
      <c r="SQB73" s="255" t="s">
        <v>168</v>
      </c>
      <c r="SQC73" s="263" t="s">
        <v>31</v>
      </c>
      <c r="SQD73" s="254"/>
      <c r="SQE73" s="254"/>
      <c r="SQF73" s="264">
        <v>5.7000000000000002E-2</v>
      </c>
      <c r="SQG73" s="193"/>
      <c r="SQH73" s="263" t="s">
        <v>2</v>
      </c>
      <c r="SQI73" s="193"/>
      <c r="SQJ73" s="255" t="s">
        <v>168</v>
      </c>
      <c r="SQK73" s="263" t="s">
        <v>31</v>
      </c>
      <c r="SQL73" s="254"/>
      <c r="SQM73" s="254"/>
      <c r="SQN73" s="264">
        <v>5.7000000000000002E-2</v>
      </c>
      <c r="SQO73" s="193"/>
      <c r="SQP73" s="263" t="s">
        <v>2</v>
      </c>
      <c r="SQQ73" s="193"/>
      <c r="SQR73" s="255" t="s">
        <v>168</v>
      </c>
      <c r="SQS73" s="263" t="s">
        <v>31</v>
      </c>
      <c r="SQT73" s="254"/>
      <c r="SQU73" s="254"/>
      <c r="SQV73" s="264">
        <v>5.7000000000000002E-2</v>
      </c>
      <c r="SQW73" s="193"/>
      <c r="SQX73" s="263" t="s">
        <v>2</v>
      </c>
      <c r="SQY73" s="193"/>
      <c r="SQZ73" s="255" t="s">
        <v>168</v>
      </c>
      <c r="SRA73" s="263" t="s">
        <v>31</v>
      </c>
      <c r="SRB73" s="254"/>
      <c r="SRC73" s="254"/>
      <c r="SRD73" s="264">
        <v>5.7000000000000002E-2</v>
      </c>
      <c r="SRE73" s="193"/>
      <c r="SRF73" s="263" t="s">
        <v>2</v>
      </c>
      <c r="SRG73" s="193"/>
      <c r="SRH73" s="255" t="s">
        <v>168</v>
      </c>
      <c r="SRI73" s="263" t="s">
        <v>31</v>
      </c>
      <c r="SRJ73" s="254"/>
      <c r="SRK73" s="254"/>
      <c r="SRL73" s="264">
        <v>5.7000000000000002E-2</v>
      </c>
      <c r="SRM73" s="193"/>
      <c r="SRN73" s="263" t="s">
        <v>2</v>
      </c>
      <c r="SRO73" s="193"/>
      <c r="SRP73" s="255" t="s">
        <v>168</v>
      </c>
      <c r="SRQ73" s="263" t="s">
        <v>31</v>
      </c>
      <c r="SRR73" s="254"/>
      <c r="SRS73" s="254"/>
      <c r="SRT73" s="264">
        <v>5.7000000000000002E-2</v>
      </c>
      <c r="SRU73" s="193"/>
      <c r="SRV73" s="263" t="s">
        <v>2</v>
      </c>
      <c r="SRW73" s="193"/>
      <c r="SRX73" s="255" t="s">
        <v>168</v>
      </c>
      <c r="SRY73" s="263" t="s">
        <v>31</v>
      </c>
      <c r="SRZ73" s="254"/>
      <c r="SSA73" s="254"/>
      <c r="SSB73" s="264">
        <v>5.7000000000000002E-2</v>
      </c>
      <c r="SSC73" s="193"/>
      <c r="SSD73" s="263" t="s">
        <v>2</v>
      </c>
      <c r="SSE73" s="193"/>
      <c r="SSF73" s="255" t="s">
        <v>168</v>
      </c>
      <c r="SSG73" s="263" t="s">
        <v>31</v>
      </c>
      <c r="SSH73" s="254"/>
      <c r="SSI73" s="254"/>
      <c r="SSJ73" s="264">
        <v>5.7000000000000002E-2</v>
      </c>
      <c r="SSK73" s="193"/>
      <c r="SSL73" s="263" t="s">
        <v>2</v>
      </c>
      <c r="SSM73" s="193"/>
      <c r="SSN73" s="255" t="s">
        <v>168</v>
      </c>
      <c r="SSO73" s="263" t="s">
        <v>31</v>
      </c>
      <c r="SSP73" s="254"/>
      <c r="SSQ73" s="254"/>
      <c r="SSR73" s="264">
        <v>5.7000000000000002E-2</v>
      </c>
      <c r="SSS73" s="193"/>
      <c r="SST73" s="263" t="s">
        <v>2</v>
      </c>
      <c r="SSU73" s="193"/>
      <c r="SSV73" s="255" t="s">
        <v>168</v>
      </c>
      <c r="SSW73" s="263" t="s">
        <v>31</v>
      </c>
      <c r="SSX73" s="254"/>
      <c r="SSY73" s="254"/>
      <c r="SSZ73" s="264">
        <v>5.7000000000000002E-2</v>
      </c>
      <c r="STA73" s="193"/>
      <c r="STB73" s="263" t="s">
        <v>2</v>
      </c>
      <c r="STC73" s="193"/>
      <c r="STD73" s="255" t="s">
        <v>168</v>
      </c>
      <c r="STE73" s="263" t="s">
        <v>31</v>
      </c>
      <c r="STF73" s="254"/>
      <c r="STG73" s="254"/>
      <c r="STH73" s="264">
        <v>5.7000000000000002E-2</v>
      </c>
      <c r="STI73" s="193"/>
      <c r="STJ73" s="263" t="s">
        <v>2</v>
      </c>
      <c r="STK73" s="193"/>
      <c r="STL73" s="255" t="s">
        <v>168</v>
      </c>
      <c r="STM73" s="263" t="s">
        <v>31</v>
      </c>
      <c r="STN73" s="254"/>
      <c r="STO73" s="254"/>
      <c r="STP73" s="264">
        <v>5.7000000000000002E-2</v>
      </c>
      <c r="STQ73" s="193"/>
      <c r="STR73" s="263" t="s">
        <v>2</v>
      </c>
      <c r="STS73" s="193"/>
      <c r="STT73" s="255" t="s">
        <v>168</v>
      </c>
      <c r="STU73" s="263" t="s">
        <v>31</v>
      </c>
      <c r="STV73" s="254"/>
      <c r="STW73" s="254"/>
      <c r="STX73" s="264">
        <v>5.7000000000000002E-2</v>
      </c>
      <c r="STY73" s="193"/>
      <c r="STZ73" s="263" t="s">
        <v>2</v>
      </c>
      <c r="SUA73" s="193"/>
      <c r="SUB73" s="255" t="s">
        <v>168</v>
      </c>
      <c r="SUC73" s="263" t="s">
        <v>31</v>
      </c>
      <c r="SUD73" s="254"/>
      <c r="SUE73" s="254"/>
      <c r="SUF73" s="264">
        <v>5.7000000000000002E-2</v>
      </c>
      <c r="SUG73" s="193"/>
      <c r="SUH73" s="263" t="s">
        <v>2</v>
      </c>
      <c r="SUI73" s="193"/>
      <c r="SUJ73" s="255" t="s">
        <v>168</v>
      </c>
      <c r="SUK73" s="263" t="s">
        <v>31</v>
      </c>
      <c r="SUL73" s="254"/>
      <c r="SUM73" s="254"/>
      <c r="SUN73" s="264">
        <v>5.7000000000000002E-2</v>
      </c>
      <c r="SUO73" s="193"/>
      <c r="SUP73" s="263" t="s">
        <v>2</v>
      </c>
      <c r="SUQ73" s="193"/>
      <c r="SUR73" s="255" t="s">
        <v>168</v>
      </c>
      <c r="SUS73" s="263" t="s">
        <v>31</v>
      </c>
      <c r="SUT73" s="254"/>
      <c r="SUU73" s="254"/>
      <c r="SUV73" s="264">
        <v>5.7000000000000002E-2</v>
      </c>
      <c r="SUW73" s="193"/>
      <c r="SUX73" s="263" t="s">
        <v>2</v>
      </c>
      <c r="SUY73" s="193"/>
      <c r="SUZ73" s="255" t="s">
        <v>168</v>
      </c>
      <c r="SVA73" s="263" t="s">
        <v>31</v>
      </c>
      <c r="SVB73" s="254"/>
      <c r="SVC73" s="254"/>
      <c r="SVD73" s="264">
        <v>5.7000000000000002E-2</v>
      </c>
      <c r="SVE73" s="193"/>
      <c r="SVF73" s="263" t="s">
        <v>2</v>
      </c>
      <c r="SVG73" s="193"/>
      <c r="SVH73" s="255" t="s">
        <v>168</v>
      </c>
      <c r="SVI73" s="263" t="s">
        <v>31</v>
      </c>
      <c r="SVJ73" s="254"/>
      <c r="SVK73" s="254"/>
      <c r="SVL73" s="264">
        <v>5.7000000000000002E-2</v>
      </c>
      <c r="SVM73" s="193"/>
      <c r="SVN73" s="263" t="s">
        <v>2</v>
      </c>
      <c r="SVO73" s="193"/>
      <c r="SVP73" s="255" t="s">
        <v>168</v>
      </c>
      <c r="SVQ73" s="263" t="s">
        <v>31</v>
      </c>
      <c r="SVR73" s="254"/>
      <c r="SVS73" s="254"/>
      <c r="SVT73" s="264">
        <v>5.7000000000000002E-2</v>
      </c>
      <c r="SVU73" s="193"/>
      <c r="SVV73" s="263" t="s">
        <v>2</v>
      </c>
      <c r="SVW73" s="193"/>
      <c r="SVX73" s="255" t="s">
        <v>168</v>
      </c>
      <c r="SVY73" s="263" t="s">
        <v>31</v>
      </c>
      <c r="SVZ73" s="254"/>
      <c r="SWA73" s="254"/>
      <c r="SWB73" s="264">
        <v>5.7000000000000002E-2</v>
      </c>
      <c r="SWC73" s="193"/>
      <c r="SWD73" s="263" t="s">
        <v>2</v>
      </c>
      <c r="SWE73" s="193"/>
      <c r="SWF73" s="255" t="s">
        <v>168</v>
      </c>
      <c r="SWG73" s="263" t="s">
        <v>31</v>
      </c>
      <c r="SWH73" s="254"/>
      <c r="SWI73" s="254"/>
      <c r="SWJ73" s="264">
        <v>5.7000000000000002E-2</v>
      </c>
      <c r="SWK73" s="193"/>
      <c r="SWL73" s="263" t="s">
        <v>2</v>
      </c>
      <c r="SWM73" s="193"/>
      <c r="SWN73" s="255" t="s">
        <v>168</v>
      </c>
      <c r="SWO73" s="263" t="s">
        <v>31</v>
      </c>
      <c r="SWP73" s="254"/>
      <c r="SWQ73" s="254"/>
      <c r="SWR73" s="264">
        <v>5.7000000000000002E-2</v>
      </c>
      <c r="SWS73" s="193"/>
      <c r="SWT73" s="263" t="s">
        <v>2</v>
      </c>
      <c r="SWU73" s="193"/>
      <c r="SWV73" s="255" t="s">
        <v>168</v>
      </c>
      <c r="SWW73" s="263" t="s">
        <v>31</v>
      </c>
      <c r="SWX73" s="254"/>
      <c r="SWY73" s="254"/>
      <c r="SWZ73" s="264">
        <v>5.7000000000000002E-2</v>
      </c>
      <c r="SXA73" s="193"/>
      <c r="SXB73" s="263" t="s">
        <v>2</v>
      </c>
      <c r="SXC73" s="193"/>
      <c r="SXD73" s="255" t="s">
        <v>168</v>
      </c>
      <c r="SXE73" s="263" t="s">
        <v>31</v>
      </c>
      <c r="SXF73" s="254"/>
      <c r="SXG73" s="254"/>
      <c r="SXH73" s="264">
        <v>5.7000000000000002E-2</v>
      </c>
      <c r="SXI73" s="193"/>
      <c r="SXJ73" s="263" t="s">
        <v>2</v>
      </c>
      <c r="SXK73" s="193"/>
      <c r="SXL73" s="255" t="s">
        <v>168</v>
      </c>
      <c r="SXM73" s="263" t="s">
        <v>31</v>
      </c>
      <c r="SXN73" s="254"/>
      <c r="SXO73" s="254"/>
      <c r="SXP73" s="264">
        <v>5.7000000000000002E-2</v>
      </c>
      <c r="SXQ73" s="193"/>
      <c r="SXR73" s="263" t="s">
        <v>2</v>
      </c>
      <c r="SXS73" s="193"/>
      <c r="SXT73" s="255" t="s">
        <v>168</v>
      </c>
      <c r="SXU73" s="263" t="s">
        <v>31</v>
      </c>
      <c r="SXV73" s="254"/>
      <c r="SXW73" s="254"/>
      <c r="SXX73" s="264">
        <v>5.7000000000000002E-2</v>
      </c>
      <c r="SXY73" s="193"/>
      <c r="SXZ73" s="263" t="s">
        <v>2</v>
      </c>
      <c r="SYA73" s="193"/>
      <c r="SYB73" s="255" t="s">
        <v>168</v>
      </c>
      <c r="SYC73" s="263" t="s">
        <v>31</v>
      </c>
      <c r="SYD73" s="254"/>
      <c r="SYE73" s="254"/>
      <c r="SYF73" s="264">
        <v>5.7000000000000002E-2</v>
      </c>
      <c r="SYG73" s="193"/>
      <c r="SYH73" s="263" t="s">
        <v>2</v>
      </c>
      <c r="SYI73" s="193"/>
      <c r="SYJ73" s="255" t="s">
        <v>168</v>
      </c>
      <c r="SYK73" s="263" t="s">
        <v>31</v>
      </c>
      <c r="SYL73" s="254"/>
      <c r="SYM73" s="254"/>
      <c r="SYN73" s="264">
        <v>5.7000000000000002E-2</v>
      </c>
      <c r="SYO73" s="193"/>
      <c r="SYP73" s="263" t="s">
        <v>2</v>
      </c>
      <c r="SYQ73" s="193"/>
      <c r="SYR73" s="255" t="s">
        <v>168</v>
      </c>
      <c r="SYS73" s="263" t="s">
        <v>31</v>
      </c>
      <c r="SYT73" s="254"/>
      <c r="SYU73" s="254"/>
      <c r="SYV73" s="264">
        <v>5.7000000000000002E-2</v>
      </c>
      <c r="SYW73" s="193"/>
      <c r="SYX73" s="263" t="s">
        <v>2</v>
      </c>
      <c r="SYY73" s="193"/>
      <c r="SYZ73" s="255" t="s">
        <v>168</v>
      </c>
      <c r="SZA73" s="263" t="s">
        <v>31</v>
      </c>
      <c r="SZB73" s="254"/>
      <c r="SZC73" s="254"/>
      <c r="SZD73" s="264">
        <v>5.7000000000000002E-2</v>
      </c>
      <c r="SZE73" s="193"/>
      <c r="SZF73" s="263" t="s">
        <v>2</v>
      </c>
      <c r="SZG73" s="193"/>
      <c r="SZH73" s="255" t="s">
        <v>168</v>
      </c>
      <c r="SZI73" s="263" t="s">
        <v>31</v>
      </c>
      <c r="SZJ73" s="254"/>
      <c r="SZK73" s="254"/>
      <c r="SZL73" s="264">
        <v>5.7000000000000002E-2</v>
      </c>
      <c r="SZM73" s="193"/>
      <c r="SZN73" s="263" t="s">
        <v>2</v>
      </c>
      <c r="SZO73" s="193"/>
      <c r="SZP73" s="255" t="s">
        <v>168</v>
      </c>
      <c r="SZQ73" s="263" t="s">
        <v>31</v>
      </c>
      <c r="SZR73" s="254"/>
      <c r="SZS73" s="254"/>
      <c r="SZT73" s="264">
        <v>5.7000000000000002E-2</v>
      </c>
      <c r="SZU73" s="193"/>
      <c r="SZV73" s="263" t="s">
        <v>2</v>
      </c>
      <c r="SZW73" s="193"/>
      <c r="SZX73" s="255" t="s">
        <v>168</v>
      </c>
      <c r="SZY73" s="263" t="s">
        <v>31</v>
      </c>
      <c r="SZZ73" s="254"/>
      <c r="TAA73" s="254"/>
      <c r="TAB73" s="264">
        <v>5.7000000000000002E-2</v>
      </c>
      <c r="TAC73" s="193"/>
      <c r="TAD73" s="263" t="s">
        <v>2</v>
      </c>
      <c r="TAE73" s="193"/>
      <c r="TAF73" s="255" t="s">
        <v>168</v>
      </c>
      <c r="TAG73" s="263" t="s">
        <v>31</v>
      </c>
      <c r="TAH73" s="254"/>
      <c r="TAI73" s="254"/>
      <c r="TAJ73" s="264">
        <v>5.7000000000000002E-2</v>
      </c>
      <c r="TAK73" s="193"/>
      <c r="TAL73" s="263" t="s">
        <v>2</v>
      </c>
      <c r="TAM73" s="193"/>
      <c r="TAN73" s="255" t="s">
        <v>168</v>
      </c>
      <c r="TAO73" s="263" t="s">
        <v>31</v>
      </c>
      <c r="TAP73" s="254"/>
      <c r="TAQ73" s="254"/>
      <c r="TAR73" s="264">
        <v>5.7000000000000002E-2</v>
      </c>
      <c r="TAS73" s="193"/>
      <c r="TAT73" s="263" t="s">
        <v>2</v>
      </c>
      <c r="TAU73" s="193"/>
      <c r="TAV73" s="255" t="s">
        <v>168</v>
      </c>
      <c r="TAW73" s="263" t="s">
        <v>31</v>
      </c>
      <c r="TAX73" s="254"/>
      <c r="TAY73" s="254"/>
      <c r="TAZ73" s="264">
        <v>5.7000000000000002E-2</v>
      </c>
      <c r="TBA73" s="193"/>
      <c r="TBB73" s="263" t="s">
        <v>2</v>
      </c>
      <c r="TBC73" s="193"/>
      <c r="TBD73" s="255" t="s">
        <v>168</v>
      </c>
      <c r="TBE73" s="263" t="s">
        <v>31</v>
      </c>
      <c r="TBF73" s="254"/>
      <c r="TBG73" s="254"/>
      <c r="TBH73" s="264">
        <v>5.7000000000000002E-2</v>
      </c>
      <c r="TBI73" s="193"/>
      <c r="TBJ73" s="263" t="s">
        <v>2</v>
      </c>
      <c r="TBK73" s="193"/>
      <c r="TBL73" s="255" t="s">
        <v>168</v>
      </c>
      <c r="TBM73" s="263" t="s">
        <v>31</v>
      </c>
      <c r="TBN73" s="254"/>
      <c r="TBO73" s="254"/>
      <c r="TBP73" s="264">
        <v>5.7000000000000002E-2</v>
      </c>
      <c r="TBQ73" s="193"/>
      <c r="TBR73" s="263" t="s">
        <v>2</v>
      </c>
      <c r="TBS73" s="193"/>
      <c r="TBT73" s="255" t="s">
        <v>168</v>
      </c>
      <c r="TBU73" s="263" t="s">
        <v>31</v>
      </c>
      <c r="TBV73" s="254"/>
      <c r="TBW73" s="254"/>
      <c r="TBX73" s="264">
        <v>5.7000000000000002E-2</v>
      </c>
      <c r="TBY73" s="193"/>
      <c r="TBZ73" s="263" t="s">
        <v>2</v>
      </c>
      <c r="TCA73" s="193"/>
      <c r="TCB73" s="255" t="s">
        <v>168</v>
      </c>
      <c r="TCC73" s="263" t="s">
        <v>31</v>
      </c>
      <c r="TCD73" s="254"/>
      <c r="TCE73" s="254"/>
      <c r="TCF73" s="264">
        <v>5.7000000000000002E-2</v>
      </c>
      <c r="TCG73" s="193"/>
      <c r="TCH73" s="263" t="s">
        <v>2</v>
      </c>
      <c r="TCI73" s="193"/>
      <c r="TCJ73" s="255" t="s">
        <v>168</v>
      </c>
      <c r="TCK73" s="263" t="s">
        <v>31</v>
      </c>
      <c r="TCL73" s="254"/>
      <c r="TCM73" s="254"/>
      <c r="TCN73" s="264">
        <v>5.7000000000000002E-2</v>
      </c>
      <c r="TCO73" s="193"/>
      <c r="TCP73" s="263" t="s">
        <v>2</v>
      </c>
      <c r="TCQ73" s="193"/>
      <c r="TCR73" s="255" t="s">
        <v>168</v>
      </c>
      <c r="TCS73" s="263" t="s">
        <v>31</v>
      </c>
      <c r="TCT73" s="254"/>
      <c r="TCU73" s="254"/>
      <c r="TCV73" s="264">
        <v>5.7000000000000002E-2</v>
      </c>
      <c r="TCW73" s="193"/>
      <c r="TCX73" s="263" t="s">
        <v>2</v>
      </c>
      <c r="TCY73" s="193"/>
      <c r="TCZ73" s="255" t="s">
        <v>168</v>
      </c>
      <c r="TDA73" s="263" t="s">
        <v>31</v>
      </c>
      <c r="TDB73" s="254"/>
      <c r="TDC73" s="254"/>
      <c r="TDD73" s="264">
        <v>5.7000000000000002E-2</v>
      </c>
      <c r="TDE73" s="193"/>
      <c r="TDF73" s="263" t="s">
        <v>2</v>
      </c>
      <c r="TDG73" s="193"/>
      <c r="TDH73" s="255" t="s">
        <v>168</v>
      </c>
      <c r="TDI73" s="263" t="s">
        <v>31</v>
      </c>
      <c r="TDJ73" s="254"/>
      <c r="TDK73" s="254"/>
      <c r="TDL73" s="264">
        <v>5.7000000000000002E-2</v>
      </c>
      <c r="TDM73" s="193"/>
      <c r="TDN73" s="263" t="s">
        <v>2</v>
      </c>
      <c r="TDO73" s="193"/>
      <c r="TDP73" s="255" t="s">
        <v>168</v>
      </c>
      <c r="TDQ73" s="263" t="s">
        <v>31</v>
      </c>
      <c r="TDR73" s="254"/>
      <c r="TDS73" s="254"/>
      <c r="TDT73" s="264">
        <v>5.7000000000000002E-2</v>
      </c>
      <c r="TDU73" s="193"/>
      <c r="TDV73" s="263" t="s">
        <v>2</v>
      </c>
      <c r="TDW73" s="193"/>
      <c r="TDX73" s="255" t="s">
        <v>168</v>
      </c>
      <c r="TDY73" s="263" t="s">
        <v>31</v>
      </c>
      <c r="TDZ73" s="254"/>
      <c r="TEA73" s="254"/>
      <c r="TEB73" s="264">
        <v>5.7000000000000002E-2</v>
      </c>
      <c r="TEC73" s="193"/>
      <c r="TED73" s="263" t="s">
        <v>2</v>
      </c>
      <c r="TEE73" s="193"/>
      <c r="TEF73" s="255" t="s">
        <v>168</v>
      </c>
      <c r="TEG73" s="263" t="s">
        <v>31</v>
      </c>
      <c r="TEH73" s="254"/>
      <c r="TEI73" s="254"/>
      <c r="TEJ73" s="264">
        <v>5.7000000000000002E-2</v>
      </c>
      <c r="TEK73" s="193"/>
      <c r="TEL73" s="263" t="s">
        <v>2</v>
      </c>
      <c r="TEM73" s="193"/>
      <c r="TEN73" s="255" t="s">
        <v>168</v>
      </c>
      <c r="TEO73" s="263" t="s">
        <v>31</v>
      </c>
      <c r="TEP73" s="254"/>
      <c r="TEQ73" s="254"/>
      <c r="TER73" s="264">
        <v>5.7000000000000002E-2</v>
      </c>
      <c r="TES73" s="193"/>
      <c r="TET73" s="263" t="s">
        <v>2</v>
      </c>
      <c r="TEU73" s="193"/>
      <c r="TEV73" s="255" t="s">
        <v>168</v>
      </c>
      <c r="TEW73" s="263" t="s">
        <v>31</v>
      </c>
      <c r="TEX73" s="254"/>
      <c r="TEY73" s="254"/>
      <c r="TEZ73" s="264">
        <v>5.7000000000000002E-2</v>
      </c>
      <c r="TFA73" s="193"/>
      <c r="TFB73" s="263" t="s">
        <v>2</v>
      </c>
      <c r="TFC73" s="193"/>
      <c r="TFD73" s="255" t="s">
        <v>168</v>
      </c>
      <c r="TFE73" s="263" t="s">
        <v>31</v>
      </c>
      <c r="TFF73" s="254"/>
      <c r="TFG73" s="254"/>
      <c r="TFH73" s="264">
        <v>5.7000000000000002E-2</v>
      </c>
      <c r="TFI73" s="193"/>
      <c r="TFJ73" s="263" t="s">
        <v>2</v>
      </c>
      <c r="TFK73" s="193"/>
      <c r="TFL73" s="255" t="s">
        <v>168</v>
      </c>
      <c r="TFM73" s="263" t="s">
        <v>31</v>
      </c>
      <c r="TFN73" s="254"/>
      <c r="TFO73" s="254"/>
      <c r="TFP73" s="264">
        <v>5.7000000000000002E-2</v>
      </c>
      <c r="TFQ73" s="193"/>
      <c r="TFR73" s="263" t="s">
        <v>2</v>
      </c>
      <c r="TFS73" s="193"/>
      <c r="TFT73" s="255" t="s">
        <v>168</v>
      </c>
      <c r="TFU73" s="263" t="s">
        <v>31</v>
      </c>
      <c r="TFV73" s="254"/>
      <c r="TFW73" s="254"/>
      <c r="TFX73" s="264">
        <v>5.7000000000000002E-2</v>
      </c>
      <c r="TFY73" s="193"/>
      <c r="TFZ73" s="263" t="s">
        <v>2</v>
      </c>
      <c r="TGA73" s="193"/>
      <c r="TGB73" s="255" t="s">
        <v>168</v>
      </c>
      <c r="TGC73" s="263" t="s">
        <v>31</v>
      </c>
      <c r="TGD73" s="254"/>
      <c r="TGE73" s="254"/>
      <c r="TGF73" s="264">
        <v>5.7000000000000002E-2</v>
      </c>
      <c r="TGG73" s="193"/>
      <c r="TGH73" s="263" t="s">
        <v>2</v>
      </c>
      <c r="TGI73" s="193"/>
      <c r="TGJ73" s="255" t="s">
        <v>168</v>
      </c>
      <c r="TGK73" s="263" t="s">
        <v>31</v>
      </c>
      <c r="TGL73" s="254"/>
      <c r="TGM73" s="254"/>
      <c r="TGN73" s="264">
        <v>5.7000000000000002E-2</v>
      </c>
      <c r="TGO73" s="193"/>
      <c r="TGP73" s="263" t="s">
        <v>2</v>
      </c>
      <c r="TGQ73" s="193"/>
      <c r="TGR73" s="255" t="s">
        <v>168</v>
      </c>
      <c r="TGS73" s="263" t="s">
        <v>31</v>
      </c>
      <c r="TGT73" s="254"/>
      <c r="TGU73" s="254"/>
      <c r="TGV73" s="264">
        <v>5.7000000000000002E-2</v>
      </c>
      <c r="TGW73" s="193"/>
      <c r="TGX73" s="263" t="s">
        <v>2</v>
      </c>
      <c r="TGY73" s="193"/>
      <c r="TGZ73" s="255" t="s">
        <v>168</v>
      </c>
      <c r="THA73" s="263" t="s">
        <v>31</v>
      </c>
      <c r="THB73" s="254"/>
      <c r="THC73" s="254"/>
      <c r="THD73" s="264">
        <v>5.7000000000000002E-2</v>
      </c>
      <c r="THE73" s="193"/>
      <c r="THF73" s="263" t="s">
        <v>2</v>
      </c>
      <c r="THG73" s="193"/>
      <c r="THH73" s="255" t="s">
        <v>168</v>
      </c>
      <c r="THI73" s="263" t="s">
        <v>31</v>
      </c>
      <c r="THJ73" s="254"/>
      <c r="THK73" s="254"/>
      <c r="THL73" s="264">
        <v>5.7000000000000002E-2</v>
      </c>
      <c r="THM73" s="193"/>
      <c r="THN73" s="263" t="s">
        <v>2</v>
      </c>
      <c r="THO73" s="193"/>
      <c r="THP73" s="255" t="s">
        <v>168</v>
      </c>
      <c r="THQ73" s="263" t="s">
        <v>31</v>
      </c>
      <c r="THR73" s="254"/>
      <c r="THS73" s="254"/>
      <c r="THT73" s="264">
        <v>5.7000000000000002E-2</v>
      </c>
      <c r="THU73" s="193"/>
      <c r="THV73" s="263" t="s">
        <v>2</v>
      </c>
      <c r="THW73" s="193"/>
      <c r="THX73" s="255" t="s">
        <v>168</v>
      </c>
      <c r="THY73" s="263" t="s">
        <v>31</v>
      </c>
      <c r="THZ73" s="254"/>
      <c r="TIA73" s="254"/>
      <c r="TIB73" s="264">
        <v>5.7000000000000002E-2</v>
      </c>
      <c r="TIC73" s="193"/>
      <c r="TID73" s="263" t="s">
        <v>2</v>
      </c>
      <c r="TIE73" s="193"/>
      <c r="TIF73" s="255" t="s">
        <v>168</v>
      </c>
      <c r="TIG73" s="263" t="s">
        <v>31</v>
      </c>
      <c r="TIH73" s="254"/>
      <c r="TII73" s="254"/>
      <c r="TIJ73" s="264">
        <v>5.7000000000000002E-2</v>
      </c>
      <c r="TIK73" s="193"/>
      <c r="TIL73" s="263" t="s">
        <v>2</v>
      </c>
      <c r="TIM73" s="193"/>
      <c r="TIN73" s="255" t="s">
        <v>168</v>
      </c>
      <c r="TIO73" s="263" t="s">
        <v>31</v>
      </c>
      <c r="TIP73" s="254"/>
      <c r="TIQ73" s="254"/>
      <c r="TIR73" s="264">
        <v>5.7000000000000002E-2</v>
      </c>
      <c r="TIS73" s="193"/>
      <c r="TIT73" s="263" t="s">
        <v>2</v>
      </c>
      <c r="TIU73" s="193"/>
      <c r="TIV73" s="255" t="s">
        <v>168</v>
      </c>
      <c r="TIW73" s="263" t="s">
        <v>31</v>
      </c>
      <c r="TIX73" s="254"/>
      <c r="TIY73" s="254"/>
      <c r="TIZ73" s="264">
        <v>5.7000000000000002E-2</v>
      </c>
      <c r="TJA73" s="193"/>
      <c r="TJB73" s="263" t="s">
        <v>2</v>
      </c>
      <c r="TJC73" s="193"/>
      <c r="TJD73" s="255" t="s">
        <v>168</v>
      </c>
      <c r="TJE73" s="263" t="s">
        <v>31</v>
      </c>
      <c r="TJF73" s="254"/>
      <c r="TJG73" s="254"/>
      <c r="TJH73" s="264">
        <v>5.7000000000000002E-2</v>
      </c>
      <c r="TJI73" s="193"/>
      <c r="TJJ73" s="263" t="s">
        <v>2</v>
      </c>
      <c r="TJK73" s="193"/>
      <c r="TJL73" s="255" t="s">
        <v>168</v>
      </c>
      <c r="TJM73" s="263" t="s">
        <v>31</v>
      </c>
      <c r="TJN73" s="254"/>
      <c r="TJO73" s="254"/>
      <c r="TJP73" s="264">
        <v>5.7000000000000002E-2</v>
      </c>
      <c r="TJQ73" s="193"/>
      <c r="TJR73" s="263" t="s">
        <v>2</v>
      </c>
      <c r="TJS73" s="193"/>
      <c r="TJT73" s="255" t="s">
        <v>168</v>
      </c>
      <c r="TJU73" s="263" t="s">
        <v>31</v>
      </c>
      <c r="TJV73" s="254"/>
      <c r="TJW73" s="254"/>
      <c r="TJX73" s="264">
        <v>5.7000000000000002E-2</v>
      </c>
      <c r="TJY73" s="193"/>
      <c r="TJZ73" s="263" t="s">
        <v>2</v>
      </c>
      <c r="TKA73" s="193"/>
      <c r="TKB73" s="255" t="s">
        <v>168</v>
      </c>
      <c r="TKC73" s="263" t="s">
        <v>31</v>
      </c>
      <c r="TKD73" s="254"/>
      <c r="TKE73" s="254"/>
      <c r="TKF73" s="264">
        <v>5.7000000000000002E-2</v>
      </c>
      <c r="TKG73" s="193"/>
      <c r="TKH73" s="263" t="s">
        <v>2</v>
      </c>
      <c r="TKI73" s="193"/>
      <c r="TKJ73" s="255" t="s">
        <v>168</v>
      </c>
      <c r="TKK73" s="263" t="s">
        <v>31</v>
      </c>
      <c r="TKL73" s="254"/>
      <c r="TKM73" s="254"/>
      <c r="TKN73" s="264">
        <v>5.7000000000000002E-2</v>
      </c>
      <c r="TKO73" s="193"/>
      <c r="TKP73" s="263" t="s">
        <v>2</v>
      </c>
      <c r="TKQ73" s="193"/>
      <c r="TKR73" s="255" t="s">
        <v>168</v>
      </c>
      <c r="TKS73" s="263" t="s">
        <v>31</v>
      </c>
      <c r="TKT73" s="254"/>
      <c r="TKU73" s="254"/>
      <c r="TKV73" s="264">
        <v>5.7000000000000002E-2</v>
      </c>
      <c r="TKW73" s="193"/>
      <c r="TKX73" s="263" t="s">
        <v>2</v>
      </c>
      <c r="TKY73" s="193"/>
      <c r="TKZ73" s="255" t="s">
        <v>168</v>
      </c>
      <c r="TLA73" s="263" t="s">
        <v>31</v>
      </c>
      <c r="TLB73" s="254"/>
      <c r="TLC73" s="254"/>
      <c r="TLD73" s="264">
        <v>5.7000000000000002E-2</v>
      </c>
      <c r="TLE73" s="193"/>
      <c r="TLF73" s="263" t="s">
        <v>2</v>
      </c>
      <c r="TLG73" s="193"/>
      <c r="TLH73" s="255" t="s">
        <v>168</v>
      </c>
      <c r="TLI73" s="263" t="s">
        <v>31</v>
      </c>
      <c r="TLJ73" s="254"/>
      <c r="TLK73" s="254"/>
      <c r="TLL73" s="264">
        <v>5.7000000000000002E-2</v>
      </c>
      <c r="TLM73" s="193"/>
      <c r="TLN73" s="263" t="s">
        <v>2</v>
      </c>
      <c r="TLO73" s="193"/>
      <c r="TLP73" s="255" t="s">
        <v>168</v>
      </c>
      <c r="TLQ73" s="263" t="s">
        <v>31</v>
      </c>
      <c r="TLR73" s="254"/>
      <c r="TLS73" s="254"/>
      <c r="TLT73" s="264">
        <v>5.7000000000000002E-2</v>
      </c>
      <c r="TLU73" s="193"/>
      <c r="TLV73" s="263" t="s">
        <v>2</v>
      </c>
      <c r="TLW73" s="193"/>
      <c r="TLX73" s="255" t="s">
        <v>168</v>
      </c>
      <c r="TLY73" s="263" t="s">
        <v>31</v>
      </c>
      <c r="TLZ73" s="254"/>
      <c r="TMA73" s="254"/>
      <c r="TMB73" s="264">
        <v>5.7000000000000002E-2</v>
      </c>
      <c r="TMC73" s="193"/>
      <c r="TMD73" s="263" t="s">
        <v>2</v>
      </c>
      <c r="TME73" s="193"/>
      <c r="TMF73" s="255" t="s">
        <v>168</v>
      </c>
      <c r="TMG73" s="263" t="s">
        <v>31</v>
      </c>
      <c r="TMH73" s="254"/>
      <c r="TMI73" s="254"/>
      <c r="TMJ73" s="264">
        <v>5.7000000000000002E-2</v>
      </c>
      <c r="TMK73" s="193"/>
      <c r="TML73" s="263" t="s">
        <v>2</v>
      </c>
      <c r="TMM73" s="193"/>
      <c r="TMN73" s="255" t="s">
        <v>168</v>
      </c>
      <c r="TMO73" s="263" t="s">
        <v>31</v>
      </c>
      <c r="TMP73" s="254"/>
      <c r="TMQ73" s="254"/>
      <c r="TMR73" s="264">
        <v>5.7000000000000002E-2</v>
      </c>
      <c r="TMS73" s="193"/>
      <c r="TMT73" s="263" t="s">
        <v>2</v>
      </c>
      <c r="TMU73" s="193"/>
      <c r="TMV73" s="255" t="s">
        <v>168</v>
      </c>
      <c r="TMW73" s="263" t="s">
        <v>31</v>
      </c>
      <c r="TMX73" s="254"/>
      <c r="TMY73" s="254"/>
      <c r="TMZ73" s="264">
        <v>5.7000000000000002E-2</v>
      </c>
      <c r="TNA73" s="193"/>
      <c r="TNB73" s="263" t="s">
        <v>2</v>
      </c>
      <c r="TNC73" s="193"/>
      <c r="TND73" s="255" t="s">
        <v>168</v>
      </c>
      <c r="TNE73" s="263" t="s">
        <v>31</v>
      </c>
      <c r="TNF73" s="254"/>
      <c r="TNG73" s="254"/>
      <c r="TNH73" s="264">
        <v>5.7000000000000002E-2</v>
      </c>
      <c r="TNI73" s="193"/>
      <c r="TNJ73" s="263" t="s">
        <v>2</v>
      </c>
      <c r="TNK73" s="193"/>
      <c r="TNL73" s="255" t="s">
        <v>168</v>
      </c>
      <c r="TNM73" s="263" t="s">
        <v>31</v>
      </c>
      <c r="TNN73" s="254"/>
      <c r="TNO73" s="254"/>
      <c r="TNP73" s="264">
        <v>5.7000000000000002E-2</v>
      </c>
      <c r="TNQ73" s="193"/>
      <c r="TNR73" s="263" t="s">
        <v>2</v>
      </c>
      <c r="TNS73" s="193"/>
      <c r="TNT73" s="255" t="s">
        <v>168</v>
      </c>
      <c r="TNU73" s="263" t="s">
        <v>31</v>
      </c>
      <c r="TNV73" s="254"/>
      <c r="TNW73" s="254"/>
      <c r="TNX73" s="264">
        <v>5.7000000000000002E-2</v>
      </c>
      <c r="TNY73" s="193"/>
      <c r="TNZ73" s="263" t="s">
        <v>2</v>
      </c>
      <c r="TOA73" s="193"/>
      <c r="TOB73" s="255" t="s">
        <v>168</v>
      </c>
      <c r="TOC73" s="263" t="s">
        <v>31</v>
      </c>
      <c r="TOD73" s="254"/>
      <c r="TOE73" s="254"/>
      <c r="TOF73" s="264">
        <v>5.7000000000000002E-2</v>
      </c>
      <c r="TOG73" s="193"/>
      <c r="TOH73" s="263" t="s">
        <v>2</v>
      </c>
      <c r="TOI73" s="193"/>
      <c r="TOJ73" s="255" t="s">
        <v>168</v>
      </c>
      <c r="TOK73" s="263" t="s">
        <v>31</v>
      </c>
      <c r="TOL73" s="254"/>
      <c r="TOM73" s="254"/>
      <c r="TON73" s="264">
        <v>5.7000000000000002E-2</v>
      </c>
      <c r="TOO73" s="193"/>
      <c r="TOP73" s="263" t="s">
        <v>2</v>
      </c>
      <c r="TOQ73" s="193"/>
      <c r="TOR73" s="255" t="s">
        <v>168</v>
      </c>
      <c r="TOS73" s="263" t="s">
        <v>31</v>
      </c>
      <c r="TOT73" s="254"/>
      <c r="TOU73" s="254"/>
      <c r="TOV73" s="264">
        <v>5.7000000000000002E-2</v>
      </c>
      <c r="TOW73" s="193"/>
      <c r="TOX73" s="263" t="s">
        <v>2</v>
      </c>
      <c r="TOY73" s="193"/>
      <c r="TOZ73" s="255" t="s">
        <v>168</v>
      </c>
      <c r="TPA73" s="263" t="s">
        <v>31</v>
      </c>
      <c r="TPB73" s="254"/>
      <c r="TPC73" s="254"/>
      <c r="TPD73" s="264">
        <v>5.7000000000000002E-2</v>
      </c>
      <c r="TPE73" s="193"/>
      <c r="TPF73" s="263" t="s">
        <v>2</v>
      </c>
      <c r="TPG73" s="193"/>
      <c r="TPH73" s="255" t="s">
        <v>168</v>
      </c>
      <c r="TPI73" s="263" t="s">
        <v>31</v>
      </c>
      <c r="TPJ73" s="254"/>
      <c r="TPK73" s="254"/>
      <c r="TPL73" s="264">
        <v>5.7000000000000002E-2</v>
      </c>
      <c r="TPM73" s="193"/>
      <c r="TPN73" s="263" t="s">
        <v>2</v>
      </c>
      <c r="TPO73" s="193"/>
      <c r="TPP73" s="255" t="s">
        <v>168</v>
      </c>
      <c r="TPQ73" s="263" t="s">
        <v>31</v>
      </c>
      <c r="TPR73" s="254"/>
      <c r="TPS73" s="254"/>
      <c r="TPT73" s="264">
        <v>5.7000000000000002E-2</v>
      </c>
      <c r="TPU73" s="193"/>
      <c r="TPV73" s="263" t="s">
        <v>2</v>
      </c>
      <c r="TPW73" s="193"/>
      <c r="TPX73" s="255" t="s">
        <v>168</v>
      </c>
      <c r="TPY73" s="263" t="s">
        <v>31</v>
      </c>
      <c r="TPZ73" s="254"/>
      <c r="TQA73" s="254"/>
      <c r="TQB73" s="264">
        <v>5.7000000000000002E-2</v>
      </c>
      <c r="TQC73" s="193"/>
      <c r="TQD73" s="263" t="s">
        <v>2</v>
      </c>
      <c r="TQE73" s="193"/>
      <c r="TQF73" s="255" t="s">
        <v>168</v>
      </c>
      <c r="TQG73" s="263" t="s">
        <v>31</v>
      </c>
      <c r="TQH73" s="254"/>
      <c r="TQI73" s="254"/>
      <c r="TQJ73" s="264">
        <v>5.7000000000000002E-2</v>
      </c>
      <c r="TQK73" s="193"/>
      <c r="TQL73" s="263" t="s">
        <v>2</v>
      </c>
      <c r="TQM73" s="193"/>
      <c r="TQN73" s="255" t="s">
        <v>168</v>
      </c>
      <c r="TQO73" s="263" t="s">
        <v>31</v>
      </c>
      <c r="TQP73" s="254"/>
      <c r="TQQ73" s="254"/>
      <c r="TQR73" s="264">
        <v>5.7000000000000002E-2</v>
      </c>
      <c r="TQS73" s="193"/>
      <c r="TQT73" s="263" t="s">
        <v>2</v>
      </c>
      <c r="TQU73" s="193"/>
      <c r="TQV73" s="255" t="s">
        <v>168</v>
      </c>
      <c r="TQW73" s="263" t="s">
        <v>31</v>
      </c>
      <c r="TQX73" s="254"/>
      <c r="TQY73" s="254"/>
      <c r="TQZ73" s="264">
        <v>5.7000000000000002E-2</v>
      </c>
      <c r="TRA73" s="193"/>
      <c r="TRB73" s="263" t="s">
        <v>2</v>
      </c>
      <c r="TRC73" s="193"/>
      <c r="TRD73" s="255" t="s">
        <v>168</v>
      </c>
      <c r="TRE73" s="263" t="s">
        <v>31</v>
      </c>
      <c r="TRF73" s="254"/>
      <c r="TRG73" s="254"/>
      <c r="TRH73" s="264">
        <v>5.7000000000000002E-2</v>
      </c>
      <c r="TRI73" s="193"/>
      <c r="TRJ73" s="263" t="s">
        <v>2</v>
      </c>
      <c r="TRK73" s="193"/>
      <c r="TRL73" s="255" t="s">
        <v>168</v>
      </c>
      <c r="TRM73" s="263" t="s">
        <v>31</v>
      </c>
      <c r="TRN73" s="254"/>
      <c r="TRO73" s="254"/>
      <c r="TRP73" s="264">
        <v>5.7000000000000002E-2</v>
      </c>
      <c r="TRQ73" s="193"/>
      <c r="TRR73" s="263" t="s">
        <v>2</v>
      </c>
      <c r="TRS73" s="193"/>
      <c r="TRT73" s="255" t="s">
        <v>168</v>
      </c>
      <c r="TRU73" s="263" t="s">
        <v>31</v>
      </c>
      <c r="TRV73" s="254"/>
      <c r="TRW73" s="254"/>
      <c r="TRX73" s="264">
        <v>5.7000000000000002E-2</v>
      </c>
      <c r="TRY73" s="193"/>
      <c r="TRZ73" s="263" t="s">
        <v>2</v>
      </c>
      <c r="TSA73" s="193"/>
      <c r="TSB73" s="255" t="s">
        <v>168</v>
      </c>
      <c r="TSC73" s="263" t="s">
        <v>31</v>
      </c>
      <c r="TSD73" s="254"/>
      <c r="TSE73" s="254"/>
      <c r="TSF73" s="264">
        <v>5.7000000000000002E-2</v>
      </c>
      <c r="TSG73" s="193"/>
      <c r="TSH73" s="263" t="s">
        <v>2</v>
      </c>
      <c r="TSI73" s="193"/>
      <c r="TSJ73" s="255" t="s">
        <v>168</v>
      </c>
      <c r="TSK73" s="263" t="s">
        <v>31</v>
      </c>
      <c r="TSL73" s="254"/>
      <c r="TSM73" s="254"/>
      <c r="TSN73" s="264">
        <v>5.7000000000000002E-2</v>
      </c>
      <c r="TSO73" s="193"/>
      <c r="TSP73" s="263" t="s">
        <v>2</v>
      </c>
      <c r="TSQ73" s="193"/>
      <c r="TSR73" s="255" t="s">
        <v>168</v>
      </c>
      <c r="TSS73" s="263" t="s">
        <v>31</v>
      </c>
      <c r="TST73" s="254"/>
      <c r="TSU73" s="254"/>
      <c r="TSV73" s="264">
        <v>5.7000000000000002E-2</v>
      </c>
      <c r="TSW73" s="193"/>
      <c r="TSX73" s="263" t="s">
        <v>2</v>
      </c>
      <c r="TSY73" s="193"/>
      <c r="TSZ73" s="255" t="s">
        <v>168</v>
      </c>
      <c r="TTA73" s="263" t="s">
        <v>31</v>
      </c>
      <c r="TTB73" s="254"/>
      <c r="TTC73" s="254"/>
      <c r="TTD73" s="264">
        <v>5.7000000000000002E-2</v>
      </c>
      <c r="TTE73" s="193"/>
      <c r="TTF73" s="263" t="s">
        <v>2</v>
      </c>
      <c r="TTG73" s="193"/>
      <c r="TTH73" s="255" t="s">
        <v>168</v>
      </c>
      <c r="TTI73" s="263" t="s">
        <v>31</v>
      </c>
      <c r="TTJ73" s="254"/>
      <c r="TTK73" s="254"/>
      <c r="TTL73" s="264">
        <v>5.7000000000000002E-2</v>
      </c>
      <c r="TTM73" s="193"/>
      <c r="TTN73" s="263" t="s">
        <v>2</v>
      </c>
      <c r="TTO73" s="193"/>
      <c r="TTP73" s="255" t="s">
        <v>168</v>
      </c>
      <c r="TTQ73" s="263" t="s">
        <v>31</v>
      </c>
      <c r="TTR73" s="254"/>
      <c r="TTS73" s="254"/>
      <c r="TTT73" s="264">
        <v>5.7000000000000002E-2</v>
      </c>
      <c r="TTU73" s="193"/>
      <c r="TTV73" s="263" t="s">
        <v>2</v>
      </c>
      <c r="TTW73" s="193"/>
      <c r="TTX73" s="255" t="s">
        <v>168</v>
      </c>
      <c r="TTY73" s="263" t="s">
        <v>31</v>
      </c>
      <c r="TTZ73" s="254"/>
      <c r="TUA73" s="254"/>
      <c r="TUB73" s="264">
        <v>5.7000000000000002E-2</v>
      </c>
      <c r="TUC73" s="193"/>
      <c r="TUD73" s="263" t="s">
        <v>2</v>
      </c>
      <c r="TUE73" s="193"/>
      <c r="TUF73" s="255" t="s">
        <v>168</v>
      </c>
      <c r="TUG73" s="263" t="s">
        <v>31</v>
      </c>
      <c r="TUH73" s="254"/>
      <c r="TUI73" s="254"/>
      <c r="TUJ73" s="264">
        <v>5.7000000000000002E-2</v>
      </c>
      <c r="TUK73" s="193"/>
      <c r="TUL73" s="263" t="s">
        <v>2</v>
      </c>
      <c r="TUM73" s="193"/>
      <c r="TUN73" s="255" t="s">
        <v>168</v>
      </c>
      <c r="TUO73" s="263" t="s">
        <v>31</v>
      </c>
      <c r="TUP73" s="254"/>
      <c r="TUQ73" s="254"/>
      <c r="TUR73" s="264">
        <v>5.7000000000000002E-2</v>
      </c>
      <c r="TUS73" s="193"/>
      <c r="TUT73" s="263" t="s">
        <v>2</v>
      </c>
      <c r="TUU73" s="193"/>
      <c r="TUV73" s="255" t="s">
        <v>168</v>
      </c>
      <c r="TUW73" s="263" t="s">
        <v>31</v>
      </c>
      <c r="TUX73" s="254"/>
      <c r="TUY73" s="254"/>
      <c r="TUZ73" s="264">
        <v>5.7000000000000002E-2</v>
      </c>
      <c r="TVA73" s="193"/>
      <c r="TVB73" s="263" t="s">
        <v>2</v>
      </c>
      <c r="TVC73" s="193"/>
      <c r="TVD73" s="255" t="s">
        <v>168</v>
      </c>
      <c r="TVE73" s="263" t="s">
        <v>31</v>
      </c>
      <c r="TVF73" s="254"/>
      <c r="TVG73" s="254"/>
      <c r="TVH73" s="264">
        <v>5.7000000000000002E-2</v>
      </c>
      <c r="TVI73" s="193"/>
      <c r="TVJ73" s="263" t="s">
        <v>2</v>
      </c>
      <c r="TVK73" s="193"/>
      <c r="TVL73" s="255" t="s">
        <v>168</v>
      </c>
      <c r="TVM73" s="263" t="s">
        <v>31</v>
      </c>
      <c r="TVN73" s="254"/>
      <c r="TVO73" s="254"/>
      <c r="TVP73" s="264">
        <v>5.7000000000000002E-2</v>
      </c>
      <c r="TVQ73" s="193"/>
      <c r="TVR73" s="263" t="s">
        <v>2</v>
      </c>
      <c r="TVS73" s="193"/>
      <c r="TVT73" s="255" t="s">
        <v>168</v>
      </c>
      <c r="TVU73" s="263" t="s">
        <v>31</v>
      </c>
      <c r="TVV73" s="254"/>
      <c r="TVW73" s="254"/>
      <c r="TVX73" s="264">
        <v>5.7000000000000002E-2</v>
      </c>
      <c r="TVY73" s="193"/>
      <c r="TVZ73" s="263" t="s">
        <v>2</v>
      </c>
      <c r="TWA73" s="193"/>
      <c r="TWB73" s="255" t="s">
        <v>168</v>
      </c>
      <c r="TWC73" s="263" t="s">
        <v>31</v>
      </c>
      <c r="TWD73" s="254"/>
      <c r="TWE73" s="254"/>
      <c r="TWF73" s="264">
        <v>5.7000000000000002E-2</v>
      </c>
      <c r="TWG73" s="193"/>
      <c r="TWH73" s="263" t="s">
        <v>2</v>
      </c>
      <c r="TWI73" s="193"/>
      <c r="TWJ73" s="255" t="s">
        <v>168</v>
      </c>
      <c r="TWK73" s="263" t="s">
        <v>31</v>
      </c>
      <c r="TWL73" s="254"/>
      <c r="TWM73" s="254"/>
      <c r="TWN73" s="264">
        <v>5.7000000000000002E-2</v>
      </c>
      <c r="TWO73" s="193"/>
      <c r="TWP73" s="263" t="s">
        <v>2</v>
      </c>
      <c r="TWQ73" s="193"/>
      <c r="TWR73" s="255" t="s">
        <v>168</v>
      </c>
      <c r="TWS73" s="263" t="s">
        <v>31</v>
      </c>
      <c r="TWT73" s="254"/>
      <c r="TWU73" s="254"/>
      <c r="TWV73" s="264">
        <v>5.7000000000000002E-2</v>
      </c>
      <c r="TWW73" s="193"/>
      <c r="TWX73" s="263" t="s">
        <v>2</v>
      </c>
      <c r="TWY73" s="193"/>
      <c r="TWZ73" s="255" t="s">
        <v>168</v>
      </c>
      <c r="TXA73" s="263" t="s">
        <v>31</v>
      </c>
      <c r="TXB73" s="254"/>
      <c r="TXC73" s="254"/>
      <c r="TXD73" s="264">
        <v>5.7000000000000002E-2</v>
      </c>
      <c r="TXE73" s="193"/>
      <c r="TXF73" s="263" t="s">
        <v>2</v>
      </c>
      <c r="TXG73" s="193"/>
      <c r="TXH73" s="255" t="s">
        <v>168</v>
      </c>
      <c r="TXI73" s="263" t="s">
        <v>31</v>
      </c>
      <c r="TXJ73" s="254"/>
      <c r="TXK73" s="254"/>
      <c r="TXL73" s="264">
        <v>5.7000000000000002E-2</v>
      </c>
      <c r="TXM73" s="193"/>
      <c r="TXN73" s="263" t="s">
        <v>2</v>
      </c>
      <c r="TXO73" s="193"/>
      <c r="TXP73" s="255" t="s">
        <v>168</v>
      </c>
      <c r="TXQ73" s="263" t="s">
        <v>31</v>
      </c>
      <c r="TXR73" s="254"/>
      <c r="TXS73" s="254"/>
      <c r="TXT73" s="264">
        <v>5.7000000000000002E-2</v>
      </c>
      <c r="TXU73" s="193"/>
      <c r="TXV73" s="263" t="s">
        <v>2</v>
      </c>
      <c r="TXW73" s="193"/>
      <c r="TXX73" s="255" t="s">
        <v>168</v>
      </c>
      <c r="TXY73" s="263" t="s">
        <v>31</v>
      </c>
      <c r="TXZ73" s="254"/>
      <c r="TYA73" s="254"/>
      <c r="TYB73" s="264">
        <v>5.7000000000000002E-2</v>
      </c>
      <c r="TYC73" s="193"/>
      <c r="TYD73" s="263" t="s">
        <v>2</v>
      </c>
      <c r="TYE73" s="193"/>
      <c r="TYF73" s="255" t="s">
        <v>168</v>
      </c>
      <c r="TYG73" s="263" t="s">
        <v>31</v>
      </c>
      <c r="TYH73" s="254"/>
      <c r="TYI73" s="254"/>
      <c r="TYJ73" s="264">
        <v>5.7000000000000002E-2</v>
      </c>
      <c r="TYK73" s="193"/>
      <c r="TYL73" s="263" t="s">
        <v>2</v>
      </c>
      <c r="TYM73" s="193"/>
      <c r="TYN73" s="255" t="s">
        <v>168</v>
      </c>
      <c r="TYO73" s="263" t="s">
        <v>31</v>
      </c>
      <c r="TYP73" s="254"/>
      <c r="TYQ73" s="254"/>
      <c r="TYR73" s="264">
        <v>5.7000000000000002E-2</v>
      </c>
      <c r="TYS73" s="193"/>
      <c r="TYT73" s="263" t="s">
        <v>2</v>
      </c>
      <c r="TYU73" s="193"/>
      <c r="TYV73" s="255" t="s">
        <v>168</v>
      </c>
      <c r="TYW73" s="263" t="s">
        <v>31</v>
      </c>
      <c r="TYX73" s="254"/>
      <c r="TYY73" s="254"/>
      <c r="TYZ73" s="264">
        <v>5.7000000000000002E-2</v>
      </c>
      <c r="TZA73" s="193"/>
      <c r="TZB73" s="263" t="s">
        <v>2</v>
      </c>
      <c r="TZC73" s="193"/>
      <c r="TZD73" s="255" t="s">
        <v>168</v>
      </c>
      <c r="TZE73" s="263" t="s">
        <v>31</v>
      </c>
      <c r="TZF73" s="254"/>
      <c r="TZG73" s="254"/>
      <c r="TZH73" s="264">
        <v>5.7000000000000002E-2</v>
      </c>
      <c r="TZI73" s="193"/>
      <c r="TZJ73" s="263" t="s">
        <v>2</v>
      </c>
      <c r="TZK73" s="193"/>
      <c r="TZL73" s="255" t="s">
        <v>168</v>
      </c>
      <c r="TZM73" s="263" t="s">
        <v>31</v>
      </c>
      <c r="TZN73" s="254"/>
      <c r="TZO73" s="254"/>
      <c r="TZP73" s="264">
        <v>5.7000000000000002E-2</v>
      </c>
      <c r="TZQ73" s="193"/>
      <c r="TZR73" s="263" t="s">
        <v>2</v>
      </c>
      <c r="TZS73" s="193"/>
      <c r="TZT73" s="255" t="s">
        <v>168</v>
      </c>
      <c r="TZU73" s="263" t="s">
        <v>31</v>
      </c>
      <c r="TZV73" s="254"/>
      <c r="TZW73" s="254"/>
      <c r="TZX73" s="264">
        <v>5.7000000000000002E-2</v>
      </c>
      <c r="TZY73" s="193"/>
      <c r="TZZ73" s="263" t="s">
        <v>2</v>
      </c>
      <c r="UAA73" s="193"/>
      <c r="UAB73" s="255" t="s">
        <v>168</v>
      </c>
      <c r="UAC73" s="263" t="s">
        <v>31</v>
      </c>
      <c r="UAD73" s="254"/>
      <c r="UAE73" s="254"/>
      <c r="UAF73" s="264">
        <v>5.7000000000000002E-2</v>
      </c>
      <c r="UAG73" s="193"/>
      <c r="UAH73" s="263" t="s">
        <v>2</v>
      </c>
      <c r="UAI73" s="193"/>
      <c r="UAJ73" s="255" t="s">
        <v>168</v>
      </c>
      <c r="UAK73" s="263" t="s">
        <v>31</v>
      </c>
      <c r="UAL73" s="254"/>
      <c r="UAM73" s="254"/>
      <c r="UAN73" s="264">
        <v>5.7000000000000002E-2</v>
      </c>
      <c r="UAO73" s="193"/>
      <c r="UAP73" s="263" t="s">
        <v>2</v>
      </c>
      <c r="UAQ73" s="193"/>
      <c r="UAR73" s="255" t="s">
        <v>168</v>
      </c>
      <c r="UAS73" s="263" t="s">
        <v>31</v>
      </c>
      <c r="UAT73" s="254"/>
      <c r="UAU73" s="254"/>
      <c r="UAV73" s="264">
        <v>5.7000000000000002E-2</v>
      </c>
      <c r="UAW73" s="193"/>
      <c r="UAX73" s="263" t="s">
        <v>2</v>
      </c>
      <c r="UAY73" s="193"/>
      <c r="UAZ73" s="255" t="s">
        <v>168</v>
      </c>
      <c r="UBA73" s="263" t="s">
        <v>31</v>
      </c>
      <c r="UBB73" s="254"/>
      <c r="UBC73" s="254"/>
      <c r="UBD73" s="264">
        <v>5.7000000000000002E-2</v>
      </c>
      <c r="UBE73" s="193"/>
      <c r="UBF73" s="263" t="s">
        <v>2</v>
      </c>
      <c r="UBG73" s="193"/>
      <c r="UBH73" s="255" t="s">
        <v>168</v>
      </c>
      <c r="UBI73" s="263" t="s">
        <v>31</v>
      </c>
      <c r="UBJ73" s="254"/>
      <c r="UBK73" s="254"/>
      <c r="UBL73" s="264">
        <v>5.7000000000000002E-2</v>
      </c>
      <c r="UBM73" s="193"/>
      <c r="UBN73" s="263" t="s">
        <v>2</v>
      </c>
      <c r="UBO73" s="193"/>
      <c r="UBP73" s="255" t="s">
        <v>168</v>
      </c>
      <c r="UBQ73" s="263" t="s">
        <v>31</v>
      </c>
      <c r="UBR73" s="254"/>
      <c r="UBS73" s="254"/>
      <c r="UBT73" s="264">
        <v>5.7000000000000002E-2</v>
      </c>
      <c r="UBU73" s="193"/>
      <c r="UBV73" s="263" t="s">
        <v>2</v>
      </c>
      <c r="UBW73" s="193"/>
      <c r="UBX73" s="255" t="s">
        <v>168</v>
      </c>
      <c r="UBY73" s="263" t="s">
        <v>31</v>
      </c>
      <c r="UBZ73" s="254"/>
      <c r="UCA73" s="254"/>
      <c r="UCB73" s="264">
        <v>5.7000000000000002E-2</v>
      </c>
      <c r="UCC73" s="193"/>
      <c r="UCD73" s="263" t="s">
        <v>2</v>
      </c>
      <c r="UCE73" s="193"/>
      <c r="UCF73" s="255" t="s">
        <v>168</v>
      </c>
      <c r="UCG73" s="263" t="s">
        <v>31</v>
      </c>
      <c r="UCH73" s="254"/>
      <c r="UCI73" s="254"/>
      <c r="UCJ73" s="264">
        <v>5.7000000000000002E-2</v>
      </c>
      <c r="UCK73" s="193"/>
      <c r="UCL73" s="263" t="s">
        <v>2</v>
      </c>
      <c r="UCM73" s="193"/>
      <c r="UCN73" s="255" t="s">
        <v>168</v>
      </c>
      <c r="UCO73" s="263" t="s">
        <v>31</v>
      </c>
      <c r="UCP73" s="254"/>
      <c r="UCQ73" s="254"/>
      <c r="UCR73" s="264">
        <v>5.7000000000000002E-2</v>
      </c>
      <c r="UCS73" s="193"/>
      <c r="UCT73" s="263" t="s">
        <v>2</v>
      </c>
      <c r="UCU73" s="193"/>
      <c r="UCV73" s="255" t="s">
        <v>168</v>
      </c>
      <c r="UCW73" s="263" t="s">
        <v>31</v>
      </c>
      <c r="UCX73" s="254"/>
      <c r="UCY73" s="254"/>
      <c r="UCZ73" s="264">
        <v>5.7000000000000002E-2</v>
      </c>
      <c r="UDA73" s="193"/>
      <c r="UDB73" s="263" t="s">
        <v>2</v>
      </c>
      <c r="UDC73" s="193"/>
      <c r="UDD73" s="255" t="s">
        <v>168</v>
      </c>
      <c r="UDE73" s="263" t="s">
        <v>31</v>
      </c>
      <c r="UDF73" s="254"/>
      <c r="UDG73" s="254"/>
      <c r="UDH73" s="264">
        <v>5.7000000000000002E-2</v>
      </c>
      <c r="UDI73" s="193"/>
      <c r="UDJ73" s="263" t="s">
        <v>2</v>
      </c>
      <c r="UDK73" s="193"/>
      <c r="UDL73" s="255" t="s">
        <v>168</v>
      </c>
      <c r="UDM73" s="263" t="s">
        <v>31</v>
      </c>
      <c r="UDN73" s="254"/>
      <c r="UDO73" s="254"/>
      <c r="UDP73" s="264">
        <v>5.7000000000000002E-2</v>
      </c>
      <c r="UDQ73" s="193"/>
      <c r="UDR73" s="263" t="s">
        <v>2</v>
      </c>
      <c r="UDS73" s="193"/>
      <c r="UDT73" s="255" t="s">
        <v>168</v>
      </c>
      <c r="UDU73" s="263" t="s">
        <v>31</v>
      </c>
      <c r="UDV73" s="254"/>
      <c r="UDW73" s="254"/>
      <c r="UDX73" s="264">
        <v>5.7000000000000002E-2</v>
      </c>
      <c r="UDY73" s="193"/>
      <c r="UDZ73" s="263" t="s">
        <v>2</v>
      </c>
      <c r="UEA73" s="193"/>
      <c r="UEB73" s="255" t="s">
        <v>168</v>
      </c>
      <c r="UEC73" s="263" t="s">
        <v>31</v>
      </c>
      <c r="UED73" s="254"/>
      <c r="UEE73" s="254"/>
      <c r="UEF73" s="264">
        <v>5.7000000000000002E-2</v>
      </c>
      <c r="UEG73" s="193"/>
      <c r="UEH73" s="263" t="s">
        <v>2</v>
      </c>
      <c r="UEI73" s="193"/>
      <c r="UEJ73" s="255" t="s">
        <v>168</v>
      </c>
      <c r="UEK73" s="263" t="s">
        <v>31</v>
      </c>
      <c r="UEL73" s="254"/>
      <c r="UEM73" s="254"/>
      <c r="UEN73" s="264">
        <v>5.7000000000000002E-2</v>
      </c>
      <c r="UEO73" s="193"/>
      <c r="UEP73" s="263" t="s">
        <v>2</v>
      </c>
      <c r="UEQ73" s="193"/>
      <c r="UER73" s="255" t="s">
        <v>168</v>
      </c>
      <c r="UES73" s="263" t="s">
        <v>31</v>
      </c>
      <c r="UET73" s="254"/>
      <c r="UEU73" s="254"/>
      <c r="UEV73" s="264">
        <v>5.7000000000000002E-2</v>
      </c>
      <c r="UEW73" s="193"/>
      <c r="UEX73" s="263" t="s">
        <v>2</v>
      </c>
      <c r="UEY73" s="193"/>
      <c r="UEZ73" s="255" t="s">
        <v>168</v>
      </c>
      <c r="UFA73" s="263" t="s">
        <v>31</v>
      </c>
      <c r="UFB73" s="254"/>
      <c r="UFC73" s="254"/>
      <c r="UFD73" s="264">
        <v>5.7000000000000002E-2</v>
      </c>
      <c r="UFE73" s="193"/>
      <c r="UFF73" s="263" t="s">
        <v>2</v>
      </c>
      <c r="UFG73" s="193"/>
      <c r="UFH73" s="255" t="s">
        <v>168</v>
      </c>
      <c r="UFI73" s="263" t="s">
        <v>31</v>
      </c>
      <c r="UFJ73" s="254"/>
      <c r="UFK73" s="254"/>
      <c r="UFL73" s="264">
        <v>5.7000000000000002E-2</v>
      </c>
      <c r="UFM73" s="193"/>
      <c r="UFN73" s="263" t="s">
        <v>2</v>
      </c>
      <c r="UFO73" s="193"/>
      <c r="UFP73" s="255" t="s">
        <v>168</v>
      </c>
      <c r="UFQ73" s="263" t="s">
        <v>31</v>
      </c>
      <c r="UFR73" s="254"/>
      <c r="UFS73" s="254"/>
      <c r="UFT73" s="264">
        <v>5.7000000000000002E-2</v>
      </c>
      <c r="UFU73" s="193"/>
      <c r="UFV73" s="263" t="s">
        <v>2</v>
      </c>
      <c r="UFW73" s="193"/>
      <c r="UFX73" s="255" t="s">
        <v>168</v>
      </c>
      <c r="UFY73" s="263" t="s">
        <v>31</v>
      </c>
      <c r="UFZ73" s="254"/>
      <c r="UGA73" s="254"/>
      <c r="UGB73" s="264">
        <v>5.7000000000000002E-2</v>
      </c>
      <c r="UGC73" s="193"/>
      <c r="UGD73" s="263" t="s">
        <v>2</v>
      </c>
      <c r="UGE73" s="193"/>
      <c r="UGF73" s="255" t="s">
        <v>168</v>
      </c>
      <c r="UGG73" s="263" t="s">
        <v>31</v>
      </c>
      <c r="UGH73" s="254"/>
      <c r="UGI73" s="254"/>
      <c r="UGJ73" s="264">
        <v>5.7000000000000002E-2</v>
      </c>
      <c r="UGK73" s="193"/>
      <c r="UGL73" s="263" t="s">
        <v>2</v>
      </c>
      <c r="UGM73" s="193"/>
      <c r="UGN73" s="255" t="s">
        <v>168</v>
      </c>
      <c r="UGO73" s="263" t="s">
        <v>31</v>
      </c>
      <c r="UGP73" s="254"/>
      <c r="UGQ73" s="254"/>
      <c r="UGR73" s="264">
        <v>5.7000000000000002E-2</v>
      </c>
      <c r="UGS73" s="193"/>
      <c r="UGT73" s="263" t="s">
        <v>2</v>
      </c>
      <c r="UGU73" s="193"/>
      <c r="UGV73" s="255" t="s">
        <v>168</v>
      </c>
      <c r="UGW73" s="263" t="s">
        <v>31</v>
      </c>
      <c r="UGX73" s="254"/>
      <c r="UGY73" s="254"/>
      <c r="UGZ73" s="264">
        <v>5.7000000000000002E-2</v>
      </c>
      <c r="UHA73" s="193"/>
      <c r="UHB73" s="263" t="s">
        <v>2</v>
      </c>
      <c r="UHC73" s="193"/>
      <c r="UHD73" s="255" t="s">
        <v>168</v>
      </c>
      <c r="UHE73" s="263" t="s">
        <v>31</v>
      </c>
      <c r="UHF73" s="254"/>
      <c r="UHG73" s="254"/>
      <c r="UHH73" s="264">
        <v>5.7000000000000002E-2</v>
      </c>
      <c r="UHI73" s="193"/>
      <c r="UHJ73" s="263" t="s">
        <v>2</v>
      </c>
      <c r="UHK73" s="193"/>
      <c r="UHL73" s="255" t="s">
        <v>168</v>
      </c>
      <c r="UHM73" s="263" t="s">
        <v>31</v>
      </c>
      <c r="UHN73" s="254"/>
      <c r="UHO73" s="254"/>
      <c r="UHP73" s="264">
        <v>5.7000000000000002E-2</v>
      </c>
      <c r="UHQ73" s="193"/>
      <c r="UHR73" s="263" t="s">
        <v>2</v>
      </c>
      <c r="UHS73" s="193"/>
      <c r="UHT73" s="255" t="s">
        <v>168</v>
      </c>
      <c r="UHU73" s="263" t="s">
        <v>31</v>
      </c>
      <c r="UHV73" s="254"/>
      <c r="UHW73" s="254"/>
      <c r="UHX73" s="264">
        <v>5.7000000000000002E-2</v>
      </c>
      <c r="UHY73" s="193"/>
      <c r="UHZ73" s="263" t="s">
        <v>2</v>
      </c>
      <c r="UIA73" s="193"/>
      <c r="UIB73" s="255" t="s">
        <v>168</v>
      </c>
      <c r="UIC73" s="263" t="s">
        <v>31</v>
      </c>
      <c r="UID73" s="254"/>
      <c r="UIE73" s="254"/>
      <c r="UIF73" s="264">
        <v>5.7000000000000002E-2</v>
      </c>
      <c r="UIG73" s="193"/>
      <c r="UIH73" s="263" t="s">
        <v>2</v>
      </c>
      <c r="UII73" s="193"/>
      <c r="UIJ73" s="255" t="s">
        <v>168</v>
      </c>
      <c r="UIK73" s="263" t="s">
        <v>31</v>
      </c>
      <c r="UIL73" s="254"/>
      <c r="UIM73" s="254"/>
      <c r="UIN73" s="264">
        <v>5.7000000000000002E-2</v>
      </c>
      <c r="UIO73" s="193"/>
      <c r="UIP73" s="263" t="s">
        <v>2</v>
      </c>
      <c r="UIQ73" s="193"/>
      <c r="UIR73" s="255" t="s">
        <v>168</v>
      </c>
      <c r="UIS73" s="263" t="s">
        <v>31</v>
      </c>
      <c r="UIT73" s="254"/>
      <c r="UIU73" s="254"/>
      <c r="UIV73" s="264">
        <v>5.7000000000000002E-2</v>
      </c>
      <c r="UIW73" s="193"/>
      <c r="UIX73" s="263" t="s">
        <v>2</v>
      </c>
      <c r="UIY73" s="193"/>
      <c r="UIZ73" s="255" t="s">
        <v>168</v>
      </c>
      <c r="UJA73" s="263" t="s">
        <v>31</v>
      </c>
      <c r="UJB73" s="254"/>
      <c r="UJC73" s="254"/>
      <c r="UJD73" s="264">
        <v>5.7000000000000002E-2</v>
      </c>
      <c r="UJE73" s="193"/>
      <c r="UJF73" s="263" t="s">
        <v>2</v>
      </c>
      <c r="UJG73" s="193"/>
      <c r="UJH73" s="255" t="s">
        <v>168</v>
      </c>
      <c r="UJI73" s="263" t="s">
        <v>31</v>
      </c>
      <c r="UJJ73" s="254"/>
      <c r="UJK73" s="254"/>
      <c r="UJL73" s="264">
        <v>5.7000000000000002E-2</v>
      </c>
      <c r="UJM73" s="193"/>
      <c r="UJN73" s="263" t="s">
        <v>2</v>
      </c>
      <c r="UJO73" s="193"/>
      <c r="UJP73" s="255" t="s">
        <v>168</v>
      </c>
      <c r="UJQ73" s="263" t="s">
        <v>31</v>
      </c>
      <c r="UJR73" s="254"/>
      <c r="UJS73" s="254"/>
      <c r="UJT73" s="264">
        <v>5.7000000000000002E-2</v>
      </c>
      <c r="UJU73" s="193"/>
      <c r="UJV73" s="263" t="s">
        <v>2</v>
      </c>
      <c r="UJW73" s="193"/>
      <c r="UJX73" s="255" t="s">
        <v>168</v>
      </c>
      <c r="UJY73" s="263" t="s">
        <v>31</v>
      </c>
      <c r="UJZ73" s="254"/>
      <c r="UKA73" s="254"/>
      <c r="UKB73" s="264">
        <v>5.7000000000000002E-2</v>
      </c>
      <c r="UKC73" s="193"/>
      <c r="UKD73" s="263" t="s">
        <v>2</v>
      </c>
      <c r="UKE73" s="193"/>
      <c r="UKF73" s="255" t="s">
        <v>168</v>
      </c>
      <c r="UKG73" s="263" t="s">
        <v>31</v>
      </c>
      <c r="UKH73" s="254"/>
      <c r="UKI73" s="254"/>
      <c r="UKJ73" s="264">
        <v>5.7000000000000002E-2</v>
      </c>
      <c r="UKK73" s="193"/>
      <c r="UKL73" s="263" t="s">
        <v>2</v>
      </c>
      <c r="UKM73" s="193"/>
      <c r="UKN73" s="255" t="s">
        <v>168</v>
      </c>
      <c r="UKO73" s="263" t="s">
        <v>31</v>
      </c>
      <c r="UKP73" s="254"/>
      <c r="UKQ73" s="254"/>
      <c r="UKR73" s="264">
        <v>5.7000000000000002E-2</v>
      </c>
      <c r="UKS73" s="193"/>
      <c r="UKT73" s="263" t="s">
        <v>2</v>
      </c>
      <c r="UKU73" s="193"/>
      <c r="UKV73" s="255" t="s">
        <v>168</v>
      </c>
      <c r="UKW73" s="263" t="s">
        <v>31</v>
      </c>
      <c r="UKX73" s="254"/>
      <c r="UKY73" s="254"/>
      <c r="UKZ73" s="264">
        <v>5.7000000000000002E-2</v>
      </c>
      <c r="ULA73" s="193"/>
      <c r="ULB73" s="263" t="s">
        <v>2</v>
      </c>
      <c r="ULC73" s="193"/>
      <c r="ULD73" s="255" t="s">
        <v>168</v>
      </c>
      <c r="ULE73" s="263" t="s">
        <v>31</v>
      </c>
      <c r="ULF73" s="254"/>
      <c r="ULG73" s="254"/>
      <c r="ULH73" s="264">
        <v>5.7000000000000002E-2</v>
      </c>
      <c r="ULI73" s="193"/>
      <c r="ULJ73" s="263" t="s">
        <v>2</v>
      </c>
      <c r="ULK73" s="193"/>
      <c r="ULL73" s="255" t="s">
        <v>168</v>
      </c>
      <c r="ULM73" s="263" t="s">
        <v>31</v>
      </c>
      <c r="ULN73" s="254"/>
      <c r="ULO73" s="254"/>
      <c r="ULP73" s="264">
        <v>5.7000000000000002E-2</v>
      </c>
      <c r="ULQ73" s="193"/>
      <c r="ULR73" s="263" t="s">
        <v>2</v>
      </c>
      <c r="ULS73" s="193"/>
      <c r="ULT73" s="255" t="s">
        <v>168</v>
      </c>
      <c r="ULU73" s="263" t="s">
        <v>31</v>
      </c>
      <c r="ULV73" s="254"/>
      <c r="ULW73" s="254"/>
      <c r="ULX73" s="264">
        <v>5.7000000000000002E-2</v>
      </c>
      <c r="ULY73" s="193"/>
      <c r="ULZ73" s="263" t="s">
        <v>2</v>
      </c>
      <c r="UMA73" s="193"/>
      <c r="UMB73" s="255" t="s">
        <v>168</v>
      </c>
      <c r="UMC73" s="263" t="s">
        <v>31</v>
      </c>
      <c r="UMD73" s="254"/>
      <c r="UME73" s="254"/>
      <c r="UMF73" s="264">
        <v>5.7000000000000002E-2</v>
      </c>
      <c r="UMG73" s="193"/>
      <c r="UMH73" s="263" t="s">
        <v>2</v>
      </c>
      <c r="UMI73" s="193"/>
      <c r="UMJ73" s="255" t="s">
        <v>168</v>
      </c>
      <c r="UMK73" s="263" t="s">
        <v>31</v>
      </c>
      <c r="UML73" s="254"/>
      <c r="UMM73" s="254"/>
      <c r="UMN73" s="264">
        <v>5.7000000000000002E-2</v>
      </c>
      <c r="UMO73" s="193"/>
      <c r="UMP73" s="263" t="s">
        <v>2</v>
      </c>
      <c r="UMQ73" s="193"/>
      <c r="UMR73" s="255" t="s">
        <v>168</v>
      </c>
      <c r="UMS73" s="263" t="s">
        <v>31</v>
      </c>
      <c r="UMT73" s="254"/>
      <c r="UMU73" s="254"/>
      <c r="UMV73" s="264">
        <v>5.7000000000000002E-2</v>
      </c>
      <c r="UMW73" s="193"/>
      <c r="UMX73" s="263" t="s">
        <v>2</v>
      </c>
      <c r="UMY73" s="193"/>
      <c r="UMZ73" s="255" t="s">
        <v>168</v>
      </c>
      <c r="UNA73" s="263" t="s">
        <v>31</v>
      </c>
      <c r="UNB73" s="254"/>
      <c r="UNC73" s="254"/>
      <c r="UND73" s="264">
        <v>5.7000000000000002E-2</v>
      </c>
      <c r="UNE73" s="193"/>
      <c r="UNF73" s="263" t="s">
        <v>2</v>
      </c>
      <c r="UNG73" s="193"/>
      <c r="UNH73" s="255" t="s">
        <v>168</v>
      </c>
      <c r="UNI73" s="263" t="s">
        <v>31</v>
      </c>
      <c r="UNJ73" s="254"/>
      <c r="UNK73" s="254"/>
      <c r="UNL73" s="264">
        <v>5.7000000000000002E-2</v>
      </c>
      <c r="UNM73" s="193"/>
      <c r="UNN73" s="263" t="s">
        <v>2</v>
      </c>
      <c r="UNO73" s="193"/>
      <c r="UNP73" s="255" t="s">
        <v>168</v>
      </c>
      <c r="UNQ73" s="263" t="s">
        <v>31</v>
      </c>
      <c r="UNR73" s="254"/>
      <c r="UNS73" s="254"/>
      <c r="UNT73" s="264">
        <v>5.7000000000000002E-2</v>
      </c>
      <c r="UNU73" s="193"/>
      <c r="UNV73" s="263" t="s">
        <v>2</v>
      </c>
      <c r="UNW73" s="193"/>
      <c r="UNX73" s="255" t="s">
        <v>168</v>
      </c>
      <c r="UNY73" s="263" t="s">
        <v>31</v>
      </c>
      <c r="UNZ73" s="254"/>
      <c r="UOA73" s="254"/>
      <c r="UOB73" s="264">
        <v>5.7000000000000002E-2</v>
      </c>
      <c r="UOC73" s="193"/>
      <c r="UOD73" s="263" t="s">
        <v>2</v>
      </c>
      <c r="UOE73" s="193"/>
      <c r="UOF73" s="255" t="s">
        <v>168</v>
      </c>
      <c r="UOG73" s="263" t="s">
        <v>31</v>
      </c>
      <c r="UOH73" s="254"/>
      <c r="UOI73" s="254"/>
      <c r="UOJ73" s="264">
        <v>5.7000000000000002E-2</v>
      </c>
      <c r="UOK73" s="193"/>
      <c r="UOL73" s="263" t="s">
        <v>2</v>
      </c>
      <c r="UOM73" s="193"/>
      <c r="UON73" s="255" t="s">
        <v>168</v>
      </c>
      <c r="UOO73" s="263" t="s">
        <v>31</v>
      </c>
      <c r="UOP73" s="254"/>
      <c r="UOQ73" s="254"/>
      <c r="UOR73" s="264">
        <v>5.7000000000000002E-2</v>
      </c>
      <c r="UOS73" s="193"/>
      <c r="UOT73" s="263" t="s">
        <v>2</v>
      </c>
      <c r="UOU73" s="193"/>
      <c r="UOV73" s="255" t="s">
        <v>168</v>
      </c>
      <c r="UOW73" s="263" t="s">
        <v>31</v>
      </c>
      <c r="UOX73" s="254"/>
      <c r="UOY73" s="254"/>
      <c r="UOZ73" s="264">
        <v>5.7000000000000002E-2</v>
      </c>
      <c r="UPA73" s="193"/>
      <c r="UPB73" s="263" t="s">
        <v>2</v>
      </c>
      <c r="UPC73" s="193"/>
      <c r="UPD73" s="255" t="s">
        <v>168</v>
      </c>
      <c r="UPE73" s="263" t="s">
        <v>31</v>
      </c>
      <c r="UPF73" s="254"/>
      <c r="UPG73" s="254"/>
      <c r="UPH73" s="264">
        <v>5.7000000000000002E-2</v>
      </c>
      <c r="UPI73" s="193"/>
      <c r="UPJ73" s="263" t="s">
        <v>2</v>
      </c>
      <c r="UPK73" s="193"/>
      <c r="UPL73" s="255" t="s">
        <v>168</v>
      </c>
      <c r="UPM73" s="263" t="s">
        <v>31</v>
      </c>
      <c r="UPN73" s="254"/>
      <c r="UPO73" s="254"/>
      <c r="UPP73" s="264">
        <v>5.7000000000000002E-2</v>
      </c>
      <c r="UPQ73" s="193"/>
      <c r="UPR73" s="263" t="s">
        <v>2</v>
      </c>
      <c r="UPS73" s="193"/>
      <c r="UPT73" s="255" t="s">
        <v>168</v>
      </c>
      <c r="UPU73" s="263" t="s">
        <v>31</v>
      </c>
      <c r="UPV73" s="254"/>
      <c r="UPW73" s="254"/>
      <c r="UPX73" s="264">
        <v>5.7000000000000002E-2</v>
      </c>
      <c r="UPY73" s="193"/>
      <c r="UPZ73" s="263" t="s">
        <v>2</v>
      </c>
      <c r="UQA73" s="193"/>
      <c r="UQB73" s="255" t="s">
        <v>168</v>
      </c>
      <c r="UQC73" s="263" t="s">
        <v>31</v>
      </c>
      <c r="UQD73" s="254"/>
      <c r="UQE73" s="254"/>
      <c r="UQF73" s="264">
        <v>5.7000000000000002E-2</v>
      </c>
      <c r="UQG73" s="193"/>
      <c r="UQH73" s="263" t="s">
        <v>2</v>
      </c>
      <c r="UQI73" s="193"/>
      <c r="UQJ73" s="255" t="s">
        <v>168</v>
      </c>
      <c r="UQK73" s="263" t="s">
        <v>31</v>
      </c>
      <c r="UQL73" s="254"/>
      <c r="UQM73" s="254"/>
      <c r="UQN73" s="264">
        <v>5.7000000000000002E-2</v>
      </c>
      <c r="UQO73" s="193"/>
      <c r="UQP73" s="263" t="s">
        <v>2</v>
      </c>
      <c r="UQQ73" s="193"/>
      <c r="UQR73" s="255" t="s">
        <v>168</v>
      </c>
      <c r="UQS73" s="263" t="s">
        <v>31</v>
      </c>
      <c r="UQT73" s="254"/>
      <c r="UQU73" s="254"/>
      <c r="UQV73" s="264">
        <v>5.7000000000000002E-2</v>
      </c>
      <c r="UQW73" s="193"/>
      <c r="UQX73" s="263" t="s">
        <v>2</v>
      </c>
      <c r="UQY73" s="193"/>
      <c r="UQZ73" s="255" t="s">
        <v>168</v>
      </c>
      <c r="URA73" s="263" t="s">
        <v>31</v>
      </c>
      <c r="URB73" s="254"/>
      <c r="URC73" s="254"/>
      <c r="URD73" s="264">
        <v>5.7000000000000002E-2</v>
      </c>
      <c r="URE73" s="193"/>
      <c r="URF73" s="263" t="s">
        <v>2</v>
      </c>
      <c r="URG73" s="193"/>
      <c r="URH73" s="255" t="s">
        <v>168</v>
      </c>
      <c r="URI73" s="263" t="s">
        <v>31</v>
      </c>
      <c r="URJ73" s="254"/>
      <c r="URK73" s="254"/>
      <c r="URL73" s="264">
        <v>5.7000000000000002E-2</v>
      </c>
      <c r="URM73" s="193"/>
      <c r="URN73" s="263" t="s">
        <v>2</v>
      </c>
      <c r="URO73" s="193"/>
      <c r="URP73" s="255" t="s">
        <v>168</v>
      </c>
      <c r="URQ73" s="263" t="s">
        <v>31</v>
      </c>
      <c r="URR73" s="254"/>
      <c r="URS73" s="254"/>
      <c r="URT73" s="264">
        <v>5.7000000000000002E-2</v>
      </c>
      <c r="URU73" s="193"/>
      <c r="URV73" s="263" t="s">
        <v>2</v>
      </c>
      <c r="URW73" s="193"/>
      <c r="URX73" s="255" t="s">
        <v>168</v>
      </c>
      <c r="URY73" s="263" t="s">
        <v>31</v>
      </c>
      <c r="URZ73" s="254"/>
      <c r="USA73" s="254"/>
      <c r="USB73" s="264">
        <v>5.7000000000000002E-2</v>
      </c>
      <c r="USC73" s="193"/>
      <c r="USD73" s="263" t="s">
        <v>2</v>
      </c>
      <c r="USE73" s="193"/>
      <c r="USF73" s="255" t="s">
        <v>168</v>
      </c>
      <c r="USG73" s="263" t="s">
        <v>31</v>
      </c>
      <c r="USH73" s="254"/>
      <c r="USI73" s="254"/>
      <c r="USJ73" s="264">
        <v>5.7000000000000002E-2</v>
      </c>
      <c r="USK73" s="193"/>
      <c r="USL73" s="263" t="s">
        <v>2</v>
      </c>
      <c r="USM73" s="193"/>
      <c r="USN73" s="255" t="s">
        <v>168</v>
      </c>
      <c r="USO73" s="263" t="s">
        <v>31</v>
      </c>
      <c r="USP73" s="254"/>
      <c r="USQ73" s="254"/>
      <c r="USR73" s="264">
        <v>5.7000000000000002E-2</v>
      </c>
      <c r="USS73" s="193"/>
      <c r="UST73" s="263" t="s">
        <v>2</v>
      </c>
      <c r="USU73" s="193"/>
      <c r="USV73" s="255" t="s">
        <v>168</v>
      </c>
      <c r="USW73" s="263" t="s">
        <v>31</v>
      </c>
      <c r="USX73" s="254"/>
      <c r="USY73" s="254"/>
      <c r="USZ73" s="264">
        <v>5.7000000000000002E-2</v>
      </c>
      <c r="UTA73" s="193"/>
      <c r="UTB73" s="263" t="s">
        <v>2</v>
      </c>
      <c r="UTC73" s="193"/>
      <c r="UTD73" s="255" t="s">
        <v>168</v>
      </c>
      <c r="UTE73" s="263" t="s">
        <v>31</v>
      </c>
      <c r="UTF73" s="254"/>
      <c r="UTG73" s="254"/>
      <c r="UTH73" s="264">
        <v>5.7000000000000002E-2</v>
      </c>
      <c r="UTI73" s="193"/>
      <c r="UTJ73" s="263" t="s">
        <v>2</v>
      </c>
      <c r="UTK73" s="193"/>
      <c r="UTL73" s="255" t="s">
        <v>168</v>
      </c>
      <c r="UTM73" s="263" t="s">
        <v>31</v>
      </c>
      <c r="UTN73" s="254"/>
      <c r="UTO73" s="254"/>
      <c r="UTP73" s="264">
        <v>5.7000000000000002E-2</v>
      </c>
      <c r="UTQ73" s="193"/>
      <c r="UTR73" s="263" t="s">
        <v>2</v>
      </c>
      <c r="UTS73" s="193"/>
      <c r="UTT73" s="255" t="s">
        <v>168</v>
      </c>
      <c r="UTU73" s="263" t="s">
        <v>31</v>
      </c>
      <c r="UTV73" s="254"/>
      <c r="UTW73" s="254"/>
      <c r="UTX73" s="264">
        <v>5.7000000000000002E-2</v>
      </c>
      <c r="UTY73" s="193"/>
      <c r="UTZ73" s="263" t="s">
        <v>2</v>
      </c>
      <c r="UUA73" s="193"/>
      <c r="UUB73" s="255" t="s">
        <v>168</v>
      </c>
      <c r="UUC73" s="263" t="s">
        <v>31</v>
      </c>
      <c r="UUD73" s="254"/>
      <c r="UUE73" s="254"/>
      <c r="UUF73" s="264">
        <v>5.7000000000000002E-2</v>
      </c>
      <c r="UUG73" s="193"/>
      <c r="UUH73" s="263" t="s">
        <v>2</v>
      </c>
      <c r="UUI73" s="193"/>
      <c r="UUJ73" s="255" t="s">
        <v>168</v>
      </c>
      <c r="UUK73" s="263" t="s">
        <v>31</v>
      </c>
      <c r="UUL73" s="254"/>
      <c r="UUM73" s="254"/>
      <c r="UUN73" s="264">
        <v>5.7000000000000002E-2</v>
      </c>
      <c r="UUO73" s="193"/>
      <c r="UUP73" s="263" t="s">
        <v>2</v>
      </c>
      <c r="UUQ73" s="193"/>
      <c r="UUR73" s="255" t="s">
        <v>168</v>
      </c>
      <c r="UUS73" s="263" t="s">
        <v>31</v>
      </c>
      <c r="UUT73" s="254"/>
      <c r="UUU73" s="254"/>
      <c r="UUV73" s="264">
        <v>5.7000000000000002E-2</v>
      </c>
      <c r="UUW73" s="193"/>
      <c r="UUX73" s="263" t="s">
        <v>2</v>
      </c>
      <c r="UUY73" s="193"/>
      <c r="UUZ73" s="255" t="s">
        <v>168</v>
      </c>
      <c r="UVA73" s="263" t="s">
        <v>31</v>
      </c>
      <c r="UVB73" s="254"/>
      <c r="UVC73" s="254"/>
      <c r="UVD73" s="264">
        <v>5.7000000000000002E-2</v>
      </c>
      <c r="UVE73" s="193"/>
      <c r="UVF73" s="263" t="s">
        <v>2</v>
      </c>
      <c r="UVG73" s="193"/>
      <c r="UVH73" s="255" t="s">
        <v>168</v>
      </c>
      <c r="UVI73" s="263" t="s">
        <v>31</v>
      </c>
      <c r="UVJ73" s="254"/>
      <c r="UVK73" s="254"/>
      <c r="UVL73" s="264">
        <v>5.7000000000000002E-2</v>
      </c>
      <c r="UVM73" s="193"/>
      <c r="UVN73" s="263" t="s">
        <v>2</v>
      </c>
      <c r="UVO73" s="193"/>
      <c r="UVP73" s="255" t="s">
        <v>168</v>
      </c>
      <c r="UVQ73" s="263" t="s">
        <v>31</v>
      </c>
      <c r="UVR73" s="254"/>
      <c r="UVS73" s="254"/>
      <c r="UVT73" s="264">
        <v>5.7000000000000002E-2</v>
      </c>
      <c r="UVU73" s="193"/>
      <c r="UVV73" s="263" t="s">
        <v>2</v>
      </c>
      <c r="UVW73" s="193"/>
      <c r="UVX73" s="255" t="s">
        <v>168</v>
      </c>
      <c r="UVY73" s="263" t="s">
        <v>31</v>
      </c>
      <c r="UVZ73" s="254"/>
      <c r="UWA73" s="254"/>
      <c r="UWB73" s="264">
        <v>5.7000000000000002E-2</v>
      </c>
      <c r="UWC73" s="193"/>
      <c r="UWD73" s="263" t="s">
        <v>2</v>
      </c>
      <c r="UWE73" s="193"/>
      <c r="UWF73" s="255" t="s">
        <v>168</v>
      </c>
      <c r="UWG73" s="263" t="s">
        <v>31</v>
      </c>
      <c r="UWH73" s="254"/>
      <c r="UWI73" s="254"/>
      <c r="UWJ73" s="264">
        <v>5.7000000000000002E-2</v>
      </c>
      <c r="UWK73" s="193"/>
      <c r="UWL73" s="263" t="s">
        <v>2</v>
      </c>
      <c r="UWM73" s="193"/>
      <c r="UWN73" s="255" t="s">
        <v>168</v>
      </c>
      <c r="UWO73" s="263" t="s">
        <v>31</v>
      </c>
      <c r="UWP73" s="254"/>
      <c r="UWQ73" s="254"/>
      <c r="UWR73" s="264">
        <v>5.7000000000000002E-2</v>
      </c>
      <c r="UWS73" s="193"/>
      <c r="UWT73" s="263" t="s">
        <v>2</v>
      </c>
      <c r="UWU73" s="193"/>
      <c r="UWV73" s="255" t="s">
        <v>168</v>
      </c>
      <c r="UWW73" s="263" t="s">
        <v>31</v>
      </c>
      <c r="UWX73" s="254"/>
      <c r="UWY73" s="254"/>
      <c r="UWZ73" s="264">
        <v>5.7000000000000002E-2</v>
      </c>
      <c r="UXA73" s="193"/>
      <c r="UXB73" s="263" t="s">
        <v>2</v>
      </c>
      <c r="UXC73" s="193"/>
      <c r="UXD73" s="255" t="s">
        <v>168</v>
      </c>
      <c r="UXE73" s="263" t="s">
        <v>31</v>
      </c>
      <c r="UXF73" s="254"/>
      <c r="UXG73" s="254"/>
      <c r="UXH73" s="264">
        <v>5.7000000000000002E-2</v>
      </c>
      <c r="UXI73" s="193"/>
      <c r="UXJ73" s="263" t="s">
        <v>2</v>
      </c>
      <c r="UXK73" s="193"/>
      <c r="UXL73" s="255" t="s">
        <v>168</v>
      </c>
      <c r="UXM73" s="263" t="s">
        <v>31</v>
      </c>
      <c r="UXN73" s="254"/>
      <c r="UXO73" s="254"/>
      <c r="UXP73" s="264">
        <v>5.7000000000000002E-2</v>
      </c>
      <c r="UXQ73" s="193"/>
      <c r="UXR73" s="263" t="s">
        <v>2</v>
      </c>
      <c r="UXS73" s="193"/>
      <c r="UXT73" s="255" t="s">
        <v>168</v>
      </c>
      <c r="UXU73" s="263" t="s">
        <v>31</v>
      </c>
      <c r="UXV73" s="254"/>
      <c r="UXW73" s="254"/>
      <c r="UXX73" s="264">
        <v>5.7000000000000002E-2</v>
      </c>
      <c r="UXY73" s="193"/>
      <c r="UXZ73" s="263" t="s">
        <v>2</v>
      </c>
      <c r="UYA73" s="193"/>
      <c r="UYB73" s="255" t="s">
        <v>168</v>
      </c>
      <c r="UYC73" s="263" t="s">
        <v>31</v>
      </c>
      <c r="UYD73" s="254"/>
      <c r="UYE73" s="254"/>
      <c r="UYF73" s="264">
        <v>5.7000000000000002E-2</v>
      </c>
      <c r="UYG73" s="193"/>
      <c r="UYH73" s="263" t="s">
        <v>2</v>
      </c>
      <c r="UYI73" s="193"/>
      <c r="UYJ73" s="255" t="s">
        <v>168</v>
      </c>
      <c r="UYK73" s="263" t="s">
        <v>31</v>
      </c>
      <c r="UYL73" s="254"/>
      <c r="UYM73" s="254"/>
      <c r="UYN73" s="264">
        <v>5.7000000000000002E-2</v>
      </c>
      <c r="UYO73" s="193"/>
      <c r="UYP73" s="263" t="s">
        <v>2</v>
      </c>
      <c r="UYQ73" s="193"/>
      <c r="UYR73" s="255" t="s">
        <v>168</v>
      </c>
      <c r="UYS73" s="263" t="s">
        <v>31</v>
      </c>
      <c r="UYT73" s="254"/>
      <c r="UYU73" s="254"/>
      <c r="UYV73" s="264">
        <v>5.7000000000000002E-2</v>
      </c>
      <c r="UYW73" s="193"/>
      <c r="UYX73" s="263" t="s">
        <v>2</v>
      </c>
      <c r="UYY73" s="193"/>
      <c r="UYZ73" s="255" t="s">
        <v>168</v>
      </c>
      <c r="UZA73" s="263" t="s">
        <v>31</v>
      </c>
      <c r="UZB73" s="254"/>
      <c r="UZC73" s="254"/>
      <c r="UZD73" s="264">
        <v>5.7000000000000002E-2</v>
      </c>
      <c r="UZE73" s="193"/>
      <c r="UZF73" s="263" t="s">
        <v>2</v>
      </c>
      <c r="UZG73" s="193"/>
      <c r="UZH73" s="255" t="s">
        <v>168</v>
      </c>
      <c r="UZI73" s="263" t="s">
        <v>31</v>
      </c>
      <c r="UZJ73" s="254"/>
      <c r="UZK73" s="254"/>
      <c r="UZL73" s="264">
        <v>5.7000000000000002E-2</v>
      </c>
      <c r="UZM73" s="193"/>
      <c r="UZN73" s="263" t="s">
        <v>2</v>
      </c>
      <c r="UZO73" s="193"/>
      <c r="UZP73" s="255" t="s">
        <v>168</v>
      </c>
      <c r="UZQ73" s="263" t="s">
        <v>31</v>
      </c>
      <c r="UZR73" s="254"/>
      <c r="UZS73" s="254"/>
      <c r="UZT73" s="264">
        <v>5.7000000000000002E-2</v>
      </c>
      <c r="UZU73" s="193"/>
      <c r="UZV73" s="263" t="s">
        <v>2</v>
      </c>
      <c r="UZW73" s="193"/>
      <c r="UZX73" s="255" t="s">
        <v>168</v>
      </c>
      <c r="UZY73" s="263" t="s">
        <v>31</v>
      </c>
      <c r="UZZ73" s="254"/>
      <c r="VAA73" s="254"/>
      <c r="VAB73" s="264">
        <v>5.7000000000000002E-2</v>
      </c>
      <c r="VAC73" s="193"/>
      <c r="VAD73" s="263" t="s">
        <v>2</v>
      </c>
      <c r="VAE73" s="193"/>
      <c r="VAF73" s="255" t="s">
        <v>168</v>
      </c>
      <c r="VAG73" s="263" t="s">
        <v>31</v>
      </c>
      <c r="VAH73" s="254"/>
      <c r="VAI73" s="254"/>
      <c r="VAJ73" s="264">
        <v>5.7000000000000002E-2</v>
      </c>
      <c r="VAK73" s="193"/>
      <c r="VAL73" s="263" t="s">
        <v>2</v>
      </c>
      <c r="VAM73" s="193"/>
      <c r="VAN73" s="255" t="s">
        <v>168</v>
      </c>
      <c r="VAO73" s="263" t="s">
        <v>31</v>
      </c>
      <c r="VAP73" s="254"/>
      <c r="VAQ73" s="254"/>
      <c r="VAR73" s="264">
        <v>5.7000000000000002E-2</v>
      </c>
      <c r="VAS73" s="193"/>
      <c r="VAT73" s="263" t="s">
        <v>2</v>
      </c>
      <c r="VAU73" s="193"/>
      <c r="VAV73" s="255" t="s">
        <v>168</v>
      </c>
      <c r="VAW73" s="263" t="s">
        <v>31</v>
      </c>
      <c r="VAX73" s="254"/>
      <c r="VAY73" s="254"/>
      <c r="VAZ73" s="264">
        <v>5.7000000000000002E-2</v>
      </c>
      <c r="VBA73" s="193"/>
      <c r="VBB73" s="263" t="s">
        <v>2</v>
      </c>
      <c r="VBC73" s="193"/>
      <c r="VBD73" s="255" t="s">
        <v>168</v>
      </c>
      <c r="VBE73" s="263" t="s">
        <v>31</v>
      </c>
      <c r="VBF73" s="254"/>
      <c r="VBG73" s="254"/>
      <c r="VBH73" s="264">
        <v>5.7000000000000002E-2</v>
      </c>
      <c r="VBI73" s="193"/>
      <c r="VBJ73" s="263" t="s">
        <v>2</v>
      </c>
      <c r="VBK73" s="193"/>
      <c r="VBL73" s="255" t="s">
        <v>168</v>
      </c>
      <c r="VBM73" s="263" t="s">
        <v>31</v>
      </c>
      <c r="VBN73" s="254"/>
      <c r="VBO73" s="254"/>
      <c r="VBP73" s="264">
        <v>5.7000000000000002E-2</v>
      </c>
      <c r="VBQ73" s="193"/>
      <c r="VBR73" s="263" t="s">
        <v>2</v>
      </c>
      <c r="VBS73" s="193"/>
      <c r="VBT73" s="255" t="s">
        <v>168</v>
      </c>
      <c r="VBU73" s="263" t="s">
        <v>31</v>
      </c>
      <c r="VBV73" s="254"/>
      <c r="VBW73" s="254"/>
      <c r="VBX73" s="264">
        <v>5.7000000000000002E-2</v>
      </c>
      <c r="VBY73" s="193"/>
      <c r="VBZ73" s="263" t="s">
        <v>2</v>
      </c>
      <c r="VCA73" s="193"/>
      <c r="VCB73" s="255" t="s">
        <v>168</v>
      </c>
      <c r="VCC73" s="263" t="s">
        <v>31</v>
      </c>
      <c r="VCD73" s="254"/>
      <c r="VCE73" s="254"/>
      <c r="VCF73" s="264">
        <v>5.7000000000000002E-2</v>
      </c>
      <c r="VCG73" s="193"/>
      <c r="VCH73" s="263" t="s">
        <v>2</v>
      </c>
      <c r="VCI73" s="193"/>
      <c r="VCJ73" s="255" t="s">
        <v>168</v>
      </c>
      <c r="VCK73" s="263" t="s">
        <v>31</v>
      </c>
      <c r="VCL73" s="254"/>
      <c r="VCM73" s="254"/>
      <c r="VCN73" s="264">
        <v>5.7000000000000002E-2</v>
      </c>
      <c r="VCO73" s="193"/>
      <c r="VCP73" s="263" t="s">
        <v>2</v>
      </c>
      <c r="VCQ73" s="193"/>
      <c r="VCR73" s="255" t="s">
        <v>168</v>
      </c>
      <c r="VCS73" s="263" t="s">
        <v>31</v>
      </c>
      <c r="VCT73" s="254"/>
      <c r="VCU73" s="254"/>
      <c r="VCV73" s="264">
        <v>5.7000000000000002E-2</v>
      </c>
      <c r="VCW73" s="193"/>
      <c r="VCX73" s="263" t="s">
        <v>2</v>
      </c>
      <c r="VCY73" s="193"/>
      <c r="VCZ73" s="255" t="s">
        <v>168</v>
      </c>
      <c r="VDA73" s="263" t="s">
        <v>31</v>
      </c>
      <c r="VDB73" s="254"/>
      <c r="VDC73" s="254"/>
      <c r="VDD73" s="264">
        <v>5.7000000000000002E-2</v>
      </c>
      <c r="VDE73" s="193"/>
      <c r="VDF73" s="263" t="s">
        <v>2</v>
      </c>
      <c r="VDG73" s="193"/>
      <c r="VDH73" s="255" t="s">
        <v>168</v>
      </c>
      <c r="VDI73" s="263" t="s">
        <v>31</v>
      </c>
      <c r="VDJ73" s="254"/>
      <c r="VDK73" s="254"/>
      <c r="VDL73" s="264">
        <v>5.7000000000000002E-2</v>
      </c>
      <c r="VDM73" s="193"/>
      <c r="VDN73" s="263" t="s">
        <v>2</v>
      </c>
      <c r="VDO73" s="193"/>
      <c r="VDP73" s="255" t="s">
        <v>168</v>
      </c>
      <c r="VDQ73" s="263" t="s">
        <v>31</v>
      </c>
      <c r="VDR73" s="254"/>
      <c r="VDS73" s="254"/>
      <c r="VDT73" s="264">
        <v>5.7000000000000002E-2</v>
      </c>
      <c r="VDU73" s="193"/>
      <c r="VDV73" s="263" t="s">
        <v>2</v>
      </c>
      <c r="VDW73" s="193"/>
      <c r="VDX73" s="255" t="s">
        <v>168</v>
      </c>
      <c r="VDY73" s="263" t="s">
        <v>31</v>
      </c>
      <c r="VDZ73" s="254"/>
      <c r="VEA73" s="254"/>
      <c r="VEB73" s="264">
        <v>5.7000000000000002E-2</v>
      </c>
      <c r="VEC73" s="193"/>
      <c r="VED73" s="263" t="s">
        <v>2</v>
      </c>
      <c r="VEE73" s="193"/>
      <c r="VEF73" s="255" t="s">
        <v>168</v>
      </c>
      <c r="VEG73" s="263" t="s">
        <v>31</v>
      </c>
      <c r="VEH73" s="254"/>
      <c r="VEI73" s="254"/>
      <c r="VEJ73" s="264">
        <v>5.7000000000000002E-2</v>
      </c>
      <c r="VEK73" s="193"/>
      <c r="VEL73" s="263" t="s">
        <v>2</v>
      </c>
      <c r="VEM73" s="193"/>
      <c r="VEN73" s="255" t="s">
        <v>168</v>
      </c>
      <c r="VEO73" s="263" t="s">
        <v>31</v>
      </c>
      <c r="VEP73" s="254"/>
      <c r="VEQ73" s="254"/>
      <c r="VER73" s="264">
        <v>5.7000000000000002E-2</v>
      </c>
      <c r="VES73" s="193"/>
      <c r="VET73" s="263" t="s">
        <v>2</v>
      </c>
      <c r="VEU73" s="193"/>
      <c r="VEV73" s="255" t="s">
        <v>168</v>
      </c>
      <c r="VEW73" s="263" t="s">
        <v>31</v>
      </c>
      <c r="VEX73" s="254"/>
      <c r="VEY73" s="254"/>
      <c r="VEZ73" s="264">
        <v>5.7000000000000002E-2</v>
      </c>
      <c r="VFA73" s="193"/>
      <c r="VFB73" s="263" t="s">
        <v>2</v>
      </c>
      <c r="VFC73" s="193"/>
      <c r="VFD73" s="255" t="s">
        <v>168</v>
      </c>
      <c r="VFE73" s="263" t="s">
        <v>31</v>
      </c>
      <c r="VFF73" s="254"/>
      <c r="VFG73" s="254"/>
      <c r="VFH73" s="264">
        <v>5.7000000000000002E-2</v>
      </c>
      <c r="VFI73" s="193"/>
      <c r="VFJ73" s="263" t="s">
        <v>2</v>
      </c>
      <c r="VFK73" s="193"/>
      <c r="VFL73" s="255" t="s">
        <v>168</v>
      </c>
      <c r="VFM73" s="263" t="s">
        <v>31</v>
      </c>
      <c r="VFN73" s="254"/>
      <c r="VFO73" s="254"/>
      <c r="VFP73" s="264">
        <v>5.7000000000000002E-2</v>
      </c>
      <c r="VFQ73" s="193"/>
      <c r="VFR73" s="263" t="s">
        <v>2</v>
      </c>
      <c r="VFS73" s="193"/>
      <c r="VFT73" s="255" t="s">
        <v>168</v>
      </c>
      <c r="VFU73" s="263" t="s">
        <v>31</v>
      </c>
      <c r="VFV73" s="254"/>
      <c r="VFW73" s="254"/>
      <c r="VFX73" s="264">
        <v>5.7000000000000002E-2</v>
      </c>
      <c r="VFY73" s="193"/>
      <c r="VFZ73" s="263" t="s">
        <v>2</v>
      </c>
      <c r="VGA73" s="193"/>
      <c r="VGB73" s="255" t="s">
        <v>168</v>
      </c>
      <c r="VGC73" s="263" t="s">
        <v>31</v>
      </c>
      <c r="VGD73" s="254"/>
      <c r="VGE73" s="254"/>
      <c r="VGF73" s="264">
        <v>5.7000000000000002E-2</v>
      </c>
      <c r="VGG73" s="193"/>
      <c r="VGH73" s="263" t="s">
        <v>2</v>
      </c>
      <c r="VGI73" s="193"/>
      <c r="VGJ73" s="255" t="s">
        <v>168</v>
      </c>
      <c r="VGK73" s="263" t="s">
        <v>31</v>
      </c>
      <c r="VGL73" s="254"/>
      <c r="VGM73" s="254"/>
      <c r="VGN73" s="264">
        <v>5.7000000000000002E-2</v>
      </c>
      <c r="VGO73" s="193"/>
      <c r="VGP73" s="263" t="s">
        <v>2</v>
      </c>
      <c r="VGQ73" s="193"/>
      <c r="VGR73" s="255" t="s">
        <v>168</v>
      </c>
      <c r="VGS73" s="263" t="s">
        <v>31</v>
      </c>
      <c r="VGT73" s="254"/>
      <c r="VGU73" s="254"/>
      <c r="VGV73" s="264">
        <v>5.7000000000000002E-2</v>
      </c>
      <c r="VGW73" s="193"/>
      <c r="VGX73" s="263" t="s">
        <v>2</v>
      </c>
      <c r="VGY73" s="193"/>
      <c r="VGZ73" s="255" t="s">
        <v>168</v>
      </c>
      <c r="VHA73" s="263" t="s">
        <v>31</v>
      </c>
      <c r="VHB73" s="254"/>
      <c r="VHC73" s="254"/>
      <c r="VHD73" s="264">
        <v>5.7000000000000002E-2</v>
      </c>
      <c r="VHE73" s="193"/>
      <c r="VHF73" s="263" t="s">
        <v>2</v>
      </c>
      <c r="VHG73" s="193"/>
      <c r="VHH73" s="255" t="s">
        <v>168</v>
      </c>
      <c r="VHI73" s="263" t="s">
        <v>31</v>
      </c>
      <c r="VHJ73" s="254"/>
      <c r="VHK73" s="254"/>
      <c r="VHL73" s="264">
        <v>5.7000000000000002E-2</v>
      </c>
      <c r="VHM73" s="193"/>
      <c r="VHN73" s="263" t="s">
        <v>2</v>
      </c>
      <c r="VHO73" s="193"/>
      <c r="VHP73" s="255" t="s">
        <v>168</v>
      </c>
      <c r="VHQ73" s="263" t="s">
        <v>31</v>
      </c>
      <c r="VHR73" s="254"/>
      <c r="VHS73" s="254"/>
      <c r="VHT73" s="264">
        <v>5.7000000000000002E-2</v>
      </c>
      <c r="VHU73" s="193"/>
      <c r="VHV73" s="263" t="s">
        <v>2</v>
      </c>
      <c r="VHW73" s="193"/>
      <c r="VHX73" s="255" t="s">
        <v>168</v>
      </c>
      <c r="VHY73" s="263" t="s">
        <v>31</v>
      </c>
      <c r="VHZ73" s="254"/>
      <c r="VIA73" s="254"/>
      <c r="VIB73" s="264">
        <v>5.7000000000000002E-2</v>
      </c>
      <c r="VIC73" s="193"/>
      <c r="VID73" s="263" t="s">
        <v>2</v>
      </c>
      <c r="VIE73" s="193"/>
      <c r="VIF73" s="255" t="s">
        <v>168</v>
      </c>
      <c r="VIG73" s="263" t="s">
        <v>31</v>
      </c>
      <c r="VIH73" s="254"/>
      <c r="VII73" s="254"/>
      <c r="VIJ73" s="264">
        <v>5.7000000000000002E-2</v>
      </c>
      <c r="VIK73" s="193"/>
      <c r="VIL73" s="263" t="s">
        <v>2</v>
      </c>
      <c r="VIM73" s="193"/>
      <c r="VIN73" s="255" t="s">
        <v>168</v>
      </c>
      <c r="VIO73" s="263" t="s">
        <v>31</v>
      </c>
      <c r="VIP73" s="254"/>
      <c r="VIQ73" s="254"/>
      <c r="VIR73" s="264">
        <v>5.7000000000000002E-2</v>
      </c>
      <c r="VIS73" s="193"/>
      <c r="VIT73" s="263" t="s">
        <v>2</v>
      </c>
      <c r="VIU73" s="193"/>
      <c r="VIV73" s="255" t="s">
        <v>168</v>
      </c>
      <c r="VIW73" s="263" t="s">
        <v>31</v>
      </c>
      <c r="VIX73" s="254"/>
      <c r="VIY73" s="254"/>
      <c r="VIZ73" s="264">
        <v>5.7000000000000002E-2</v>
      </c>
      <c r="VJA73" s="193"/>
      <c r="VJB73" s="263" t="s">
        <v>2</v>
      </c>
      <c r="VJC73" s="193"/>
      <c r="VJD73" s="255" t="s">
        <v>168</v>
      </c>
      <c r="VJE73" s="263" t="s">
        <v>31</v>
      </c>
      <c r="VJF73" s="254"/>
      <c r="VJG73" s="254"/>
      <c r="VJH73" s="264">
        <v>5.7000000000000002E-2</v>
      </c>
      <c r="VJI73" s="193"/>
      <c r="VJJ73" s="263" t="s">
        <v>2</v>
      </c>
      <c r="VJK73" s="193"/>
      <c r="VJL73" s="255" t="s">
        <v>168</v>
      </c>
      <c r="VJM73" s="263" t="s">
        <v>31</v>
      </c>
      <c r="VJN73" s="254"/>
      <c r="VJO73" s="254"/>
      <c r="VJP73" s="264">
        <v>5.7000000000000002E-2</v>
      </c>
      <c r="VJQ73" s="193"/>
      <c r="VJR73" s="263" t="s">
        <v>2</v>
      </c>
      <c r="VJS73" s="193"/>
      <c r="VJT73" s="255" t="s">
        <v>168</v>
      </c>
      <c r="VJU73" s="263" t="s">
        <v>31</v>
      </c>
      <c r="VJV73" s="254"/>
      <c r="VJW73" s="254"/>
      <c r="VJX73" s="264">
        <v>5.7000000000000002E-2</v>
      </c>
      <c r="VJY73" s="193"/>
      <c r="VJZ73" s="263" t="s">
        <v>2</v>
      </c>
      <c r="VKA73" s="193"/>
      <c r="VKB73" s="255" t="s">
        <v>168</v>
      </c>
      <c r="VKC73" s="263" t="s">
        <v>31</v>
      </c>
      <c r="VKD73" s="254"/>
      <c r="VKE73" s="254"/>
      <c r="VKF73" s="264">
        <v>5.7000000000000002E-2</v>
      </c>
      <c r="VKG73" s="193"/>
      <c r="VKH73" s="263" t="s">
        <v>2</v>
      </c>
      <c r="VKI73" s="193"/>
      <c r="VKJ73" s="255" t="s">
        <v>168</v>
      </c>
      <c r="VKK73" s="263" t="s">
        <v>31</v>
      </c>
      <c r="VKL73" s="254"/>
      <c r="VKM73" s="254"/>
      <c r="VKN73" s="264">
        <v>5.7000000000000002E-2</v>
      </c>
      <c r="VKO73" s="193"/>
      <c r="VKP73" s="263" t="s">
        <v>2</v>
      </c>
      <c r="VKQ73" s="193"/>
      <c r="VKR73" s="255" t="s">
        <v>168</v>
      </c>
      <c r="VKS73" s="263" t="s">
        <v>31</v>
      </c>
      <c r="VKT73" s="254"/>
      <c r="VKU73" s="254"/>
      <c r="VKV73" s="264">
        <v>5.7000000000000002E-2</v>
      </c>
      <c r="VKW73" s="193"/>
      <c r="VKX73" s="263" t="s">
        <v>2</v>
      </c>
      <c r="VKY73" s="193"/>
      <c r="VKZ73" s="255" t="s">
        <v>168</v>
      </c>
      <c r="VLA73" s="263" t="s">
        <v>31</v>
      </c>
      <c r="VLB73" s="254"/>
      <c r="VLC73" s="254"/>
      <c r="VLD73" s="264">
        <v>5.7000000000000002E-2</v>
      </c>
      <c r="VLE73" s="193"/>
      <c r="VLF73" s="263" t="s">
        <v>2</v>
      </c>
      <c r="VLG73" s="193"/>
      <c r="VLH73" s="255" t="s">
        <v>168</v>
      </c>
      <c r="VLI73" s="263" t="s">
        <v>31</v>
      </c>
      <c r="VLJ73" s="254"/>
      <c r="VLK73" s="254"/>
      <c r="VLL73" s="264">
        <v>5.7000000000000002E-2</v>
      </c>
      <c r="VLM73" s="193"/>
      <c r="VLN73" s="263" t="s">
        <v>2</v>
      </c>
      <c r="VLO73" s="193"/>
      <c r="VLP73" s="255" t="s">
        <v>168</v>
      </c>
      <c r="VLQ73" s="263" t="s">
        <v>31</v>
      </c>
      <c r="VLR73" s="254"/>
      <c r="VLS73" s="254"/>
      <c r="VLT73" s="264">
        <v>5.7000000000000002E-2</v>
      </c>
      <c r="VLU73" s="193"/>
      <c r="VLV73" s="263" t="s">
        <v>2</v>
      </c>
      <c r="VLW73" s="193"/>
      <c r="VLX73" s="255" t="s">
        <v>168</v>
      </c>
      <c r="VLY73" s="263" t="s">
        <v>31</v>
      </c>
      <c r="VLZ73" s="254"/>
      <c r="VMA73" s="254"/>
      <c r="VMB73" s="264">
        <v>5.7000000000000002E-2</v>
      </c>
      <c r="VMC73" s="193"/>
      <c r="VMD73" s="263" t="s">
        <v>2</v>
      </c>
      <c r="VME73" s="193"/>
      <c r="VMF73" s="255" t="s">
        <v>168</v>
      </c>
      <c r="VMG73" s="263" t="s">
        <v>31</v>
      </c>
      <c r="VMH73" s="254"/>
      <c r="VMI73" s="254"/>
      <c r="VMJ73" s="264">
        <v>5.7000000000000002E-2</v>
      </c>
      <c r="VMK73" s="193"/>
      <c r="VML73" s="263" t="s">
        <v>2</v>
      </c>
      <c r="VMM73" s="193"/>
      <c r="VMN73" s="255" t="s">
        <v>168</v>
      </c>
      <c r="VMO73" s="263" t="s">
        <v>31</v>
      </c>
      <c r="VMP73" s="254"/>
      <c r="VMQ73" s="254"/>
      <c r="VMR73" s="264">
        <v>5.7000000000000002E-2</v>
      </c>
      <c r="VMS73" s="193"/>
      <c r="VMT73" s="263" t="s">
        <v>2</v>
      </c>
      <c r="VMU73" s="193"/>
      <c r="VMV73" s="255" t="s">
        <v>168</v>
      </c>
      <c r="VMW73" s="263" t="s">
        <v>31</v>
      </c>
      <c r="VMX73" s="254"/>
      <c r="VMY73" s="254"/>
      <c r="VMZ73" s="264">
        <v>5.7000000000000002E-2</v>
      </c>
      <c r="VNA73" s="193"/>
      <c r="VNB73" s="263" t="s">
        <v>2</v>
      </c>
      <c r="VNC73" s="193"/>
      <c r="VND73" s="255" t="s">
        <v>168</v>
      </c>
      <c r="VNE73" s="263" t="s">
        <v>31</v>
      </c>
      <c r="VNF73" s="254"/>
      <c r="VNG73" s="254"/>
      <c r="VNH73" s="264">
        <v>5.7000000000000002E-2</v>
      </c>
      <c r="VNI73" s="193"/>
      <c r="VNJ73" s="263" t="s">
        <v>2</v>
      </c>
      <c r="VNK73" s="193"/>
      <c r="VNL73" s="255" t="s">
        <v>168</v>
      </c>
      <c r="VNM73" s="263" t="s">
        <v>31</v>
      </c>
      <c r="VNN73" s="254"/>
      <c r="VNO73" s="254"/>
      <c r="VNP73" s="264">
        <v>5.7000000000000002E-2</v>
      </c>
      <c r="VNQ73" s="193"/>
      <c r="VNR73" s="263" t="s">
        <v>2</v>
      </c>
      <c r="VNS73" s="193"/>
      <c r="VNT73" s="255" t="s">
        <v>168</v>
      </c>
      <c r="VNU73" s="263" t="s">
        <v>31</v>
      </c>
      <c r="VNV73" s="254"/>
      <c r="VNW73" s="254"/>
      <c r="VNX73" s="264">
        <v>5.7000000000000002E-2</v>
      </c>
      <c r="VNY73" s="193"/>
      <c r="VNZ73" s="263" t="s">
        <v>2</v>
      </c>
      <c r="VOA73" s="193"/>
      <c r="VOB73" s="255" t="s">
        <v>168</v>
      </c>
      <c r="VOC73" s="263" t="s">
        <v>31</v>
      </c>
      <c r="VOD73" s="254"/>
      <c r="VOE73" s="254"/>
      <c r="VOF73" s="264">
        <v>5.7000000000000002E-2</v>
      </c>
      <c r="VOG73" s="193"/>
      <c r="VOH73" s="263" t="s">
        <v>2</v>
      </c>
      <c r="VOI73" s="193"/>
      <c r="VOJ73" s="255" t="s">
        <v>168</v>
      </c>
      <c r="VOK73" s="263" t="s">
        <v>31</v>
      </c>
      <c r="VOL73" s="254"/>
      <c r="VOM73" s="254"/>
      <c r="VON73" s="264">
        <v>5.7000000000000002E-2</v>
      </c>
      <c r="VOO73" s="193"/>
      <c r="VOP73" s="263" t="s">
        <v>2</v>
      </c>
      <c r="VOQ73" s="193"/>
      <c r="VOR73" s="255" t="s">
        <v>168</v>
      </c>
      <c r="VOS73" s="263" t="s">
        <v>31</v>
      </c>
      <c r="VOT73" s="254"/>
      <c r="VOU73" s="254"/>
      <c r="VOV73" s="264">
        <v>5.7000000000000002E-2</v>
      </c>
      <c r="VOW73" s="193"/>
      <c r="VOX73" s="263" t="s">
        <v>2</v>
      </c>
      <c r="VOY73" s="193"/>
      <c r="VOZ73" s="255" t="s">
        <v>168</v>
      </c>
      <c r="VPA73" s="263" t="s">
        <v>31</v>
      </c>
      <c r="VPB73" s="254"/>
      <c r="VPC73" s="254"/>
      <c r="VPD73" s="264">
        <v>5.7000000000000002E-2</v>
      </c>
      <c r="VPE73" s="193"/>
      <c r="VPF73" s="263" t="s">
        <v>2</v>
      </c>
      <c r="VPG73" s="193"/>
      <c r="VPH73" s="255" t="s">
        <v>168</v>
      </c>
      <c r="VPI73" s="263" t="s">
        <v>31</v>
      </c>
      <c r="VPJ73" s="254"/>
      <c r="VPK73" s="254"/>
      <c r="VPL73" s="264">
        <v>5.7000000000000002E-2</v>
      </c>
      <c r="VPM73" s="193"/>
      <c r="VPN73" s="263" t="s">
        <v>2</v>
      </c>
      <c r="VPO73" s="193"/>
      <c r="VPP73" s="255" t="s">
        <v>168</v>
      </c>
      <c r="VPQ73" s="263" t="s">
        <v>31</v>
      </c>
      <c r="VPR73" s="254"/>
      <c r="VPS73" s="254"/>
      <c r="VPT73" s="264">
        <v>5.7000000000000002E-2</v>
      </c>
      <c r="VPU73" s="193"/>
      <c r="VPV73" s="263" t="s">
        <v>2</v>
      </c>
      <c r="VPW73" s="193"/>
      <c r="VPX73" s="255" t="s">
        <v>168</v>
      </c>
      <c r="VPY73" s="263" t="s">
        <v>31</v>
      </c>
      <c r="VPZ73" s="254"/>
      <c r="VQA73" s="254"/>
      <c r="VQB73" s="264">
        <v>5.7000000000000002E-2</v>
      </c>
      <c r="VQC73" s="193"/>
      <c r="VQD73" s="263" t="s">
        <v>2</v>
      </c>
      <c r="VQE73" s="193"/>
      <c r="VQF73" s="255" t="s">
        <v>168</v>
      </c>
      <c r="VQG73" s="263" t="s">
        <v>31</v>
      </c>
      <c r="VQH73" s="254"/>
      <c r="VQI73" s="254"/>
      <c r="VQJ73" s="264">
        <v>5.7000000000000002E-2</v>
      </c>
      <c r="VQK73" s="193"/>
      <c r="VQL73" s="263" t="s">
        <v>2</v>
      </c>
      <c r="VQM73" s="193"/>
      <c r="VQN73" s="255" t="s">
        <v>168</v>
      </c>
      <c r="VQO73" s="263" t="s">
        <v>31</v>
      </c>
      <c r="VQP73" s="254"/>
      <c r="VQQ73" s="254"/>
      <c r="VQR73" s="264">
        <v>5.7000000000000002E-2</v>
      </c>
      <c r="VQS73" s="193"/>
      <c r="VQT73" s="263" t="s">
        <v>2</v>
      </c>
      <c r="VQU73" s="193"/>
      <c r="VQV73" s="255" t="s">
        <v>168</v>
      </c>
      <c r="VQW73" s="263" t="s">
        <v>31</v>
      </c>
      <c r="VQX73" s="254"/>
      <c r="VQY73" s="254"/>
      <c r="VQZ73" s="264">
        <v>5.7000000000000002E-2</v>
      </c>
      <c r="VRA73" s="193"/>
      <c r="VRB73" s="263" t="s">
        <v>2</v>
      </c>
      <c r="VRC73" s="193"/>
      <c r="VRD73" s="255" t="s">
        <v>168</v>
      </c>
      <c r="VRE73" s="263" t="s">
        <v>31</v>
      </c>
      <c r="VRF73" s="254"/>
      <c r="VRG73" s="254"/>
      <c r="VRH73" s="264">
        <v>5.7000000000000002E-2</v>
      </c>
      <c r="VRI73" s="193"/>
      <c r="VRJ73" s="263" t="s">
        <v>2</v>
      </c>
      <c r="VRK73" s="193"/>
      <c r="VRL73" s="255" t="s">
        <v>168</v>
      </c>
      <c r="VRM73" s="263" t="s">
        <v>31</v>
      </c>
      <c r="VRN73" s="254"/>
      <c r="VRO73" s="254"/>
      <c r="VRP73" s="264">
        <v>5.7000000000000002E-2</v>
      </c>
      <c r="VRQ73" s="193"/>
      <c r="VRR73" s="263" t="s">
        <v>2</v>
      </c>
      <c r="VRS73" s="193"/>
      <c r="VRT73" s="255" t="s">
        <v>168</v>
      </c>
      <c r="VRU73" s="263" t="s">
        <v>31</v>
      </c>
      <c r="VRV73" s="254"/>
      <c r="VRW73" s="254"/>
      <c r="VRX73" s="264">
        <v>5.7000000000000002E-2</v>
      </c>
      <c r="VRY73" s="193"/>
      <c r="VRZ73" s="263" t="s">
        <v>2</v>
      </c>
      <c r="VSA73" s="193"/>
      <c r="VSB73" s="255" t="s">
        <v>168</v>
      </c>
      <c r="VSC73" s="263" t="s">
        <v>31</v>
      </c>
      <c r="VSD73" s="254"/>
      <c r="VSE73" s="254"/>
      <c r="VSF73" s="264">
        <v>5.7000000000000002E-2</v>
      </c>
      <c r="VSG73" s="193"/>
      <c r="VSH73" s="263" t="s">
        <v>2</v>
      </c>
      <c r="VSI73" s="193"/>
      <c r="VSJ73" s="255" t="s">
        <v>168</v>
      </c>
      <c r="VSK73" s="263" t="s">
        <v>31</v>
      </c>
      <c r="VSL73" s="254"/>
      <c r="VSM73" s="254"/>
      <c r="VSN73" s="264">
        <v>5.7000000000000002E-2</v>
      </c>
      <c r="VSO73" s="193"/>
      <c r="VSP73" s="263" t="s">
        <v>2</v>
      </c>
      <c r="VSQ73" s="193"/>
      <c r="VSR73" s="255" t="s">
        <v>168</v>
      </c>
      <c r="VSS73" s="263" t="s">
        <v>31</v>
      </c>
      <c r="VST73" s="254"/>
      <c r="VSU73" s="254"/>
      <c r="VSV73" s="264">
        <v>5.7000000000000002E-2</v>
      </c>
      <c r="VSW73" s="193"/>
      <c r="VSX73" s="263" t="s">
        <v>2</v>
      </c>
      <c r="VSY73" s="193"/>
      <c r="VSZ73" s="255" t="s">
        <v>168</v>
      </c>
      <c r="VTA73" s="263" t="s">
        <v>31</v>
      </c>
      <c r="VTB73" s="254"/>
      <c r="VTC73" s="254"/>
      <c r="VTD73" s="264">
        <v>5.7000000000000002E-2</v>
      </c>
      <c r="VTE73" s="193"/>
      <c r="VTF73" s="263" t="s">
        <v>2</v>
      </c>
      <c r="VTG73" s="193"/>
      <c r="VTH73" s="255" t="s">
        <v>168</v>
      </c>
      <c r="VTI73" s="263" t="s">
        <v>31</v>
      </c>
      <c r="VTJ73" s="254"/>
      <c r="VTK73" s="254"/>
      <c r="VTL73" s="264">
        <v>5.7000000000000002E-2</v>
      </c>
      <c r="VTM73" s="193"/>
      <c r="VTN73" s="263" t="s">
        <v>2</v>
      </c>
      <c r="VTO73" s="193"/>
      <c r="VTP73" s="255" t="s">
        <v>168</v>
      </c>
      <c r="VTQ73" s="263" t="s">
        <v>31</v>
      </c>
      <c r="VTR73" s="254"/>
      <c r="VTS73" s="254"/>
      <c r="VTT73" s="264">
        <v>5.7000000000000002E-2</v>
      </c>
      <c r="VTU73" s="193"/>
      <c r="VTV73" s="263" t="s">
        <v>2</v>
      </c>
      <c r="VTW73" s="193"/>
      <c r="VTX73" s="255" t="s">
        <v>168</v>
      </c>
      <c r="VTY73" s="263" t="s">
        <v>31</v>
      </c>
      <c r="VTZ73" s="254"/>
      <c r="VUA73" s="254"/>
      <c r="VUB73" s="264">
        <v>5.7000000000000002E-2</v>
      </c>
      <c r="VUC73" s="193"/>
      <c r="VUD73" s="263" t="s">
        <v>2</v>
      </c>
      <c r="VUE73" s="193"/>
      <c r="VUF73" s="255" t="s">
        <v>168</v>
      </c>
      <c r="VUG73" s="263" t="s">
        <v>31</v>
      </c>
      <c r="VUH73" s="254"/>
      <c r="VUI73" s="254"/>
      <c r="VUJ73" s="264">
        <v>5.7000000000000002E-2</v>
      </c>
      <c r="VUK73" s="193"/>
      <c r="VUL73" s="263" t="s">
        <v>2</v>
      </c>
      <c r="VUM73" s="193"/>
      <c r="VUN73" s="255" t="s">
        <v>168</v>
      </c>
      <c r="VUO73" s="263" t="s">
        <v>31</v>
      </c>
      <c r="VUP73" s="254"/>
      <c r="VUQ73" s="254"/>
      <c r="VUR73" s="264">
        <v>5.7000000000000002E-2</v>
      </c>
      <c r="VUS73" s="193"/>
      <c r="VUT73" s="263" t="s">
        <v>2</v>
      </c>
      <c r="VUU73" s="193"/>
      <c r="VUV73" s="255" t="s">
        <v>168</v>
      </c>
      <c r="VUW73" s="263" t="s">
        <v>31</v>
      </c>
      <c r="VUX73" s="254"/>
      <c r="VUY73" s="254"/>
      <c r="VUZ73" s="264">
        <v>5.7000000000000002E-2</v>
      </c>
      <c r="VVA73" s="193"/>
      <c r="VVB73" s="263" t="s">
        <v>2</v>
      </c>
      <c r="VVC73" s="193"/>
      <c r="VVD73" s="255" t="s">
        <v>168</v>
      </c>
      <c r="VVE73" s="263" t="s">
        <v>31</v>
      </c>
      <c r="VVF73" s="254"/>
      <c r="VVG73" s="254"/>
      <c r="VVH73" s="264">
        <v>5.7000000000000002E-2</v>
      </c>
      <c r="VVI73" s="193"/>
      <c r="VVJ73" s="263" t="s">
        <v>2</v>
      </c>
      <c r="VVK73" s="193"/>
      <c r="VVL73" s="255" t="s">
        <v>168</v>
      </c>
      <c r="VVM73" s="263" t="s">
        <v>31</v>
      </c>
      <c r="VVN73" s="254"/>
      <c r="VVO73" s="254"/>
      <c r="VVP73" s="264">
        <v>5.7000000000000002E-2</v>
      </c>
      <c r="VVQ73" s="193"/>
      <c r="VVR73" s="263" t="s">
        <v>2</v>
      </c>
      <c r="VVS73" s="193"/>
      <c r="VVT73" s="255" t="s">
        <v>168</v>
      </c>
      <c r="VVU73" s="263" t="s">
        <v>31</v>
      </c>
      <c r="VVV73" s="254"/>
      <c r="VVW73" s="254"/>
      <c r="VVX73" s="264">
        <v>5.7000000000000002E-2</v>
      </c>
      <c r="VVY73" s="193"/>
      <c r="VVZ73" s="263" t="s">
        <v>2</v>
      </c>
      <c r="VWA73" s="193"/>
      <c r="VWB73" s="255" t="s">
        <v>168</v>
      </c>
      <c r="VWC73" s="263" t="s">
        <v>31</v>
      </c>
      <c r="VWD73" s="254"/>
      <c r="VWE73" s="254"/>
      <c r="VWF73" s="264">
        <v>5.7000000000000002E-2</v>
      </c>
      <c r="VWG73" s="193"/>
      <c r="VWH73" s="263" t="s">
        <v>2</v>
      </c>
      <c r="VWI73" s="193"/>
      <c r="VWJ73" s="255" t="s">
        <v>168</v>
      </c>
      <c r="VWK73" s="263" t="s">
        <v>31</v>
      </c>
      <c r="VWL73" s="254"/>
      <c r="VWM73" s="254"/>
      <c r="VWN73" s="264">
        <v>5.7000000000000002E-2</v>
      </c>
      <c r="VWO73" s="193"/>
      <c r="VWP73" s="263" t="s">
        <v>2</v>
      </c>
      <c r="VWQ73" s="193"/>
      <c r="VWR73" s="255" t="s">
        <v>168</v>
      </c>
      <c r="VWS73" s="263" t="s">
        <v>31</v>
      </c>
      <c r="VWT73" s="254"/>
      <c r="VWU73" s="254"/>
      <c r="VWV73" s="264">
        <v>5.7000000000000002E-2</v>
      </c>
      <c r="VWW73" s="193"/>
      <c r="VWX73" s="263" t="s">
        <v>2</v>
      </c>
      <c r="VWY73" s="193"/>
      <c r="VWZ73" s="255" t="s">
        <v>168</v>
      </c>
      <c r="VXA73" s="263" t="s">
        <v>31</v>
      </c>
      <c r="VXB73" s="254"/>
      <c r="VXC73" s="254"/>
      <c r="VXD73" s="264">
        <v>5.7000000000000002E-2</v>
      </c>
      <c r="VXE73" s="193"/>
      <c r="VXF73" s="263" t="s">
        <v>2</v>
      </c>
      <c r="VXG73" s="193"/>
      <c r="VXH73" s="255" t="s">
        <v>168</v>
      </c>
      <c r="VXI73" s="263" t="s">
        <v>31</v>
      </c>
      <c r="VXJ73" s="254"/>
      <c r="VXK73" s="254"/>
      <c r="VXL73" s="264">
        <v>5.7000000000000002E-2</v>
      </c>
      <c r="VXM73" s="193"/>
      <c r="VXN73" s="263" t="s">
        <v>2</v>
      </c>
      <c r="VXO73" s="193"/>
      <c r="VXP73" s="255" t="s">
        <v>168</v>
      </c>
      <c r="VXQ73" s="263" t="s">
        <v>31</v>
      </c>
      <c r="VXR73" s="254"/>
      <c r="VXS73" s="254"/>
      <c r="VXT73" s="264">
        <v>5.7000000000000002E-2</v>
      </c>
      <c r="VXU73" s="193"/>
      <c r="VXV73" s="263" t="s">
        <v>2</v>
      </c>
      <c r="VXW73" s="193"/>
      <c r="VXX73" s="255" t="s">
        <v>168</v>
      </c>
      <c r="VXY73" s="263" t="s">
        <v>31</v>
      </c>
      <c r="VXZ73" s="254"/>
      <c r="VYA73" s="254"/>
      <c r="VYB73" s="264">
        <v>5.7000000000000002E-2</v>
      </c>
      <c r="VYC73" s="193"/>
      <c r="VYD73" s="263" t="s">
        <v>2</v>
      </c>
      <c r="VYE73" s="193"/>
      <c r="VYF73" s="255" t="s">
        <v>168</v>
      </c>
      <c r="VYG73" s="263" t="s">
        <v>31</v>
      </c>
      <c r="VYH73" s="254"/>
      <c r="VYI73" s="254"/>
      <c r="VYJ73" s="264">
        <v>5.7000000000000002E-2</v>
      </c>
      <c r="VYK73" s="193"/>
      <c r="VYL73" s="263" t="s">
        <v>2</v>
      </c>
      <c r="VYM73" s="193"/>
      <c r="VYN73" s="255" t="s">
        <v>168</v>
      </c>
      <c r="VYO73" s="263" t="s">
        <v>31</v>
      </c>
      <c r="VYP73" s="254"/>
      <c r="VYQ73" s="254"/>
      <c r="VYR73" s="264">
        <v>5.7000000000000002E-2</v>
      </c>
      <c r="VYS73" s="193"/>
      <c r="VYT73" s="263" t="s">
        <v>2</v>
      </c>
      <c r="VYU73" s="193"/>
      <c r="VYV73" s="255" t="s">
        <v>168</v>
      </c>
      <c r="VYW73" s="263" t="s">
        <v>31</v>
      </c>
      <c r="VYX73" s="254"/>
      <c r="VYY73" s="254"/>
      <c r="VYZ73" s="264">
        <v>5.7000000000000002E-2</v>
      </c>
      <c r="VZA73" s="193"/>
      <c r="VZB73" s="263" t="s">
        <v>2</v>
      </c>
      <c r="VZC73" s="193"/>
      <c r="VZD73" s="255" t="s">
        <v>168</v>
      </c>
      <c r="VZE73" s="263" t="s">
        <v>31</v>
      </c>
      <c r="VZF73" s="254"/>
      <c r="VZG73" s="254"/>
      <c r="VZH73" s="264">
        <v>5.7000000000000002E-2</v>
      </c>
      <c r="VZI73" s="193"/>
      <c r="VZJ73" s="263" t="s">
        <v>2</v>
      </c>
      <c r="VZK73" s="193"/>
      <c r="VZL73" s="255" t="s">
        <v>168</v>
      </c>
      <c r="VZM73" s="263" t="s">
        <v>31</v>
      </c>
      <c r="VZN73" s="254"/>
      <c r="VZO73" s="254"/>
      <c r="VZP73" s="264">
        <v>5.7000000000000002E-2</v>
      </c>
      <c r="VZQ73" s="193"/>
      <c r="VZR73" s="263" t="s">
        <v>2</v>
      </c>
      <c r="VZS73" s="193"/>
      <c r="VZT73" s="255" t="s">
        <v>168</v>
      </c>
      <c r="VZU73" s="263" t="s">
        <v>31</v>
      </c>
      <c r="VZV73" s="254"/>
      <c r="VZW73" s="254"/>
      <c r="VZX73" s="264">
        <v>5.7000000000000002E-2</v>
      </c>
      <c r="VZY73" s="193"/>
      <c r="VZZ73" s="263" t="s">
        <v>2</v>
      </c>
      <c r="WAA73" s="193"/>
      <c r="WAB73" s="255" t="s">
        <v>168</v>
      </c>
      <c r="WAC73" s="263" t="s">
        <v>31</v>
      </c>
      <c r="WAD73" s="254"/>
      <c r="WAE73" s="254"/>
      <c r="WAF73" s="264">
        <v>5.7000000000000002E-2</v>
      </c>
      <c r="WAG73" s="193"/>
      <c r="WAH73" s="263" t="s">
        <v>2</v>
      </c>
      <c r="WAI73" s="193"/>
      <c r="WAJ73" s="255" t="s">
        <v>168</v>
      </c>
      <c r="WAK73" s="263" t="s">
        <v>31</v>
      </c>
      <c r="WAL73" s="254"/>
      <c r="WAM73" s="254"/>
      <c r="WAN73" s="264">
        <v>5.7000000000000002E-2</v>
      </c>
      <c r="WAO73" s="193"/>
      <c r="WAP73" s="263" t="s">
        <v>2</v>
      </c>
      <c r="WAQ73" s="193"/>
      <c r="WAR73" s="255" t="s">
        <v>168</v>
      </c>
      <c r="WAS73" s="263" t="s">
        <v>31</v>
      </c>
      <c r="WAT73" s="254"/>
      <c r="WAU73" s="254"/>
      <c r="WAV73" s="264">
        <v>5.7000000000000002E-2</v>
      </c>
      <c r="WAW73" s="193"/>
      <c r="WAX73" s="263" t="s">
        <v>2</v>
      </c>
      <c r="WAY73" s="193"/>
      <c r="WAZ73" s="255" t="s">
        <v>168</v>
      </c>
      <c r="WBA73" s="263" t="s">
        <v>31</v>
      </c>
      <c r="WBB73" s="254"/>
      <c r="WBC73" s="254"/>
      <c r="WBD73" s="264">
        <v>5.7000000000000002E-2</v>
      </c>
      <c r="WBE73" s="193"/>
      <c r="WBF73" s="263" t="s">
        <v>2</v>
      </c>
      <c r="WBG73" s="193"/>
      <c r="WBH73" s="255" t="s">
        <v>168</v>
      </c>
      <c r="WBI73" s="263" t="s">
        <v>31</v>
      </c>
      <c r="WBJ73" s="254"/>
      <c r="WBK73" s="254"/>
      <c r="WBL73" s="264">
        <v>5.7000000000000002E-2</v>
      </c>
      <c r="WBM73" s="193"/>
      <c r="WBN73" s="263" t="s">
        <v>2</v>
      </c>
      <c r="WBO73" s="193"/>
      <c r="WBP73" s="255" t="s">
        <v>168</v>
      </c>
      <c r="WBQ73" s="263" t="s">
        <v>31</v>
      </c>
      <c r="WBR73" s="254"/>
      <c r="WBS73" s="254"/>
      <c r="WBT73" s="264">
        <v>5.7000000000000002E-2</v>
      </c>
      <c r="WBU73" s="193"/>
      <c r="WBV73" s="263" t="s">
        <v>2</v>
      </c>
      <c r="WBW73" s="193"/>
      <c r="WBX73" s="255" t="s">
        <v>168</v>
      </c>
      <c r="WBY73" s="263" t="s">
        <v>31</v>
      </c>
      <c r="WBZ73" s="254"/>
      <c r="WCA73" s="254"/>
      <c r="WCB73" s="264">
        <v>5.7000000000000002E-2</v>
      </c>
      <c r="WCC73" s="193"/>
      <c r="WCD73" s="263" t="s">
        <v>2</v>
      </c>
      <c r="WCE73" s="193"/>
      <c r="WCF73" s="255" t="s">
        <v>168</v>
      </c>
      <c r="WCG73" s="263" t="s">
        <v>31</v>
      </c>
      <c r="WCH73" s="254"/>
      <c r="WCI73" s="254"/>
      <c r="WCJ73" s="264">
        <v>5.7000000000000002E-2</v>
      </c>
      <c r="WCK73" s="193"/>
      <c r="WCL73" s="263" t="s">
        <v>2</v>
      </c>
      <c r="WCM73" s="193"/>
      <c r="WCN73" s="255" t="s">
        <v>168</v>
      </c>
      <c r="WCO73" s="263" t="s">
        <v>31</v>
      </c>
      <c r="WCP73" s="254"/>
      <c r="WCQ73" s="254"/>
      <c r="WCR73" s="264">
        <v>5.7000000000000002E-2</v>
      </c>
      <c r="WCS73" s="193"/>
      <c r="WCT73" s="263" t="s">
        <v>2</v>
      </c>
      <c r="WCU73" s="193"/>
      <c r="WCV73" s="255" t="s">
        <v>168</v>
      </c>
      <c r="WCW73" s="263" t="s">
        <v>31</v>
      </c>
      <c r="WCX73" s="254"/>
      <c r="WCY73" s="254"/>
      <c r="WCZ73" s="264">
        <v>5.7000000000000002E-2</v>
      </c>
      <c r="WDA73" s="193"/>
      <c r="WDB73" s="263" t="s">
        <v>2</v>
      </c>
      <c r="WDC73" s="193"/>
      <c r="WDD73" s="255" t="s">
        <v>168</v>
      </c>
      <c r="WDE73" s="263" t="s">
        <v>31</v>
      </c>
      <c r="WDF73" s="254"/>
      <c r="WDG73" s="254"/>
      <c r="WDH73" s="264">
        <v>5.7000000000000002E-2</v>
      </c>
      <c r="WDI73" s="193"/>
      <c r="WDJ73" s="263" t="s">
        <v>2</v>
      </c>
      <c r="WDK73" s="193"/>
      <c r="WDL73" s="255" t="s">
        <v>168</v>
      </c>
      <c r="WDM73" s="263" t="s">
        <v>31</v>
      </c>
      <c r="WDN73" s="254"/>
      <c r="WDO73" s="254"/>
      <c r="WDP73" s="264">
        <v>5.7000000000000002E-2</v>
      </c>
      <c r="WDQ73" s="193"/>
      <c r="WDR73" s="263" t="s">
        <v>2</v>
      </c>
      <c r="WDS73" s="193"/>
      <c r="WDT73" s="255" t="s">
        <v>168</v>
      </c>
      <c r="WDU73" s="263" t="s">
        <v>31</v>
      </c>
      <c r="WDV73" s="254"/>
      <c r="WDW73" s="254"/>
      <c r="WDX73" s="264">
        <v>5.7000000000000002E-2</v>
      </c>
      <c r="WDY73" s="193"/>
      <c r="WDZ73" s="263" t="s">
        <v>2</v>
      </c>
      <c r="WEA73" s="193"/>
      <c r="WEB73" s="255" t="s">
        <v>168</v>
      </c>
      <c r="WEC73" s="263" t="s">
        <v>31</v>
      </c>
      <c r="WED73" s="254"/>
      <c r="WEE73" s="254"/>
      <c r="WEF73" s="264">
        <v>5.7000000000000002E-2</v>
      </c>
      <c r="WEG73" s="193"/>
      <c r="WEH73" s="263" t="s">
        <v>2</v>
      </c>
      <c r="WEI73" s="193"/>
      <c r="WEJ73" s="255" t="s">
        <v>168</v>
      </c>
      <c r="WEK73" s="263" t="s">
        <v>31</v>
      </c>
      <c r="WEL73" s="254"/>
      <c r="WEM73" s="254"/>
      <c r="WEN73" s="264">
        <v>5.7000000000000002E-2</v>
      </c>
      <c r="WEO73" s="193"/>
      <c r="WEP73" s="263" t="s">
        <v>2</v>
      </c>
      <c r="WEQ73" s="193"/>
      <c r="WER73" s="255" t="s">
        <v>168</v>
      </c>
      <c r="WES73" s="263" t="s">
        <v>31</v>
      </c>
      <c r="WET73" s="254"/>
      <c r="WEU73" s="254"/>
      <c r="WEV73" s="264">
        <v>5.7000000000000002E-2</v>
      </c>
      <c r="WEW73" s="193"/>
      <c r="WEX73" s="263" t="s">
        <v>2</v>
      </c>
      <c r="WEY73" s="193"/>
      <c r="WEZ73" s="255" t="s">
        <v>168</v>
      </c>
      <c r="WFA73" s="263" t="s">
        <v>31</v>
      </c>
      <c r="WFB73" s="254"/>
      <c r="WFC73" s="254"/>
      <c r="WFD73" s="264">
        <v>5.7000000000000002E-2</v>
      </c>
      <c r="WFE73" s="193"/>
      <c r="WFF73" s="263" t="s">
        <v>2</v>
      </c>
      <c r="WFG73" s="193"/>
      <c r="WFH73" s="255" t="s">
        <v>168</v>
      </c>
      <c r="WFI73" s="263" t="s">
        <v>31</v>
      </c>
      <c r="WFJ73" s="254"/>
      <c r="WFK73" s="254"/>
      <c r="WFL73" s="264">
        <v>5.7000000000000002E-2</v>
      </c>
      <c r="WFM73" s="193"/>
      <c r="WFN73" s="263" t="s">
        <v>2</v>
      </c>
      <c r="WFO73" s="193"/>
      <c r="WFP73" s="255" t="s">
        <v>168</v>
      </c>
      <c r="WFQ73" s="263" t="s">
        <v>31</v>
      </c>
      <c r="WFR73" s="254"/>
      <c r="WFS73" s="254"/>
      <c r="WFT73" s="264">
        <v>5.7000000000000002E-2</v>
      </c>
      <c r="WFU73" s="193"/>
      <c r="WFV73" s="263" t="s">
        <v>2</v>
      </c>
      <c r="WFW73" s="193"/>
      <c r="WFX73" s="255" t="s">
        <v>168</v>
      </c>
      <c r="WFY73" s="263" t="s">
        <v>31</v>
      </c>
      <c r="WFZ73" s="254"/>
      <c r="WGA73" s="254"/>
      <c r="WGB73" s="264">
        <v>5.7000000000000002E-2</v>
      </c>
      <c r="WGC73" s="193"/>
      <c r="WGD73" s="263" t="s">
        <v>2</v>
      </c>
      <c r="WGE73" s="193"/>
      <c r="WGF73" s="255" t="s">
        <v>168</v>
      </c>
      <c r="WGG73" s="263" t="s">
        <v>31</v>
      </c>
      <c r="WGH73" s="254"/>
      <c r="WGI73" s="254"/>
      <c r="WGJ73" s="264">
        <v>5.7000000000000002E-2</v>
      </c>
      <c r="WGK73" s="193"/>
      <c r="WGL73" s="263" t="s">
        <v>2</v>
      </c>
      <c r="WGM73" s="193"/>
      <c r="WGN73" s="255" t="s">
        <v>168</v>
      </c>
      <c r="WGO73" s="263" t="s">
        <v>31</v>
      </c>
      <c r="WGP73" s="254"/>
      <c r="WGQ73" s="254"/>
      <c r="WGR73" s="264">
        <v>5.7000000000000002E-2</v>
      </c>
      <c r="WGS73" s="193"/>
      <c r="WGT73" s="263" t="s">
        <v>2</v>
      </c>
      <c r="WGU73" s="193"/>
      <c r="WGV73" s="255" t="s">
        <v>168</v>
      </c>
      <c r="WGW73" s="263" t="s">
        <v>31</v>
      </c>
      <c r="WGX73" s="254"/>
      <c r="WGY73" s="254"/>
      <c r="WGZ73" s="264">
        <v>5.7000000000000002E-2</v>
      </c>
      <c r="WHA73" s="193"/>
      <c r="WHB73" s="263" t="s">
        <v>2</v>
      </c>
      <c r="WHC73" s="193"/>
      <c r="WHD73" s="255" t="s">
        <v>168</v>
      </c>
      <c r="WHE73" s="263" t="s">
        <v>31</v>
      </c>
      <c r="WHF73" s="254"/>
      <c r="WHG73" s="254"/>
      <c r="WHH73" s="264">
        <v>5.7000000000000002E-2</v>
      </c>
      <c r="WHI73" s="193"/>
      <c r="WHJ73" s="263" t="s">
        <v>2</v>
      </c>
      <c r="WHK73" s="193"/>
      <c r="WHL73" s="255" t="s">
        <v>168</v>
      </c>
      <c r="WHM73" s="263" t="s">
        <v>31</v>
      </c>
      <c r="WHN73" s="254"/>
      <c r="WHO73" s="254"/>
      <c r="WHP73" s="264">
        <v>5.7000000000000002E-2</v>
      </c>
      <c r="WHQ73" s="193"/>
      <c r="WHR73" s="263" t="s">
        <v>2</v>
      </c>
      <c r="WHS73" s="193"/>
      <c r="WHT73" s="255" t="s">
        <v>168</v>
      </c>
      <c r="WHU73" s="263" t="s">
        <v>31</v>
      </c>
      <c r="WHV73" s="254"/>
      <c r="WHW73" s="254"/>
      <c r="WHX73" s="264">
        <v>5.7000000000000002E-2</v>
      </c>
      <c r="WHY73" s="193"/>
      <c r="WHZ73" s="263" t="s">
        <v>2</v>
      </c>
      <c r="WIA73" s="193"/>
      <c r="WIB73" s="255" t="s">
        <v>168</v>
      </c>
      <c r="WIC73" s="263" t="s">
        <v>31</v>
      </c>
      <c r="WID73" s="254"/>
      <c r="WIE73" s="254"/>
      <c r="WIF73" s="264">
        <v>5.7000000000000002E-2</v>
      </c>
      <c r="WIG73" s="193"/>
      <c r="WIH73" s="263" t="s">
        <v>2</v>
      </c>
      <c r="WII73" s="193"/>
      <c r="WIJ73" s="255" t="s">
        <v>168</v>
      </c>
      <c r="WIK73" s="263" t="s">
        <v>31</v>
      </c>
      <c r="WIL73" s="254"/>
      <c r="WIM73" s="254"/>
      <c r="WIN73" s="264">
        <v>5.7000000000000002E-2</v>
      </c>
      <c r="WIO73" s="193"/>
      <c r="WIP73" s="263" t="s">
        <v>2</v>
      </c>
      <c r="WIQ73" s="193"/>
      <c r="WIR73" s="255" t="s">
        <v>168</v>
      </c>
      <c r="WIS73" s="263" t="s">
        <v>31</v>
      </c>
      <c r="WIT73" s="254"/>
      <c r="WIU73" s="254"/>
      <c r="WIV73" s="264">
        <v>5.7000000000000002E-2</v>
      </c>
      <c r="WIW73" s="193"/>
      <c r="WIX73" s="263" t="s">
        <v>2</v>
      </c>
      <c r="WIY73" s="193"/>
      <c r="WIZ73" s="255" t="s">
        <v>168</v>
      </c>
      <c r="WJA73" s="263" t="s">
        <v>31</v>
      </c>
      <c r="WJB73" s="254"/>
      <c r="WJC73" s="254"/>
      <c r="WJD73" s="264">
        <v>5.7000000000000002E-2</v>
      </c>
      <c r="WJE73" s="193"/>
      <c r="WJF73" s="263" t="s">
        <v>2</v>
      </c>
      <c r="WJG73" s="193"/>
      <c r="WJH73" s="255" t="s">
        <v>168</v>
      </c>
      <c r="WJI73" s="263" t="s">
        <v>31</v>
      </c>
      <c r="WJJ73" s="254"/>
      <c r="WJK73" s="254"/>
      <c r="WJL73" s="264">
        <v>5.7000000000000002E-2</v>
      </c>
      <c r="WJM73" s="193"/>
      <c r="WJN73" s="263" t="s">
        <v>2</v>
      </c>
      <c r="WJO73" s="193"/>
      <c r="WJP73" s="255" t="s">
        <v>168</v>
      </c>
      <c r="WJQ73" s="263" t="s">
        <v>31</v>
      </c>
      <c r="WJR73" s="254"/>
      <c r="WJS73" s="254"/>
      <c r="WJT73" s="264">
        <v>5.7000000000000002E-2</v>
      </c>
      <c r="WJU73" s="193"/>
      <c r="WJV73" s="263" t="s">
        <v>2</v>
      </c>
      <c r="WJW73" s="193"/>
      <c r="WJX73" s="255" t="s">
        <v>168</v>
      </c>
      <c r="WJY73" s="263" t="s">
        <v>31</v>
      </c>
      <c r="WJZ73" s="254"/>
      <c r="WKA73" s="254"/>
      <c r="WKB73" s="264">
        <v>5.7000000000000002E-2</v>
      </c>
      <c r="WKC73" s="193"/>
      <c r="WKD73" s="263" t="s">
        <v>2</v>
      </c>
      <c r="WKE73" s="193"/>
      <c r="WKF73" s="255" t="s">
        <v>168</v>
      </c>
      <c r="WKG73" s="263" t="s">
        <v>31</v>
      </c>
      <c r="WKH73" s="254"/>
      <c r="WKI73" s="254"/>
      <c r="WKJ73" s="264">
        <v>5.7000000000000002E-2</v>
      </c>
      <c r="WKK73" s="193"/>
      <c r="WKL73" s="263" t="s">
        <v>2</v>
      </c>
      <c r="WKM73" s="193"/>
      <c r="WKN73" s="255" t="s">
        <v>168</v>
      </c>
      <c r="WKO73" s="263" t="s">
        <v>31</v>
      </c>
      <c r="WKP73" s="254"/>
      <c r="WKQ73" s="254"/>
      <c r="WKR73" s="264">
        <v>5.7000000000000002E-2</v>
      </c>
      <c r="WKS73" s="193"/>
      <c r="WKT73" s="263" t="s">
        <v>2</v>
      </c>
      <c r="WKU73" s="193"/>
      <c r="WKV73" s="255" t="s">
        <v>168</v>
      </c>
      <c r="WKW73" s="263" t="s">
        <v>31</v>
      </c>
      <c r="WKX73" s="254"/>
      <c r="WKY73" s="254"/>
      <c r="WKZ73" s="264">
        <v>5.7000000000000002E-2</v>
      </c>
      <c r="WLA73" s="193"/>
      <c r="WLB73" s="263" t="s">
        <v>2</v>
      </c>
      <c r="WLC73" s="193"/>
      <c r="WLD73" s="255" t="s">
        <v>168</v>
      </c>
      <c r="WLE73" s="263" t="s">
        <v>31</v>
      </c>
      <c r="WLF73" s="254"/>
      <c r="WLG73" s="254"/>
      <c r="WLH73" s="264">
        <v>5.7000000000000002E-2</v>
      </c>
      <c r="WLI73" s="193"/>
      <c r="WLJ73" s="263" t="s">
        <v>2</v>
      </c>
      <c r="WLK73" s="193"/>
      <c r="WLL73" s="255" t="s">
        <v>168</v>
      </c>
      <c r="WLM73" s="263" t="s">
        <v>31</v>
      </c>
      <c r="WLN73" s="254"/>
      <c r="WLO73" s="254"/>
      <c r="WLP73" s="264">
        <v>5.7000000000000002E-2</v>
      </c>
      <c r="WLQ73" s="193"/>
      <c r="WLR73" s="263" t="s">
        <v>2</v>
      </c>
      <c r="WLS73" s="193"/>
      <c r="WLT73" s="255" t="s">
        <v>168</v>
      </c>
      <c r="WLU73" s="263" t="s">
        <v>31</v>
      </c>
      <c r="WLV73" s="254"/>
      <c r="WLW73" s="254"/>
      <c r="WLX73" s="264">
        <v>5.7000000000000002E-2</v>
      </c>
      <c r="WLY73" s="193"/>
      <c r="WLZ73" s="263" t="s">
        <v>2</v>
      </c>
      <c r="WMA73" s="193"/>
      <c r="WMB73" s="255" t="s">
        <v>168</v>
      </c>
      <c r="WMC73" s="263" t="s">
        <v>31</v>
      </c>
      <c r="WMD73" s="254"/>
      <c r="WME73" s="254"/>
      <c r="WMF73" s="264">
        <v>5.7000000000000002E-2</v>
      </c>
      <c r="WMG73" s="193"/>
      <c r="WMH73" s="263" t="s">
        <v>2</v>
      </c>
      <c r="WMI73" s="193"/>
      <c r="WMJ73" s="255" t="s">
        <v>168</v>
      </c>
      <c r="WMK73" s="263" t="s">
        <v>31</v>
      </c>
      <c r="WML73" s="254"/>
      <c r="WMM73" s="254"/>
      <c r="WMN73" s="264">
        <v>5.7000000000000002E-2</v>
      </c>
      <c r="WMO73" s="193"/>
      <c r="WMP73" s="263" t="s">
        <v>2</v>
      </c>
      <c r="WMQ73" s="193"/>
      <c r="WMR73" s="255" t="s">
        <v>168</v>
      </c>
      <c r="WMS73" s="263" t="s">
        <v>31</v>
      </c>
      <c r="WMT73" s="254"/>
      <c r="WMU73" s="254"/>
      <c r="WMV73" s="264">
        <v>5.7000000000000002E-2</v>
      </c>
      <c r="WMW73" s="193"/>
      <c r="WMX73" s="263" t="s">
        <v>2</v>
      </c>
      <c r="WMY73" s="193"/>
      <c r="WMZ73" s="255" t="s">
        <v>168</v>
      </c>
      <c r="WNA73" s="263" t="s">
        <v>31</v>
      </c>
      <c r="WNB73" s="254"/>
      <c r="WNC73" s="254"/>
      <c r="WND73" s="264">
        <v>5.7000000000000002E-2</v>
      </c>
      <c r="WNE73" s="193"/>
      <c r="WNF73" s="263" t="s">
        <v>2</v>
      </c>
      <c r="WNG73" s="193"/>
      <c r="WNH73" s="255" t="s">
        <v>168</v>
      </c>
      <c r="WNI73" s="263" t="s">
        <v>31</v>
      </c>
      <c r="WNJ73" s="254"/>
      <c r="WNK73" s="254"/>
      <c r="WNL73" s="264">
        <v>5.7000000000000002E-2</v>
      </c>
      <c r="WNM73" s="193"/>
      <c r="WNN73" s="263" t="s">
        <v>2</v>
      </c>
      <c r="WNO73" s="193"/>
      <c r="WNP73" s="255" t="s">
        <v>168</v>
      </c>
      <c r="WNQ73" s="263" t="s">
        <v>31</v>
      </c>
      <c r="WNR73" s="254"/>
      <c r="WNS73" s="254"/>
      <c r="WNT73" s="264">
        <v>5.7000000000000002E-2</v>
      </c>
      <c r="WNU73" s="193"/>
      <c r="WNV73" s="263" t="s">
        <v>2</v>
      </c>
      <c r="WNW73" s="193"/>
      <c r="WNX73" s="255" t="s">
        <v>168</v>
      </c>
      <c r="WNY73" s="263" t="s">
        <v>31</v>
      </c>
      <c r="WNZ73" s="254"/>
      <c r="WOA73" s="254"/>
      <c r="WOB73" s="264">
        <v>5.7000000000000002E-2</v>
      </c>
      <c r="WOC73" s="193"/>
      <c r="WOD73" s="263" t="s">
        <v>2</v>
      </c>
      <c r="WOE73" s="193"/>
      <c r="WOF73" s="255" t="s">
        <v>168</v>
      </c>
      <c r="WOG73" s="263" t="s">
        <v>31</v>
      </c>
      <c r="WOH73" s="254"/>
      <c r="WOI73" s="254"/>
      <c r="WOJ73" s="264">
        <v>5.7000000000000002E-2</v>
      </c>
      <c r="WOK73" s="193"/>
      <c r="WOL73" s="263" t="s">
        <v>2</v>
      </c>
      <c r="WOM73" s="193"/>
      <c r="WON73" s="255" t="s">
        <v>168</v>
      </c>
      <c r="WOO73" s="263" t="s">
        <v>31</v>
      </c>
      <c r="WOP73" s="254"/>
      <c r="WOQ73" s="254"/>
      <c r="WOR73" s="264">
        <v>5.7000000000000002E-2</v>
      </c>
      <c r="WOS73" s="193"/>
      <c r="WOT73" s="263" t="s">
        <v>2</v>
      </c>
      <c r="WOU73" s="193"/>
      <c r="WOV73" s="255" t="s">
        <v>168</v>
      </c>
      <c r="WOW73" s="263" t="s">
        <v>31</v>
      </c>
      <c r="WOX73" s="254"/>
      <c r="WOY73" s="254"/>
      <c r="WOZ73" s="264">
        <v>5.7000000000000002E-2</v>
      </c>
      <c r="WPA73" s="193"/>
      <c r="WPB73" s="263" t="s">
        <v>2</v>
      </c>
      <c r="WPC73" s="193"/>
      <c r="WPD73" s="255" t="s">
        <v>168</v>
      </c>
      <c r="WPE73" s="263" t="s">
        <v>31</v>
      </c>
      <c r="WPF73" s="254"/>
      <c r="WPG73" s="254"/>
      <c r="WPH73" s="264">
        <v>5.7000000000000002E-2</v>
      </c>
      <c r="WPI73" s="193"/>
      <c r="WPJ73" s="263" t="s">
        <v>2</v>
      </c>
      <c r="WPK73" s="193"/>
      <c r="WPL73" s="255" t="s">
        <v>168</v>
      </c>
      <c r="WPM73" s="263" t="s">
        <v>31</v>
      </c>
      <c r="WPN73" s="254"/>
      <c r="WPO73" s="254"/>
      <c r="WPP73" s="264">
        <v>5.7000000000000002E-2</v>
      </c>
      <c r="WPQ73" s="193"/>
      <c r="WPR73" s="263" t="s">
        <v>2</v>
      </c>
      <c r="WPS73" s="193"/>
      <c r="WPT73" s="255" t="s">
        <v>168</v>
      </c>
      <c r="WPU73" s="263" t="s">
        <v>31</v>
      </c>
      <c r="WPV73" s="254"/>
      <c r="WPW73" s="254"/>
      <c r="WPX73" s="264">
        <v>5.7000000000000002E-2</v>
      </c>
      <c r="WPY73" s="193"/>
      <c r="WPZ73" s="263" t="s">
        <v>2</v>
      </c>
      <c r="WQA73" s="193"/>
      <c r="WQB73" s="255" t="s">
        <v>168</v>
      </c>
      <c r="WQC73" s="263" t="s">
        <v>31</v>
      </c>
      <c r="WQD73" s="254"/>
      <c r="WQE73" s="254"/>
      <c r="WQF73" s="264">
        <v>5.7000000000000002E-2</v>
      </c>
      <c r="WQG73" s="193"/>
      <c r="WQH73" s="263" t="s">
        <v>2</v>
      </c>
      <c r="WQI73" s="193"/>
      <c r="WQJ73" s="255" t="s">
        <v>168</v>
      </c>
      <c r="WQK73" s="263" t="s">
        <v>31</v>
      </c>
      <c r="WQL73" s="254"/>
      <c r="WQM73" s="254"/>
      <c r="WQN73" s="264">
        <v>5.7000000000000002E-2</v>
      </c>
      <c r="WQO73" s="193"/>
      <c r="WQP73" s="263" t="s">
        <v>2</v>
      </c>
      <c r="WQQ73" s="193"/>
      <c r="WQR73" s="255" t="s">
        <v>168</v>
      </c>
      <c r="WQS73" s="263" t="s">
        <v>31</v>
      </c>
      <c r="WQT73" s="254"/>
      <c r="WQU73" s="254"/>
      <c r="WQV73" s="264">
        <v>5.7000000000000002E-2</v>
      </c>
      <c r="WQW73" s="193"/>
      <c r="WQX73" s="263" t="s">
        <v>2</v>
      </c>
      <c r="WQY73" s="193"/>
      <c r="WQZ73" s="255" t="s">
        <v>168</v>
      </c>
      <c r="WRA73" s="263" t="s">
        <v>31</v>
      </c>
      <c r="WRB73" s="254"/>
      <c r="WRC73" s="254"/>
      <c r="WRD73" s="264">
        <v>5.7000000000000002E-2</v>
      </c>
      <c r="WRE73" s="193"/>
      <c r="WRF73" s="263" t="s">
        <v>2</v>
      </c>
      <c r="WRG73" s="193"/>
      <c r="WRH73" s="255" t="s">
        <v>168</v>
      </c>
      <c r="WRI73" s="263" t="s">
        <v>31</v>
      </c>
      <c r="WRJ73" s="254"/>
      <c r="WRK73" s="254"/>
      <c r="WRL73" s="264">
        <v>5.7000000000000002E-2</v>
      </c>
      <c r="WRM73" s="193"/>
      <c r="WRN73" s="263" t="s">
        <v>2</v>
      </c>
      <c r="WRO73" s="193"/>
      <c r="WRP73" s="255" t="s">
        <v>168</v>
      </c>
      <c r="WRQ73" s="263" t="s">
        <v>31</v>
      </c>
      <c r="WRR73" s="254"/>
      <c r="WRS73" s="254"/>
      <c r="WRT73" s="264">
        <v>5.7000000000000002E-2</v>
      </c>
      <c r="WRU73" s="193"/>
      <c r="WRV73" s="263" t="s">
        <v>2</v>
      </c>
      <c r="WRW73" s="193"/>
      <c r="WRX73" s="255" t="s">
        <v>168</v>
      </c>
      <c r="WRY73" s="263" t="s">
        <v>31</v>
      </c>
      <c r="WRZ73" s="254"/>
      <c r="WSA73" s="254"/>
      <c r="WSB73" s="264">
        <v>5.7000000000000002E-2</v>
      </c>
      <c r="WSC73" s="193"/>
      <c r="WSD73" s="263" t="s">
        <v>2</v>
      </c>
      <c r="WSE73" s="193"/>
      <c r="WSF73" s="255" t="s">
        <v>168</v>
      </c>
      <c r="WSG73" s="263" t="s">
        <v>31</v>
      </c>
      <c r="WSH73" s="254"/>
      <c r="WSI73" s="254"/>
      <c r="WSJ73" s="264">
        <v>5.7000000000000002E-2</v>
      </c>
      <c r="WSK73" s="193"/>
      <c r="WSL73" s="263" t="s">
        <v>2</v>
      </c>
      <c r="WSM73" s="193"/>
      <c r="WSN73" s="255" t="s">
        <v>168</v>
      </c>
      <c r="WSO73" s="263" t="s">
        <v>31</v>
      </c>
      <c r="WSP73" s="254"/>
      <c r="WSQ73" s="254"/>
      <c r="WSR73" s="264">
        <v>5.7000000000000002E-2</v>
      </c>
      <c r="WSS73" s="193"/>
      <c r="WST73" s="263" t="s">
        <v>2</v>
      </c>
      <c r="WSU73" s="193"/>
      <c r="WSV73" s="255" t="s">
        <v>168</v>
      </c>
      <c r="WSW73" s="263" t="s">
        <v>31</v>
      </c>
      <c r="WSX73" s="254"/>
      <c r="WSY73" s="254"/>
      <c r="WSZ73" s="264">
        <v>5.7000000000000002E-2</v>
      </c>
      <c r="WTA73" s="193"/>
      <c r="WTB73" s="263" t="s">
        <v>2</v>
      </c>
      <c r="WTC73" s="193"/>
      <c r="WTD73" s="255" t="s">
        <v>168</v>
      </c>
      <c r="WTE73" s="263" t="s">
        <v>31</v>
      </c>
      <c r="WTF73" s="254"/>
      <c r="WTG73" s="254"/>
      <c r="WTH73" s="264">
        <v>5.7000000000000002E-2</v>
      </c>
      <c r="WTI73" s="193"/>
      <c r="WTJ73" s="263" t="s">
        <v>2</v>
      </c>
      <c r="WTK73" s="193"/>
      <c r="WTL73" s="255" t="s">
        <v>168</v>
      </c>
      <c r="WTM73" s="263" t="s">
        <v>31</v>
      </c>
      <c r="WTN73" s="254"/>
      <c r="WTO73" s="254"/>
      <c r="WTP73" s="264">
        <v>5.7000000000000002E-2</v>
      </c>
      <c r="WTQ73" s="193"/>
      <c r="WTR73" s="263" t="s">
        <v>2</v>
      </c>
      <c r="WTS73" s="193"/>
      <c r="WTT73" s="255" t="s">
        <v>168</v>
      </c>
      <c r="WTU73" s="263" t="s">
        <v>31</v>
      </c>
      <c r="WTV73" s="254"/>
      <c r="WTW73" s="254"/>
      <c r="WTX73" s="264">
        <v>5.7000000000000002E-2</v>
      </c>
      <c r="WTY73" s="193"/>
      <c r="WTZ73" s="263" t="s">
        <v>2</v>
      </c>
      <c r="WUA73" s="193"/>
      <c r="WUB73" s="255" t="s">
        <v>168</v>
      </c>
      <c r="WUC73" s="263" t="s">
        <v>31</v>
      </c>
      <c r="WUD73" s="254"/>
      <c r="WUE73" s="254"/>
      <c r="WUF73" s="264">
        <v>5.7000000000000002E-2</v>
      </c>
      <c r="WUG73" s="193"/>
      <c r="WUH73" s="263" t="s">
        <v>2</v>
      </c>
      <c r="WUI73" s="193"/>
      <c r="WUJ73" s="255" t="s">
        <v>168</v>
      </c>
      <c r="WUK73" s="263" t="s">
        <v>31</v>
      </c>
      <c r="WUL73" s="254"/>
      <c r="WUM73" s="254"/>
      <c r="WUN73" s="264">
        <v>5.7000000000000002E-2</v>
      </c>
      <c r="WUO73" s="193"/>
      <c r="WUP73" s="263" t="s">
        <v>2</v>
      </c>
      <c r="WUQ73" s="193"/>
      <c r="WUR73" s="255" t="s">
        <v>168</v>
      </c>
      <c r="WUS73" s="263" t="s">
        <v>31</v>
      </c>
      <c r="WUT73" s="254"/>
      <c r="WUU73" s="254"/>
      <c r="WUV73" s="264">
        <v>5.7000000000000002E-2</v>
      </c>
      <c r="WUW73" s="193"/>
      <c r="WUX73" s="263" t="s">
        <v>2</v>
      </c>
      <c r="WUY73" s="193"/>
      <c r="WUZ73" s="255" t="s">
        <v>168</v>
      </c>
      <c r="WVA73" s="263" t="s">
        <v>31</v>
      </c>
      <c r="WVB73" s="254"/>
      <c r="WVC73" s="254"/>
      <c r="WVD73" s="264">
        <v>5.7000000000000002E-2</v>
      </c>
      <c r="WVE73" s="193"/>
      <c r="WVF73" s="263" t="s">
        <v>2</v>
      </c>
      <c r="WVG73" s="193"/>
      <c r="WVH73" s="255" t="s">
        <v>168</v>
      </c>
      <c r="WVI73" s="263" t="s">
        <v>31</v>
      </c>
      <c r="WVJ73" s="254"/>
      <c r="WVK73" s="254"/>
      <c r="WVL73" s="264">
        <v>5.7000000000000002E-2</v>
      </c>
      <c r="WVM73" s="193"/>
      <c r="WVN73" s="263" t="s">
        <v>2</v>
      </c>
      <c r="WVO73" s="193"/>
      <c r="WVP73" s="255" t="s">
        <v>168</v>
      </c>
      <c r="WVQ73" s="263" t="s">
        <v>31</v>
      </c>
      <c r="WVR73" s="254"/>
      <c r="WVS73" s="254"/>
      <c r="WVT73" s="264">
        <v>5.7000000000000002E-2</v>
      </c>
      <c r="WVU73" s="193"/>
      <c r="WVV73" s="263" t="s">
        <v>2</v>
      </c>
      <c r="WVW73" s="193"/>
      <c r="WVX73" s="255" t="s">
        <v>168</v>
      </c>
      <c r="WVY73" s="263" t="s">
        <v>31</v>
      </c>
      <c r="WVZ73" s="254"/>
      <c r="WWA73" s="254"/>
      <c r="WWB73" s="264">
        <v>5.7000000000000002E-2</v>
      </c>
      <c r="WWC73" s="193"/>
      <c r="WWD73" s="263" t="s">
        <v>2</v>
      </c>
      <c r="WWE73" s="193"/>
      <c r="WWF73" s="255" t="s">
        <v>168</v>
      </c>
      <c r="WWG73" s="263" t="s">
        <v>31</v>
      </c>
      <c r="WWH73" s="254"/>
      <c r="WWI73" s="254"/>
      <c r="WWJ73" s="264">
        <v>5.7000000000000002E-2</v>
      </c>
      <c r="WWK73" s="193"/>
      <c r="WWL73" s="263" t="s">
        <v>2</v>
      </c>
      <c r="WWM73" s="193"/>
      <c r="WWN73" s="255" t="s">
        <v>168</v>
      </c>
      <c r="WWO73" s="263" t="s">
        <v>31</v>
      </c>
      <c r="WWP73" s="254"/>
      <c r="WWQ73" s="254"/>
      <c r="WWR73" s="264">
        <v>5.7000000000000002E-2</v>
      </c>
      <c r="WWS73" s="193"/>
      <c r="WWT73" s="263" t="s">
        <v>2</v>
      </c>
      <c r="WWU73" s="193"/>
      <c r="WWV73" s="255" t="s">
        <v>168</v>
      </c>
      <c r="WWW73" s="263" t="s">
        <v>31</v>
      </c>
      <c r="WWX73" s="254"/>
      <c r="WWY73" s="254"/>
      <c r="WWZ73" s="264">
        <v>5.7000000000000002E-2</v>
      </c>
      <c r="WXA73" s="193"/>
      <c r="WXB73" s="263" t="s">
        <v>2</v>
      </c>
      <c r="WXC73" s="193"/>
      <c r="WXD73" s="255" t="s">
        <v>168</v>
      </c>
      <c r="WXE73" s="263" t="s">
        <v>31</v>
      </c>
      <c r="WXF73" s="254"/>
      <c r="WXG73" s="254"/>
      <c r="WXH73" s="264">
        <v>5.7000000000000002E-2</v>
      </c>
      <c r="WXI73" s="193"/>
      <c r="WXJ73" s="263" t="s">
        <v>2</v>
      </c>
      <c r="WXK73" s="193"/>
      <c r="WXL73" s="255" t="s">
        <v>168</v>
      </c>
      <c r="WXM73" s="263" t="s">
        <v>31</v>
      </c>
      <c r="WXN73" s="254"/>
      <c r="WXO73" s="254"/>
      <c r="WXP73" s="264">
        <v>5.7000000000000002E-2</v>
      </c>
      <c r="WXQ73" s="193"/>
      <c r="WXR73" s="263" t="s">
        <v>2</v>
      </c>
      <c r="WXS73" s="193"/>
      <c r="WXT73" s="255" t="s">
        <v>168</v>
      </c>
      <c r="WXU73" s="263" t="s">
        <v>31</v>
      </c>
      <c r="WXV73" s="254"/>
      <c r="WXW73" s="254"/>
      <c r="WXX73" s="264">
        <v>5.7000000000000002E-2</v>
      </c>
      <c r="WXY73" s="193"/>
      <c r="WXZ73" s="263" t="s">
        <v>2</v>
      </c>
      <c r="WYA73" s="193"/>
      <c r="WYB73" s="255" t="s">
        <v>168</v>
      </c>
      <c r="WYC73" s="263" t="s">
        <v>31</v>
      </c>
      <c r="WYD73" s="254"/>
      <c r="WYE73" s="254"/>
      <c r="WYF73" s="264">
        <v>5.7000000000000002E-2</v>
      </c>
      <c r="WYG73" s="193"/>
      <c r="WYH73" s="263" t="s">
        <v>2</v>
      </c>
      <c r="WYI73" s="193"/>
      <c r="WYJ73" s="255" t="s">
        <v>168</v>
      </c>
      <c r="WYK73" s="263" t="s">
        <v>31</v>
      </c>
      <c r="WYL73" s="254"/>
      <c r="WYM73" s="254"/>
      <c r="WYN73" s="264">
        <v>5.7000000000000002E-2</v>
      </c>
      <c r="WYO73" s="193"/>
      <c r="WYP73" s="263" t="s">
        <v>2</v>
      </c>
      <c r="WYQ73" s="193"/>
      <c r="WYR73" s="255" t="s">
        <v>168</v>
      </c>
      <c r="WYS73" s="263" t="s">
        <v>31</v>
      </c>
      <c r="WYT73" s="254"/>
      <c r="WYU73" s="254"/>
      <c r="WYV73" s="264">
        <v>5.7000000000000002E-2</v>
      </c>
      <c r="WYW73" s="193"/>
      <c r="WYX73" s="263" t="s">
        <v>2</v>
      </c>
      <c r="WYY73" s="193"/>
      <c r="WYZ73" s="255" t="s">
        <v>168</v>
      </c>
      <c r="WZA73" s="263" t="s">
        <v>31</v>
      </c>
      <c r="WZB73" s="254"/>
      <c r="WZC73" s="254"/>
      <c r="WZD73" s="264">
        <v>5.7000000000000002E-2</v>
      </c>
      <c r="WZE73" s="193"/>
      <c r="WZF73" s="263" t="s">
        <v>2</v>
      </c>
      <c r="WZG73" s="193"/>
      <c r="WZH73" s="255" t="s">
        <v>168</v>
      </c>
      <c r="WZI73" s="263" t="s">
        <v>31</v>
      </c>
      <c r="WZJ73" s="254"/>
      <c r="WZK73" s="254"/>
      <c r="WZL73" s="264">
        <v>5.7000000000000002E-2</v>
      </c>
      <c r="WZM73" s="193"/>
      <c r="WZN73" s="263" t="s">
        <v>2</v>
      </c>
      <c r="WZO73" s="193"/>
      <c r="WZP73" s="255" t="s">
        <v>168</v>
      </c>
      <c r="WZQ73" s="263" t="s">
        <v>31</v>
      </c>
      <c r="WZR73" s="254"/>
      <c r="WZS73" s="254"/>
      <c r="WZT73" s="264">
        <v>5.7000000000000002E-2</v>
      </c>
      <c r="WZU73" s="193"/>
      <c r="WZV73" s="263" t="s">
        <v>2</v>
      </c>
      <c r="WZW73" s="193"/>
      <c r="WZX73" s="255" t="s">
        <v>168</v>
      </c>
      <c r="WZY73" s="263" t="s">
        <v>31</v>
      </c>
      <c r="WZZ73" s="254"/>
      <c r="XAA73" s="254"/>
      <c r="XAB73" s="264">
        <v>5.7000000000000002E-2</v>
      </c>
      <c r="XAC73" s="193"/>
      <c r="XAD73" s="263" t="s">
        <v>2</v>
      </c>
      <c r="XAE73" s="193"/>
      <c r="XAF73" s="255" t="s">
        <v>168</v>
      </c>
      <c r="XAG73" s="263" t="s">
        <v>31</v>
      </c>
      <c r="XAH73" s="254"/>
      <c r="XAI73" s="254"/>
      <c r="XAJ73" s="264">
        <v>5.7000000000000002E-2</v>
      </c>
      <c r="XAK73" s="193"/>
      <c r="XAL73" s="263" t="s">
        <v>2</v>
      </c>
      <c r="XAM73" s="193"/>
      <c r="XAN73" s="255" t="s">
        <v>168</v>
      </c>
      <c r="XAO73" s="263" t="s">
        <v>31</v>
      </c>
      <c r="XAP73" s="254"/>
      <c r="XAQ73" s="254"/>
      <c r="XAR73" s="264">
        <v>5.7000000000000002E-2</v>
      </c>
      <c r="XAS73" s="193"/>
      <c r="XAT73" s="263" t="s">
        <v>2</v>
      </c>
      <c r="XAU73" s="193"/>
      <c r="XAV73" s="255" t="s">
        <v>168</v>
      </c>
      <c r="XAW73" s="263" t="s">
        <v>31</v>
      </c>
      <c r="XAX73" s="254"/>
      <c r="XAY73" s="254"/>
      <c r="XAZ73" s="264">
        <v>5.7000000000000002E-2</v>
      </c>
      <c r="XBA73" s="193"/>
      <c r="XBB73" s="263" t="s">
        <v>2</v>
      </c>
      <c r="XBC73" s="193"/>
      <c r="XBD73" s="255" t="s">
        <v>168</v>
      </c>
      <c r="XBE73" s="263" t="s">
        <v>31</v>
      </c>
      <c r="XBF73" s="254"/>
      <c r="XBG73" s="254"/>
      <c r="XBH73" s="264">
        <v>5.7000000000000002E-2</v>
      </c>
      <c r="XBI73" s="193"/>
      <c r="XBJ73" s="263" t="s">
        <v>2</v>
      </c>
      <c r="XBK73" s="193"/>
      <c r="XBL73" s="255" t="s">
        <v>168</v>
      </c>
      <c r="XBM73" s="263" t="s">
        <v>31</v>
      </c>
      <c r="XBN73" s="254"/>
      <c r="XBO73" s="254"/>
      <c r="XBP73" s="264">
        <v>5.7000000000000002E-2</v>
      </c>
      <c r="XBQ73" s="193"/>
      <c r="XBR73" s="263" t="s">
        <v>2</v>
      </c>
      <c r="XBS73" s="193"/>
      <c r="XBT73" s="255" t="s">
        <v>168</v>
      </c>
      <c r="XBU73" s="263" t="s">
        <v>31</v>
      </c>
      <c r="XBV73" s="254"/>
      <c r="XBW73" s="254"/>
      <c r="XBX73" s="264">
        <v>5.7000000000000002E-2</v>
      </c>
      <c r="XBY73" s="193"/>
      <c r="XBZ73" s="263" t="s">
        <v>2</v>
      </c>
      <c r="XCA73" s="193"/>
      <c r="XCB73" s="255" t="s">
        <v>168</v>
      </c>
      <c r="XCC73" s="263" t="s">
        <v>31</v>
      </c>
      <c r="XCD73" s="254"/>
      <c r="XCE73" s="254"/>
      <c r="XCF73" s="264">
        <v>5.7000000000000002E-2</v>
      </c>
      <c r="XCG73" s="193"/>
      <c r="XCH73" s="263" t="s">
        <v>2</v>
      </c>
      <c r="XCI73" s="193"/>
      <c r="XCJ73" s="255" t="s">
        <v>168</v>
      </c>
      <c r="XCK73" s="263" t="s">
        <v>31</v>
      </c>
      <c r="XCL73" s="254"/>
      <c r="XCM73" s="254"/>
      <c r="XCN73" s="264">
        <v>5.7000000000000002E-2</v>
      </c>
      <c r="XCO73" s="193"/>
      <c r="XCP73" s="263" t="s">
        <v>2</v>
      </c>
      <c r="XCQ73" s="193"/>
      <c r="XCR73" s="255" t="s">
        <v>168</v>
      </c>
      <c r="XCS73" s="263" t="s">
        <v>31</v>
      </c>
      <c r="XCT73" s="254"/>
      <c r="XCU73" s="254"/>
      <c r="XCV73" s="264">
        <v>5.7000000000000002E-2</v>
      </c>
      <c r="XCW73" s="193"/>
      <c r="XCX73" s="263" t="s">
        <v>2</v>
      </c>
      <c r="XCY73" s="193"/>
      <c r="XCZ73" s="255" t="s">
        <v>168</v>
      </c>
      <c r="XDA73" s="263" t="s">
        <v>31</v>
      </c>
      <c r="XDB73" s="254"/>
      <c r="XDC73" s="254"/>
      <c r="XDD73" s="264">
        <v>5.7000000000000002E-2</v>
      </c>
      <c r="XDE73" s="193"/>
      <c r="XDF73" s="263" t="s">
        <v>2</v>
      </c>
      <c r="XDG73" s="193"/>
      <c r="XDH73" s="255" t="s">
        <v>168</v>
      </c>
      <c r="XDI73" s="263" t="s">
        <v>31</v>
      </c>
      <c r="XDJ73" s="254"/>
      <c r="XDK73" s="254"/>
      <c r="XDL73" s="264">
        <v>5.7000000000000002E-2</v>
      </c>
      <c r="XDM73" s="193"/>
      <c r="XDN73" s="263" t="s">
        <v>2</v>
      </c>
      <c r="XDO73" s="193"/>
      <c r="XDP73" s="255" t="s">
        <v>168</v>
      </c>
      <c r="XDQ73" s="263" t="s">
        <v>31</v>
      </c>
      <c r="XDR73" s="254"/>
      <c r="XDS73" s="254"/>
      <c r="XDT73" s="264">
        <v>5.7000000000000002E-2</v>
      </c>
      <c r="XDU73" s="193"/>
      <c r="XDV73" s="263" t="s">
        <v>2</v>
      </c>
      <c r="XDW73" s="193"/>
      <c r="XDX73" s="255" t="s">
        <v>168</v>
      </c>
      <c r="XDY73" s="263" t="s">
        <v>31</v>
      </c>
      <c r="XDZ73" s="254"/>
      <c r="XEA73" s="254"/>
      <c r="XEB73" s="264">
        <v>5.7000000000000002E-2</v>
      </c>
      <c r="XEC73" s="193"/>
      <c r="XED73" s="263" t="s">
        <v>2</v>
      </c>
      <c r="XEE73" s="193"/>
      <c r="XEF73" s="255" t="s">
        <v>168</v>
      </c>
      <c r="XEG73" s="263" t="s">
        <v>31</v>
      </c>
      <c r="XEH73" s="254"/>
      <c r="XEI73" s="254"/>
      <c r="XEJ73" s="264">
        <v>5.7000000000000002E-2</v>
      </c>
      <c r="XEK73" s="193"/>
      <c r="XEL73" s="263" t="s">
        <v>2</v>
      </c>
      <c r="XEM73" s="193"/>
      <c r="XEN73" s="255" t="s">
        <v>168</v>
      </c>
      <c r="XEO73" s="263" t="s">
        <v>31</v>
      </c>
      <c r="XEP73" s="254"/>
      <c r="XEQ73" s="254"/>
      <c r="XER73" s="264">
        <v>5.7000000000000002E-2</v>
      </c>
      <c r="XES73" s="193"/>
      <c r="XET73" s="263" t="s">
        <v>2</v>
      </c>
      <c r="XEU73" s="193"/>
      <c r="XEV73" s="255" t="s">
        <v>168</v>
      </c>
      <c r="XEW73" s="263" t="s">
        <v>31</v>
      </c>
      <c r="XEX73" s="254"/>
      <c r="XEY73" s="254"/>
      <c r="XEZ73" s="264">
        <v>5.7000000000000002E-2</v>
      </c>
      <c r="XFA73" s="193"/>
      <c r="XFB73" s="263" t="s">
        <v>2</v>
      </c>
      <c r="XFC73" s="193"/>
      <c r="XFD73" s="255" t="s">
        <v>168</v>
      </c>
    </row>
    <row r="74" spans="2:16384" x14ac:dyDescent="0.25">
      <c r="B74" s="252" t="s">
        <v>197</v>
      </c>
      <c r="C74" s="265">
        <v>7.0000000000000001E-3</v>
      </c>
      <c r="E74" s="266" t="s">
        <v>2</v>
      </c>
      <c r="F74" s="266"/>
      <c r="G74" s="267" t="s">
        <v>198</v>
      </c>
    </row>
    <row r="76" spans="2:16384" x14ac:dyDescent="0.25">
      <c r="B76" s="86" t="s">
        <v>1159</v>
      </c>
    </row>
    <row r="77" spans="2:16384" x14ac:dyDescent="0.25">
      <c r="B77" s="146" t="s">
        <v>1160</v>
      </c>
      <c r="C77" s="253">
        <v>150</v>
      </c>
      <c r="E77" s="146" t="s">
        <v>3</v>
      </c>
      <c r="G77" s="196" t="s">
        <v>966</v>
      </c>
    </row>
    <row r="80" spans="2:16384" x14ac:dyDescent="0.25">
      <c r="B80" s="245" t="s">
        <v>1137</v>
      </c>
      <c r="C80" s="245"/>
      <c r="D80" s="245"/>
      <c r="E80" s="245"/>
      <c r="F80" s="245"/>
      <c r="G80" s="245"/>
      <c r="H80" s="245"/>
      <c r="I80" s="245"/>
    </row>
    <row r="82" spans="2:27" ht="40.5" customHeight="1" x14ac:dyDescent="0.25">
      <c r="B82" s="146" t="s">
        <v>554</v>
      </c>
      <c r="C82" s="140" t="s">
        <v>1161</v>
      </c>
      <c r="D82" s="140"/>
      <c r="E82" s="140"/>
      <c r="F82" s="140"/>
      <c r="G82" s="140"/>
    </row>
    <row r="84" spans="2:27" ht="35.450000000000003" customHeight="1" x14ac:dyDescent="0.25">
      <c r="B84" s="146" t="s">
        <v>547</v>
      </c>
      <c r="C84" s="247" t="s">
        <v>1162</v>
      </c>
      <c r="D84" s="247"/>
      <c r="E84" s="247"/>
      <c r="F84" s="247"/>
      <c r="G84" s="247"/>
    </row>
    <row r="86" spans="2:27" x14ac:dyDescent="0.25">
      <c r="B86" s="237" t="s">
        <v>29</v>
      </c>
      <c r="C86" s="237"/>
      <c r="D86" s="237"/>
      <c r="E86" s="237"/>
      <c r="F86" s="237"/>
      <c r="G86" s="237"/>
      <c r="H86" s="237"/>
      <c r="I86" s="237"/>
      <c r="J86" s="237"/>
      <c r="K86" s="237"/>
      <c r="L86" s="237"/>
    </row>
    <row r="87" spans="2:27" x14ac:dyDescent="0.25">
      <c r="B87" s="238" t="s">
        <v>89</v>
      </c>
      <c r="C87" s="239"/>
      <c r="D87" s="239"/>
      <c r="E87" s="239"/>
      <c r="F87" s="239"/>
      <c r="G87" s="239"/>
      <c r="H87" s="239"/>
      <c r="I87" s="239"/>
      <c r="J87" s="239"/>
      <c r="K87" s="239"/>
      <c r="L87" s="239"/>
    </row>
    <row r="88" spans="2:27" x14ac:dyDescent="0.25">
      <c r="B88" s="240" t="s">
        <v>26</v>
      </c>
      <c r="C88" s="240">
        <f>D$8</f>
        <v>2021</v>
      </c>
      <c r="D88" s="240">
        <f t="shared" ref="D88:AA88" si="10">E$8</f>
        <v>2022</v>
      </c>
      <c r="E88" s="240">
        <f t="shared" si="10"/>
        <v>2023</v>
      </c>
      <c r="F88" s="240">
        <f t="shared" si="10"/>
        <v>2024</v>
      </c>
      <c r="G88" s="240">
        <f t="shared" si="10"/>
        <v>2025</v>
      </c>
      <c r="H88" s="240">
        <f t="shared" si="10"/>
        <v>2026</v>
      </c>
      <c r="I88" s="240">
        <f t="shared" si="10"/>
        <v>2027</v>
      </c>
      <c r="J88" s="240">
        <f t="shared" si="10"/>
        <v>2028</v>
      </c>
      <c r="K88" s="240">
        <f t="shared" si="10"/>
        <v>2029</v>
      </c>
      <c r="L88" s="240">
        <f t="shared" si="10"/>
        <v>2030</v>
      </c>
      <c r="M88" s="240">
        <f t="shared" si="10"/>
        <v>2031</v>
      </c>
      <c r="N88" s="240">
        <f t="shared" si="10"/>
        <v>2032</v>
      </c>
      <c r="O88" s="240">
        <f t="shared" si="10"/>
        <v>2033</v>
      </c>
      <c r="P88" s="240">
        <f t="shared" si="10"/>
        <v>2034</v>
      </c>
      <c r="Q88" s="240">
        <f t="shared" si="10"/>
        <v>2035</v>
      </c>
      <c r="R88" s="240">
        <f t="shared" si="10"/>
        <v>2036</v>
      </c>
      <c r="S88" s="240">
        <f t="shared" si="10"/>
        <v>2037</v>
      </c>
      <c r="T88" s="240">
        <f t="shared" si="10"/>
        <v>2038</v>
      </c>
      <c r="U88" s="240">
        <f t="shared" si="10"/>
        <v>2039</v>
      </c>
      <c r="V88" s="240">
        <f t="shared" si="10"/>
        <v>2040</v>
      </c>
      <c r="W88" s="240" t="str">
        <f t="shared" si="10"/>
        <v/>
      </c>
      <c r="X88" s="240" t="str">
        <f t="shared" si="10"/>
        <v/>
      </c>
      <c r="Y88" s="240" t="str">
        <f t="shared" si="10"/>
        <v/>
      </c>
      <c r="Z88" s="240" t="str">
        <f t="shared" si="10"/>
        <v/>
      </c>
      <c r="AA88" s="240" t="str">
        <f t="shared" si="10"/>
        <v/>
      </c>
    </row>
    <row r="89" spans="2:27" x14ac:dyDescent="0.25">
      <c r="B89" s="248" t="s">
        <v>153</v>
      </c>
      <c r="C89" s="215">
        <f>IF(C88="","",0)</f>
        <v>0</v>
      </c>
      <c r="D89" s="215">
        <f t="shared" ref="D89:AA89" si="11">IF(D88="","",0)</f>
        <v>0</v>
      </c>
      <c r="E89" s="215">
        <f t="shared" si="11"/>
        <v>0</v>
      </c>
      <c r="F89" s="215">
        <f t="shared" si="11"/>
        <v>0</v>
      </c>
      <c r="G89" s="215">
        <f t="shared" si="11"/>
        <v>0</v>
      </c>
      <c r="H89" s="215">
        <f t="shared" si="11"/>
        <v>0</v>
      </c>
      <c r="I89" s="215">
        <f t="shared" si="11"/>
        <v>0</v>
      </c>
      <c r="J89" s="215">
        <f t="shared" si="11"/>
        <v>0</v>
      </c>
      <c r="K89" s="215">
        <f t="shared" si="11"/>
        <v>0</v>
      </c>
      <c r="L89" s="215">
        <f t="shared" si="11"/>
        <v>0</v>
      </c>
      <c r="M89" s="215">
        <f t="shared" si="11"/>
        <v>0</v>
      </c>
      <c r="N89" s="215">
        <f t="shared" si="11"/>
        <v>0</v>
      </c>
      <c r="O89" s="215">
        <f t="shared" si="11"/>
        <v>0</v>
      </c>
      <c r="P89" s="215">
        <f t="shared" si="11"/>
        <v>0</v>
      </c>
      <c r="Q89" s="215">
        <f t="shared" si="11"/>
        <v>0</v>
      </c>
      <c r="R89" s="215">
        <f t="shared" si="11"/>
        <v>0</v>
      </c>
      <c r="S89" s="215">
        <f t="shared" si="11"/>
        <v>0</v>
      </c>
      <c r="T89" s="215">
        <f t="shared" si="11"/>
        <v>0</v>
      </c>
      <c r="U89" s="215">
        <f t="shared" si="11"/>
        <v>0</v>
      </c>
      <c r="V89" s="215">
        <f t="shared" si="11"/>
        <v>0</v>
      </c>
      <c r="W89" s="215" t="str">
        <f t="shared" si="11"/>
        <v/>
      </c>
      <c r="X89" s="215" t="str">
        <f t="shared" si="11"/>
        <v/>
      </c>
      <c r="Y89" s="215" t="str">
        <f t="shared" si="11"/>
        <v/>
      </c>
      <c r="Z89" s="215" t="str">
        <f t="shared" si="11"/>
        <v/>
      </c>
      <c r="AA89" s="215" t="str">
        <f t="shared" si="11"/>
        <v/>
      </c>
    </row>
    <row r="90" spans="2:27" x14ac:dyDescent="0.25">
      <c r="B90" s="248" t="s">
        <v>154</v>
      </c>
      <c r="C90" s="215">
        <f>IF(C88="","",-$C$93*$C$95*$C$96)</f>
        <v>-1320</v>
      </c>
      <c r="D90" s="215">
        <f t="shared" ref="D90:AA90" si="12">IF(D88="","",-$C$93*$C$95*$C$96)</f>
        <v>-1320</v>
      </c>
      <c r="E90" s="215">
        <f t="shared" si="12"/>
        <v>-1320</v>
      </c>
      <c r="F90" s="215">
        <f t="shared" si="12"/>
        <v>-1320</v>
      </c>
      <c r="G90" s="215">
        <f t="shared" si="12"/>
        <v>-1320</v>
      </c>
      <c r="H90" s="215">
        <f t="shared" si="12"/>
        <v>-1320</v>
      </c>
      <c r="I90" s="215">
        <f t="shared" si="12"/>
        <v>-1320</v>
      </c>
      <c r="J90" s="215">
        <f t="shared" si="12"/>
        <v>-1320</v>
      </c>
      <c r="K90" s="215">
        <f t="shared" si="12"/>
        <v>-1320</v>
      </c>
      <c r="L90" s="215">
        <f t="shared" si="12"/>
        <v>-1320</v>
      </c>
      <c r="M90" s="215">
        <f t="shared" si="12"/>
        <v>-1320</v>
      </c>
      <c r="N90" s="215">
        <f t="shared" si="12"/>
        <v>-1320</v>
      </c>
      <c r="O90" s="215">
        <f t="shared" si="12"/>
        <v>-1320</v>
      </c>
      <c r="P90" s="215">
        <f t="shared" si="12"/>
        <v>-1320</v>
      </c>
      <c r="Q90" s="215">
        <f t="shared" si="12"/>
        <v>-1320</v>
      </c>
      <c r="R90" s="215">
        <f t="shared" si="12"/>
        <v>-1320</v>
      </c>
      <c r="S90" s="215">
        <f t="shared" si="12"/>
        <v>-1320</v>
      </c>
      <c r="T90" s="215">
        <f t="shared" si="12"/>
        <v>-1320</v>
      </c>
      <c r="U90" s="215">
        <f t="shared" si="12"/>
        <v>-1320</v>
      </c>
      <c r="V90" s="215">
        <f t="shared" si="12"/>
        <v>-1320</v>
      </c>
      <c r="W90" s="215" t="str">
        <f t="shared" si="12"/>
        <v/>
      </c>
      <c r="X90" s="215" t="str">
        <f t="shared" si="12"/>
        <v/>
      </c>
      <c r="Y90" s="215" t="str">
        <f t="shared" si="12"/>
        <v/>
      </c>
      <c r="Z90" s="215" t="str">
        <f t="shared" si="12"/>
        <v/>
      </c>
      <c r="AA90" s="215" t="str">
        <f t="shared" si="12"/>
        <v/>
      </c>
    </row>
    <row r="91" spans="2:27" x14ac:dyDescent="0.25">
      <c r="B91" s="248" t="s">
        <v>150</v>
      </c>
      <c r="C91" s="215">
        <f>IF(C88="","",C90-C89)</f>
        <v>-1320</v>
      </c>
      <c r="D91" s="215">
        <f t="shared" ref="D91:AA91" si="13">IF(D88="","",D90-D89)</f>
        <v>-1320</v>
      </c>
      <c r="E91" s="215">
        <f t="shared" si="13"/>
        <v>-1320</v>
      </c>
      <c r="F91" s="215">
        <f t="shared" si="13"/>
        <v>-1320</v>
      </c>
      <c r="G91" s="215">
        <f t="shared" si="13"/>
        <v>-1320</v>
      </c>
      <c r="H91" s="215">
        <f t="shared" si="13"/>
        <v>-1320</v>
      </c>
      <c r="I91" s="215">
        <f t="shared" si="13"/>
        <v>-1320</v>
      </c>
      <c r="J91" s="215">
        <f t="shared" si="13"/>
        <v>-1320</v>
      </c>
      <c r="K91" s="215">
        <f t="shared" si="13"/>
        <v>-1320</v>
      </c>
      <c r="L91" s="215">
        <f t="shared" si="13"/>
        <v>-1320</v>
      </c>
      <c r="M91" s="215">
        <f t="shared" si="13"/>
        <v>-1320</v>
      </c>
      <c r="N91" s="215">
        <f t="shared" si="13"/>
        <v>-1320</v>
      </c>
      <c r="O91" s="215">
        <f t="shared" si="13"/>
        <v>-1320</v>
      </c>
      <c r="P91" s="215">
        <f t="shared" si="13"/>
        <v>-1320</v>
      </c>
      <c r="Q91" s="215">
        <f t="shared" si="13"/>
        <v>-1320</v>
      </c>
      <c r="R91" s="215">
        <f t="shared" si="13"/>
        <v>-1320</v>
      </c>
      <c r="S91" s="215">
        <f t="shared" si="13"/>
        <v>-1320</v>
      </c>
      <c r="T91" s="215">
        <f t="shared" si="13"/>
        <v>-1320</v>
      </c>
      <c r="U91" s="215">
        <f t="shared" si="13"/>
        <v>-1320</v>
      </c>
      <c r="V91" s="215">
        <f t="shared" si="13"/>
        <v>-1320</v>
      </c>
      <c r="W91" s="215" t="str">
        <f t="shared" si="13"/>
        <v/>
      </c>
      <c r="X91" s="215" t="str">
        <f t="shared" si="13"/>
        <v/>
      </c>
      <c r="Y91" s="215" t="str">
        <f t="shared" si="13"/>
        <v/>
      </c>
      <c r="Z91" s="215" t="str">
        <f t="shared" si="13"/>
        <v/>
      </c>
      <c r="AA91" s="215" t="str">
        <f t="shared" si="13"/>
        <v/>
      </c>
    </row>
    <row r="93" spans="2:27" x14ac:dyDescent="0.25">
      <c r="B93" s="146" t="s">
        <v>1163</v>
      </c>
      <c r="C93" s="268">
        <v>400</v>
      </c>
      <c r="E93" s="146" t="s">
        <v>1164</v>
      </c>
      <c r="G93" s="146" t="s">
        <v>1165</v>
      </c>
    </row>
    <row r="94" spans="2:27" x14ac:dyDescent="0.25">
      <c r="B94" s="199" t="s">
        <v>1166</v>
      </c>
      <c r="C94" s="269">
        <v>-1.61</v>
      </c>
      <c r="D94" s="199"/>
      <c r="E94" s="199" t="s">
        <v>840</v>
      </c>
      <c r="F94" s="199"/>
      <c r="G94" s="199" t="s">
        <v>853</v>
      </c>
      <c r="H94" s="199"/>
    </row>
    <row r="95" spans="2:27" x14ac:dyDescent="0.25">
      <c r="B95" s="146" t="s">
        <v>1167</v>
      </c>
      <c r="C95" s="270">
        <v>0.9</v>
      </c>
      <c r="E95" s="146" t="s">
        <v>1168</v>
      </c>
      <c r="G95" s="196" t="s">
        <v>1169</v>
      </c>
      <c r="H95" s="271"/>
      <c r="J95" s="196"/>
    </row>
    <row r="96" spans="2:27" x14ac:dyDescent="0.25">
      <c r="B96" s="146" t="s">
        <v>1170</v>
      </c>
      <c r="C96" s="253">
        <f>44/12</f>
        <v>3.6666666666666665</v>
      </c>
      <c r="E96" s="146" t="s">
        <v>868</v>
      </c>
      <c r="G96" s="196" t="s">
        <v>869</v>
      </c>
    </row>
    <row r="98" spans="2:27" x14ac:dyDescent="0.25">
      <c r="B98" s="245" t="s">
        <v>1138</v>
      </c>
      <c r="C98" s="245"/>
      <c r="D98" s="245"/>
      <c r="E98" s="245"/>
      <c r="F98" s="245"/>
      <c r="G98" s="245"/>
      <c r="H98" s="245"/>
      <c r="I98" s="245"/>
    </row>
    <row r="100" spans="2:27" ht="69" customHeight="1" x14ac:dyDescent="0.25">
      <c r="B100" s="146" t="s">
        <v>554</v>
      </c>
      <c r="C100" s="140" t="s">
        <v>1171</v>
      </c>
      <c r="D100" s="140"/>
      <c r="E100" s="140"/>
      <c r="F100" s="140"/>
      <c r="G100" s="140"/>
    </row>
    <row r="101" spans="2:27" x14ac:dyDescent="0.25">
      <c r="B101" s="212"/>
      <c r="C101" s="212"/>
    </row>
    <row r="102" spans="2:27" ht="35.1" customHeight="1" x14ac:dyDescent="0.25">
      <c r="B102" s="146" t="s">
        <v>547</v>
      </c>
      <c r="C102" s="211" t="s">
        <v>1111</v>
      </c>
      <c r="D102" s="211"/>
      <c r="E102" s="211"/>
      <c r="F102" s="211"/>
      <c r="G102" s="211"/>
    </row>
    <row r="103" spans="2:27" x14ac:dyDescent="0.25">
      <c r="B103" s="212"/>
    </row>
    <row r="104" spans="2:27" x14ac:dyDescent="0.25">
      <c r="B104" s="237" t="s">
        <v>29</v>
      </c>
      <c r="C104" s="237"/>
      <c r="D104" s="237"/>
      <c r="E104" s="237"/>
      <c r="F104" s="237"/>
      <c r="G104" s="237"/>
      <c r="H104" s="237"/>
      <c r="I104" s="237"/>
      <c r="J104" s="237"/>
      <c r="K104" s="237"/>
      <c r="L104" s="237"/>
    </row>
    <row r="105" spans="2:27" x14ac:dyDescent="0.25">
      <c r="B105" s="238" t="s">
        <v>89</v>
      </c>
      <c r="C105" s="239"/>
      <c r="D105" s="239"/>
      <c r="E105" s="239"/>
      <c r="F105" s="239"/>
      <c r="G105" s="239"/>
      <c r="H105" s="239"/>
      <c r="I105" s="239"/>
      <c r="J105" s="239"/>
      <c r="K105" s="239"/>
      <c r="L105" s="239"/>
    </row>
    <row r="106" spans="2:27" x14ac:dyDescent="0.25">
      <c r="B106" s="240" t="s">
        <v>26</v>
      </c>
      <c r="C106" s="240">
        <f>D$8</f>
        <v>2021</v>
      </c>
      <c r="D106" s="240">
        <f t="shared" ref="D106:AA106" si="14">E$8</f>
        <v>2022</v>
      </c>
      <c r="E106" s="240">
        <f t="shared" si="14"/>
        <v>2023</v>
      </c>
      <c r="F106" s="240">
        <f t="shared" si="14"/>
        <v>2024</v>
      </c>
      <c r="G106" s="240">
        <f t="shared" si="14"/>
        <v>2025</v>
      </c>
      <c r="H106" s="240">
        <f t="shared" si="14"/>
        <v>2026</v>
      </c>
      <c r="I106" s="240">
        <f t="shared" si="14"/>
        <v>2027</v>
      </c>
      <c r="J106" s="240">
        <f t="shared" si="14"/>
        <v>2028</v>
      </c>
      <c r="K106" s="240">
        <f t="shared" si="14"/>
        <v>2029</v>
      </c>
      <c r="L106" s="240">
        <f t="shared" si="14"/>
        <v>2030</v>
      </c>
      <c r="M106" s="240">
        <f t="shared" si="14"/>
        <v>2031</v>
      </c>
      <c r="N106" s="240">
        <f t="shared" si="14"/>
        <v>2032</v>
      </c>
      <c r="O106" s="240">
        <f t="shared" si="14"/>
        <v>2033</v>
      </c>
      <c r="P106" s="240">
        <f t="shared" si="14"/>
        <v>2034</v>
      </c>
      <c r="Q106" s="240">
        <f t="shared" si="14"/>
        <v>2035</v>
      </c>
      <c r="R106" s="240">
        <f t="shared" si="14"/>
        <v>2036</v>
      </c>
      <c r="S106" s="240">
        <f t="shared" si="14"/>
        <v>2037</v>
      </c>
      <c r="T106" s="240">
        <f t="shared" si="14"/>
        <v>2038</v>
      </c>
      <c r="U106" s="240">
        <f t="shared" si="14"/>
        <v>2039</v>
      </c>
      <c r="V106" s="240">
        <f t="shared" si="14"/>
        <v>2040</v>
      </c>
      <c r="W106" s="240" t="str">
        <f t="shared" si="14"/>
        <v/>
      </c>
      <c r="X106" s="240" t="str">
        <f t="shared" si="14"/>
        <v/>
      </c>
      <c r="Y106" s="240" t="str">
        <f t="shared" si="14"/>
        <v/>
      </c>
      <c r="Z106" s="240" t="str">
        <f t="shared" si="14"/>
        <v/>
      </c>
      <c r="AA106" s="240" t="str">
        <f t="shared" si="14"/>
        <v/>
      </c>
    </row>
    <row r="107" spans="2:27" x14ac:dyDescent="0.25">
      <c r="B107" s="248" t="s">
        <v>153</v>
      </c>
      <c r="C107" s="215">
        <f>IF(C106="","",$C$124*$C$129+$C$125*$C$130+$C$124*$C$135+$C$125*$C$136+$C$139*$C$142+$C$125*$C$143+$C$124*$C$149+$C$125*$C$150)</f>
        <v>269470.37333333329</v>
      </c>
      <c r="D107" s="215">
        <f t="shared" ref="D107:AA107" si="15">IF(D106="","",$C$124*$C$129+$C$125*$C$130+$C$124*$C$135+$C$125*$C$136+$C$139*$C$142+$C$125*$C$143+$C$124*$C$149+$C$125*$C$150)</f>
        <v>269470.37333333329</v>
      </c>
      <c r="E107" s="215">
        <f t="shared" si="15"/>
        <v>269470.37333333329</v>
      </c>
      <c r="F107" s="215">
        <f t="shared" si="15"/>
        <v>269470.37333333329</v>
      </c>
      <c r="G107" s="215">
        <f t="shared" si="15"/>
        <v>269470.37333333329</v>
      </c>
      <c r="H107" s="215">
        <f t="shared" si="15"/>
        <v>269470.37333333329</v>
      </c>
      <c r="I107" s="215">
        <f t="shared" si="15"/>
        <v>269470.37333333329</v>
      </c>
      <c r="J107" s="215">
        <f t="shared" si="15"/>
        <v>269470.37333333329</v>
      </c>
      <c r="K107" s="215">
        <f t="shared" si="15"/>
        <v>269470.37333333329</v>
      </c>
      <c r="L107" s="215">
        <f t="shared" si="15"/>
        <v>269470.37333333329</v>
      </c>
      <c r="M107" s="215">
        <f t="shared" si="15"/>
        <v>269470.37333333329</v>
      </c>
      <c r="N107" s="215">
        <f t="shared" si="15"/>
        <v>269470.37333333329</v>
      </c>
      <c r="O107" s="215">
        <f t="shared" si="15"/>
        <v>269470.37333333329</v>
      </c>
      <c r="P107" s="215">
        <f t="shared" si="15"/>
        <v>269470.37333333329</v>
      </c>
      <c r="Q107" s="215">
        <f t="shared" si="15"/>
        <v>269470.37333333329</v>
      </c>
      <c r="R107" s="215">
        <f t="shared" si="15"/>
        <v>269470.37333333329</v>
      </c>
      <c r="S107" s="215">
        <f t="shared" si="15"/>
        <v>269470.37333333329</v>
      </c>
      <c r="T107" s="215">
        <f t="shared" si="15"/>
        <v>269470.37333333329</v>
      </c>
      <c r="U107" s="215">
        <f t="shared" si="15"/>
        <v>269470.37333333329</v>
      </c>
      <c r="V107" s="215">
        <f t="shared" si="15"/>
        <v>269470.37333333329</v>
      </c>
      <c r="W107" s="215" t="str">
        <f t="shared" si="15"/>
        <v/>
      </c>
      <c r="X107" s="215" t="str">
        <f t="shared" si="15"/>
        <v/>
      </c>
      <c r="Y107" s="215" t="str">
        <f t="shared" si="15"/>
        <v/>
      </c>
      <c r="Z107" s="215" t="str">
        <f t="shared" si="15"/>
        <v/>
      </c>
      <c r="AA107" s="215" t="str">
        <f t="shared" si="15"/>
        <v/>
      </c>
    </row>
    <row r="108" spans="2:27" x14ac:dyDescent="0.25">
      <c r="B108" s="248" t="s">
        <v>154</v>
      </c>
      <c r="C108" s="215">
        <f>IF(C106="","",(1-$C$113/100)*C107)</f>
        <v>269200.90295999998</v>
      </c>
      <c r="D108" s="215">
        <f t="shared" ref="D108:AA108" si="16">IF(D106="","",(1-$C$113/100)*D107)</f>
        <v>269200.90295999998</v>
      </c>
      <c r="E108" s="215">
        <f t="shared" si="16"/>
        <v>269200.90295999998</v>
      </c>
      <c r="F108" s="215">
        <f t="shared" si="16"/>
        <v>269200.90295999998</v>
      </c>
      <c r="G108" s="215">
        <f t="shared" si="16"/>
        <v>269200.90295999998</v>
      </c>
      <c r="H108" s="215">
        <f t="shared" si="16"/>
        <v>269200.90295999998</v>
      </c>
      <c r="I108" s="215">
        <f t="shared" si="16"/>
        <v>269200.90295999998</v>
      </c>
      <c r="J108" s="215">
        <f t="shared" si="16"/>
        <v>269200.90295999998</v>
      </c>
      <c r="K108" s="215">
        <f t="shared" si="16"/>
        <v>269200.90295999998</v>
      </c>
      <c r="L108" s="215">
        <f t="shared" si="16"/>
        <v>269200.90295999998</v>
      </c>
      <c r="M108" s="215">
        <f t="shared" si="16"/>
        <v>269200.90295999998</v>
      </c>
      <c r="N108" s="215">
        <f t="shared" si="16"/>
        <v>269200.90295999998</v>
      </c>
      <c r="O108" s="215">
        <f t="shared" si="16"/>
        <v>269200.90295999998</v>
      </c>
      <c r="P108" s="215">
        <f t="shared" si="16"/>
        <v>269200.90295999998</v>
      </c>
      <c r="Q108" s="215">
        <f t="shared" si="16"/>
        <v>269200.90295999998</v>
      </c>
      <c r="R108" s="215">
        <f t="shared" si="16"/>
        <v>269200.90295999998</v>
      </c>
      <c r="S108" s="215">
        <f t="shared" si="16"/>
        <v>269200.90295999998</v>
      </c>
      <c r="T108" s="215">
        <f t="shared" si="16"/>
        <v>269200.90295999998</v>
      </c>
      <c r="U108" s="215">
        <f t="shared" si="16"/>
        <v>269200.90295999998</v>
      </c>
      <c r="V108" s="215">
        <f t="shared" si="16"/>
        <v>269200.90295999998</v>
      </c>
      <c r="W108" s="215" t="str">
        <f t="shared" si="16"/>
        <v/>
      </c>
      <c r="X108" s="215" t="str">
        <f t="shared" si="16"/>
        <v/>
      </c>
      <c r="Y108" s="215" t="str">
        <f t="shared" si="16"/>
        <v/>
      </c>
      <c r="Z108" s="215" t="str">
        <f t="shared" si="16"/>
        <v/>
      </c>
      <c r="AA108" s="215" t="str">
        <f t="shared" si="16"/>
        <v/>
      </c>
    </row>
    <row r="109" spans="2:27" x14ac:dyDescent="0.25">
      <c r="B109" s="248" t="s">
        <v>150</v>
      </c>
      <c r="C109" s="215">
        <f>IF(C106="","",C108-C107)</f>
        <v>-269.47037333331537</v>
      </c>
      <c r="D109" s="215">
        <f t="shared" ref="D109:AA109" si="17">IF(D106="","",D108-D107)</f>
        <v>-269.47037333331537</v>
      </c>
      <c r="E109" s="215">
        <f t="shared" si="17"/>
        <v>-269.47037333331537</v>
      </c>
      <c r="F109" s="215">
        <f t="shared" si="17"/>
        <v>-269.47037333331537</v>
      </c>
      <c r="G109" s="215">
        <f t="shared" si="17"/>
        <v>-269.47037333331537</v>
      </c>
      <c r="H109" s="215">
        <f t="shared" si="17"/>
        <v>-269.47037333331537</v>
      </c>
      <c r="I109" s="215">
        <f t="shared" si="17"/>
        <v>-269.47037333331537</v>
      </c>
      <c r="J109" s="215">
        <f t="shared" si="17"/>
        <v>-269.47037333331537</v>
      </c>
      <c r="K109" s="215">
        <f t="shared" si="17"/>
        <v>-269.47037333331537</v>
      </c>
      <c r="L109" s="215">
        <f t="shared" si="17"/>
        <v>-269.47037333331537</v>
      </c>
      <c r="M109" s="215">
        <f t="shared" si="17"/>
        <v>-269.47037333331537</v>
      </c>
      <c r="N109" s="215">
        <f t="shared" si="17"/>
        <v>-269.47037333331537</v>
      </c>
      <c r="O109" s="215">
        <f t="shared" si="17"/>
        <v>-269.47037333331537</v>
      </c>
      <c r="P109" s="215">
        <f t="shared" si="17"/>
        <v>-269.47037333331537</v>
      </c>
      <c r="Q109" s="215">
        <f t="shared" si="17"/>
        <v>-269.47037333331537</v>
      </c>
      <c r="R109" s="215">
        <f t="shared" si="17"/>
        <v>-269.47037333331537</v>
      </c>
      <c r="S109" s="215">
        <f t="shared" si="17"/>
        <v>-269.47037333331537</v>
      </c>
      <c r="T109" s="215">
        <f t="shared" si="17"/>
        <v>-269.47037333331537</v>
      </c>
      <c r="U109" s="215">
        <f t="shared" si="17"/>
        <v>-269.47037333331537</v>
      </c>
      <c r="V109" s="215">
        <f t="shared" si="17"/>
        <v>-269.47037333331537</v>
      </c>
      <c r="W109" s="215" t="str">
        <f t="shared" si="17"/>
        <v/>
      </c>
      <c r="X109" s="215" t="str">
        <f t="shared" si="17"/>
        <v/>
      </c>
      <c r="Y109" s="215" t="str">
        <f t="shared" si="17"/>
        <v/>
      </c>
      <c r="Z109" s="215" t="str">
        <f t="shared" si="17"/>
        <v/>
      </c>
      <c r="AA109" s="215" t="str">
        <f t="shared" si="17"/>
        <v/>
      </c>
    </row>
    <row r="111" spans="2:27" x14ac:dyDescent="0.25">
      <c r="B111" s="249"/>
      <c r="C111" s="249" t="s">
        <v>19</v>
      </c>
      <c r="D111" s="205"/>
      <c r="E111" s="249" t="s">
        <v>4</v>
      </c>
      <c r="F111" s="205"/>
      <c r="G111" s="249" t="s">
        <v>83</v>
      </c>
      <c r="H111" s="249"/>
      <c r="I111" s="249"/>
    </row>
    <row r="113" spans="2:9" x14ac:dyDescent="0.25">
      <c r="B113" s="146" t="s">
        <v>1172</v>
      </c>
      <c r="C113" s="272">
        <v>0.1</v>
      </c>
      <c r="E113" s="146" t="s">
        <v>1</v>
      </c>
    </row>
    <row r="115" spans="2:9" x14ac:dyDescent="0.25">
      <c r="B115" s="242" t="s">
        <v>359</v>
      </c>
      <c r="C115" s="199"/>
      <c r="D115" s="199"/>
      <c r="E115" s="199"/>
      <c r="F115" s="199"/>
      <c r="G115" s="199"/>
      <c r="H115" s="199"/>
      <c r="I115" s="273"/>
    </row>
    <row r="116" spans="2:9" x14ac:dyDescent="0.25">
      <c r="B116" s="199" t="s">
        <v>1173</v>
      </c>
      <c r="C116" s="243">
        <v>2.75</v>
      </c>
      <c r="D116" s="199"/>
      <c r="E116" s="199" t="s">
        <v>840</v>
      </c>
      <c r="G116" s="199" t="s">
        <v>853</v>
      </c>
      <c r="H116" s="199"/>
    </row>
    <row r="117" spans="2:9" x14ac:dyDescent="0.25">
      <c r="B117" s="199" t="s">
        <v>1174</v>
      </c>
      <c r="C117" s="243">
        <v>0.37</v>
      </c>
      <c r="D117" s="199"/>
      <c r="E117" s="199" t="s">
        <v>840</v>
      </c>
      <c r="G117" s="199" t="s">
        <v>853</v>
      </c>
      <c r="H117" s="199"/>
    </row>
    <row r="118" spans="2:9" x14ac:dyDescent="0.25">
      <c r="B118" s="199" t="s">
        <v>1175</v>
      </c>
      <c r="C118" s="243">
        <v>-0.37</v>
      </c>
      <c r="D118" s="199"/>
      <c r="E118" s="199" t="s">
        <v>840</v>
      </c>
      <c r="G118" s="199" t="s">
        <v>853</v>
      </c>
      <c r="H118" s="199"/>
    </row>
    <row r="119" spans="2:9" x14ac:dyDescent="0.25">
      <c r="B119" s="199" t="s">
        <v>1166</v>
      </c>
      <c r="C119" s="243">
        <v>-1.61</v>
      </c>
      <c r="D119" s="199"/>
      <c r="E119" s="199" t="s">
        <v>840</v>
      </c>
      <c r="G119" s="199" t="s">
        <v>853</v>
      </c>
      <c r="H119" s="199"/>
    </row>
    <row r="120" spans="2:9" x14ac:dyDescent="0.25">
      <c r="B120" s="199" t="s">
        <v>1176</v>
      </c>
      <c r="C120" s="199">
        <v>290</v>
      </c>
      <c r="D120" s="199"/>
      <c r="E120" s="199" t="s">
        <v>840</v>
      </c>
      <c r="G120" s="199" t="s">
        <v>853</v>
      </c>
      <c r="H120" s="199"/>
    </row>
    <row r="121" spans="2:9" x14ac:dyDescent="0.25">
      <c r="B121" s="199"/>
      <c r="C121" s="199"/>
      <c r="D121" s="199"/>
      <c r="E121" s="199"/>
      <c r="F121" s="199"/>
      <c r="G121" s="199"/>
      <c r="H121" s="199"/>
      <c r="I121" s="199"/>
    </row>
    <row r="122" spans="2:9" x14ac:dyDescent="0.25">
      <c r="B122" s="242" t="s">
        <v>360</v>
      </c>
    </row>
    <row r="123" spans="2:9" x14ac:dyDescent="0.25">
      <c r="B123" s="146" t="s">
        <v>1177</v>
      </c>
    </row>
    <row r="124" spans="2:9" x14ac:dyDescent="0.25">
      <c r="B124" s="146" t="s">
        <v>1178</v>
      </c>
      <c r="C124" s="250">
        <v>400</v>
      </c>
      <c r="E124" s="146" t="s">
        <v>1164</v>
      </c>
      <c r="G124" s="196" t="s">
        <v>869</v>
      </c>
    </row>
    <row r="125" spans="2:9" x14ac:dyDescent="0.25">
      <c r="B125" s="146" t="s">
        <v>1179</v>
      </c>
      <c r="C125" s="250">
        <v>400</v>
      </c>
      <c r="E125" s="146" t="s">
        <v>1164</v>
      </c>
      <c r="G125" s="196" t="s">
        <v>869</v>
      </c>
    </row>
    <row r="126" spans="2:9" x14ac:dyDescent="0.25">
      <c r="B126" s="146" t="s">
        <v>1180</v>
      </c>
      <c r="C126" s="253">
        <v>144</v>
      </c>
      <c r="E126" s="146" t="s">
        <v>1181</v>
      </c>
      <c r="G126" s="196" t="s">
        <v>869</v>
      </c>
    </row>
    <row r="127" spans="2:9" x14ac:dyDescent="0.25">
      <c r="B127" s="146" t="s">
        <v>1182</v>
      </c>
      <c r="C127" s="253">
        <v>87.8</v>
      </c>
      <c r="E127" s="146" t="s">
        <v>1181</v>
      </c>
      <c r="G127" s="196" t="s">
        <v>869</v>
      </c>
    </row>
    <row r="128" spans="2:9" x14ac:dyDescent="0.25">
      <c r="B128" s="146" t="s">
        <v>1183</v>
      </c>
      <c r="C128" s="253">
        <v>0.47</v>
      </c>
      <c r="G128" s="196" t="s">
        <v>869</v>
      </c>
    </row>
    <row r="129" spans="2:7" x14ac:dyDescent="0.25">
      <c r="B129" s="146" t="s">
        <v>1127</v>
      </c>
      <c r="C129" s="253">
        <f>C126*C128*C96</f>
        <v>248.15999999999997</v>
      </c>
      <c r="E129" s="146" t="s">
        <v>843</v>
      </c>
      <c r="G129" s="196" t="s">
        <v>869</v>
      </c>
    </row>
    <row r="130" spans="2:7" x14ac:dyDescent="0.25">
      <c r="B130" s="146" t="s">
        <v>1128</v>
      </c>
      <c r="C130" s="253">
        <f>C127*C128*C96</f>
        <v>151.30866666666665</v>
      </c>
      <c r="E130" s="146" t="s">
        <v>843</v>
      </c>
      <c r="G130" s="196" t="s">
        <v>869</v>
      </c>
    </row>
    <row r="132" spans="2:7" x14ac:dyDescent="0.25">
      <c r="B132" s="146" t="s">
        <v>1184</v>
      </c>
    </row>
    <row r="133" spans="2:7" x14ac:dyDescent="0.25">
      <c r="B133" s="146" t="s">
        <v>1185</v>
      </c>
      <c r="C133" s="253">
        <v>0.37</v>
      </c>
      <c r="G133" s="196" t="s">
        <v>869</v>
      </c>
    </row>
    <row r="134" spans="2:7" x14ac:dyDescent="0.25">
      <c r="B134" s="146" t="s">
        <v>1186</v>
      </c>
      <c r="C134" s="253">
        <v>0.2</v>
      </c>
      <c r="G134" s="196" t="s">
        <v>869</v>
      </c>
    </row>
    <row r="135" spans="2:7" x14ac:dyDescent="0.25">
      <c r="B135" s="146" t="s">
        <v>1129</v>
      </c>
      <c r="C135" s="253">
        <f>C133*C129</f>
        <v>91.819199999999981</v>
      </c>
      <c r="E135" s="146" t="s">
        <v>843</v>
      </c>
      <c r="G135" s="196" t="s">
        <v>869</v>
      </c>
    </row>
    <row r="136" spans="2:7" x14ac:dyDescent="0.25">
      <c r="B136" s="146" t="s">
        <v>1130</v>
      </c>
      <c r="C136" s="253">
        <f>C130*C134</f>
        <v>30.261733333333332</v>
      </c>
      <c r="E136" s="146" t="s">
        <v>843</v>
      </c>
      <c r="G136" s="196" t="s">
        <v>869</v>
      </c>
    </row>
    <row r="138" spans="2:7" x14ac:dyDescent="0.25">
      <c r="B138" s="146" t="s">
        <v>1187</v>
      </c>
    </row>
    <row r="139" spans="2:7" x14ac:dyDescent="0.25">
      <c r="B139" s="146" t="s">
        <v>1188</v>
      </c>
      <c r="C139" s="250">
        <v>400</v>
      </c>
      <c r="E139" s="146" t="s">
        <v>1164</v>
      </c>
    </row>
    <row r="140" spans="2:7" x14ac:dyDescent="0.25">
      <c r="B140" s="146" t="s">
        <v>1189</v>
      </c>
      <c r="C140" s="253">
        <v>2.1</v>
      </c>
      <c r="E140" s="146" t="s">
        <v>1190</v>
      </c>
      <c r="G140" s="196" t="s">
        <v>869</v>
      </c>
    </row>
    <row r="141" spans="2:7" x14ac:dyDescent="0.25">
      <c r="B141" s="146" t="s">
        <v>1191</v>
      </c>
      <c r="C141" s="253">
        <v>2.1</v>
      </c>
      <c r="E141" s="146" t="s">
        <v>1190</v>
      </c>
      <c r="G141" s="196" t="s">
        <v>869</v>
      </c>
    </row>
    <row r="142" spans="2:7" x14ac:dyDescent="0.25">
      <c r="B142" s="146" t="s">
        <v>1131</v>
      </c>
      <c r="C142" s="253">
        <f>C140*C96</f>
        <v>7.7</v>
      </c>
      <c r="E142" s="146" t="s">
        <v>843</v>
      </c>
      <c r="G142" s="196" t="s">
        <v>869</v>
      </c>
    </row>
    <row r="143" spans="2:7" x14ac:dyDescent="0.25">
      <c r="B143" s="146" t="s">
        <v>1132</v>
      </c>
      <c r="C143" s="253">
        <f>C141*C96</f>
        <v>7.7</v>
      </c>
      <c r="E143" s="146" t="s">
        <v>843</v>
      </c>
      <c r="G143" s="196" t="s">
        <v>869</v>
      </c>
    </row>
    <row r="145" spans="2:7" x14ac:dyDescent="0.25">
      <c r="B145" s="146" t="s">
        <v>1192</v>
      </c>
    </row>
    <row r="146" spans="2:7" x14ac:dyDescent="0.25">
      <c r="B146" s="146" t="s">
        <v>1193</v>
      </c>
      <c r="C146" s="253">
        <v>34.4</v>
      </c>
      <c r="G146" s="196" t="s">
        <v>869</v>
      </c>
    </row>
    <row r="147" spans="2:7" x14ac:dyDescent="0.25">
      <c r="B147" s="146" t="s">
        <v>1194</v>
      </c>
      <c r="C147" s="253">
        <v>41.7</v>
      </c>
      <c r="G147" s="196" t="s">
        <v>869</v>
      </c>
    </row>
    <row r="148" spans="2:7" x14ac:dyDescent="0.25">
      <c r="B148" s="146" t="s">
        <v>1195</v>
      </c>
      <c r="C148" s="253">
        <v>0.49</v>
      </c>
      <c r="G148" s="196"/>
    </row>
    <row r="149" spans="2:7" x14ac:dyDescent="0.25">
      <c r="B149" s="146" t="s">
        <v>1133</v>
      </c>
      <c r="C149" s="253">
        <f>C146*C148*C96</f>
        <v>61.805333333333323</v>
      </c>
      <c r="E149" s="146" t="s">
        <v>843</v>
      </c>
      <c r="G149" s="196" t="s">
        <v>869</v>
      </c>
    </row>
    <row r="150" spans="2:7" x14ac:dyDescent="0.25">
      <c r="B150" s="146" t="s">
        <v>1134</v>
      </c>
      <c r="C150" s="253">
        <f>C147*C148*C96</f>
        <v>74.920999999999992</v>
      </c>
      <c r="E150" s="146" t="s">
        <v>843</v>
      </c>
      <c r="G150" s="196" t="s">
        <v>869</v>
      </c>
    </row>
  </sheetData>
  <mergeCells count="9">
    <mergeCell ref="C84:G84"/>
    <mergeCell ref="C100:G100"/>
    <mergeCell ref="C102:G102"/>
    <mergeCell ref="C20:G20"/>
    <mergeCell ref="C22:G22"/>
    <mergeCell ref="C24:G24"/>
    <mergeCell ref="C54:G54"/>
    <mergeCell ref="C56:G56"/>
    <mergeCell ref="C82:G82"/>
  </mergeCells>
  <hyperlinks>
    <hyperlink ref="G36" r:id="rId1" display="https://www.ucsusa.org/resources/satellite-database"/>
    <hyperlink ref="G95" r:id="rId2" display="https://advances.sciencemag.org/content/advances/5/10/eaax2546.full.pdf"/>
    <hyperlink ref="G71" r:id="rId3" display="https://www.nitidae.org/files/9189383d/170913_rapport_technique_occsol_me_vf.pdf"/>
    <hyperlink ref="G72" r:id="rId4" display="https://www.nitidae.org/files/9189383d/170913_rapport_technique_occsol_me_vf.pdf"/>
    <hyperlink ref="G77" r:id="rId5" display="https://www.greenit.fr/2015/04/16/combien-consomme-une-tablette/"/>
    <hyperlink ref="G96" r:id="rId6" display="https://www.nitidae.org/files/30c6cfd6/171122_rapport_technique_nerf_me.pdf"/>
    <hyperlink ref="G124" r:id="rId7" display="https://www.nitidae.org/files/30c6cfd6/171122_rapport_technique_nerf_me.pdf"/>
    <hyperlink ref="G125" r:id="rId8" display="https://www.nitidae.org/files/30c6cfd6/171122_rapport_technique_nerf_me.pdf"/>
    <hyperlink ref="G126" r:id="rId9" display="https://www.nitidae.org/files/30c6cfd6/171122_rapport_technique_nerf_me.pdf"/>
    <hyperlink ref="G127" r:id="rId10" display="https://www.nitidae.org/files/30c6cfd6/171122_rapport_technique_nerf_me.pdf"/>
    <hyperlink ref="G128" r:id="rId11" display="https://www.nitidae.org/files/30c6cfd6/171122_rapport_technique_nerf_me.pdf"/>
    <hyperlink ref="G129" r:id="rId12" display="https://www.nitidae.org/files/30c6cfd6/171122_rapport_technique_nerf_me.pdf"/>
    <hyperlink ref="G130" r:id="rId13" display="https://www.nitidae.org/files/30c6cfd6/171122_rapport_technique_nerf_me.pdf"/>
    <hyperlink ref="G135" r:id="rId14" display="https://www.nitidae.org/files/30c6cfd6/171122_rapport_technique_nerf_me.pdf"/>
    <hyperlink ref="G136" r:id="rId15" display="https://www.nitidae.org/files/30c6cfd6/171122_rapport_technique_nerf_me.pdf"/>
    <hyperlink ref="G133" r:id="rId16" display="https://www.nitidae.org/files/30c6cfd6/171122_rapport_technique_nerf_me.pdf"/>
    <hyperlink ref="G134" r:id="rId17" display="https://www.nitidae.org/files/30c6cfd6/171122_rapport_technique_nerf_me.pdf"/>
    <hyperlink ref="G142" r:id="rId18" display="https://www.nitidae.org/files/30c6cfd6/171122_rapport_technique_nerf_me.pdf"/>
    <hyperlink ref="G143" r:id="rId19" display="https://www.nitidae.org/files/30c6cfd6/171122_rapport_technique_nerf_me.pdf"/>
    <hyperlink ref="G140" r:id="rId20" display="https://www.nitidae.org/files/30c6cfd6/171122_rapport_technique_nerf_me.pdf"/>
    <hyperlink ref="G141" r:id="rId21" display="https://www.nitidae.org/files/30c6cfd6/171122_rapport_technique_nerf_me.pdf"/>
    <hyperlink ref="G149" r:id="rId22" display="https://www.nitidae.org/files/30c6cfd6/171122_rapport_technique_nerf_me.pdf"/>
    <hyperlink ref="G150" r:id="rId23" display="https://www.nitidae.org/files/30c6cfd6/171122_rapport_technique_nerf_me.pdf"/>
    <hyperlink ref="G146" r:id="rId24" display="https://www.nitidae.org/files/30c6cfd6/171122_rapport_technique_nerf_me.pdf"/>
    <hyperlink ref="G147" r:id="rId25" display="https://www.nitidae.org/files/30c6cfd6/171122_rapport_technique_nerf_me.pdf"/>
    <hyperlink ref="G41" r:id="rId26"/>
    <hyperlink ref="G43" r:id="rId27"/>
    <hyperlink ref="G42" r:id="rId28"/>
    <hyperlink ref="G69" r:id="rId29" display="https://www.nitidae.org/files/9189383d/170913_rapport_technique_occsol_me_vf.pdf"/>
  </hyperlinks>
  <pageMargins left="0.7" right="0.7" top="0.75" bottom="0.75" header="0.3" footer="0.3"/>
  <pageSetup paperSize="9" orientation="portrait" horizontalDpi="300" r:id="rId3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B2:AB167"/>
  <sheetViews>
    <sheetView showGridLines="0" zoomScaleNormal="100" workbookViewId="0"/>
  </sheetViews>
  <sheetFormatPr baseColWidth="10" defaultColWidth="8.7109375" defaultRowHeight="15" x14ac:dyDescent="0.25"/>
  <cols>
    <col min="1" max="1" width="8.7109375" style="199"/>
    <col min="2" max="2" width="54.5703125" style="199" customWidth="1"/>
    <col min="3" max="3" width="20.85546875" style="199" customWidth="1"/>
    <col min="4" max="4" width="11.42578125" style="199" customWidth="1"/>
    <col min="5" max="5" width="12.85546875" style="199" customWidth="1"/>
    <col min="6" max="6" width="10.42578125" style="199" customWidth="1"/>
    <col min="7" max="7" width="12.42578125" style="199" customWidth="1"/>
    <col min="8" max="8" width="11.7109375" style="199" customWidth="1"/>
    <col min="9" max="9" width="26.5703125" style="199" customWidth="1"/>
    <col min="10" max="10" width="11.7109375" style="199" customWidth="1"/>
    <col min="11" max="11" width="12.140625" style="199" customWidth="1"/>
    <col min="12" max="12" width="12.28515625" style="199" customWidth="1"/>
    <col min="13" max="22" width="9.85546875" style="199" bestFit="1" customWidth="1"/>
    <col min="23" max="28" width="8.85546875" style="199" bestFit="1" customWidth="1"/>
    <col min="29" max="16384" width="8.7109375" style="199"/>
  </cols>
  <sheetData>
    <row r="2" spans="2:28" s="199" customFormat="1" ht="30" x14ac:dyDescent="0.25">
      <c r="B2" s="198" t="s">
        <v>1329</v>
      </c>
    </row>
    <row r="3" spans="2:28" s="199" customFormat="1" ht="30" x14ac:dyDescent="0.25">
      <c r="B3" s="200" t="s">
        <v>1200</v>
      </c>
      <c r="C3" s="168"/>
    </row>
    <row r="4" spans="2:28" s="199" customFormat="1" x14ac:dyDescent="0.25">
      <c r="B4" s="201" t="s">
        <v>833</v>
      </c>
      <c r="C4" s="202" t="str">
        <f>Hypothèses_projet!C2</f>
        <v>Colombia</v>
      </c>
    </row>
    <row r="5" spans="2:28" s="199" customFormat="1" x14ac:dyDescent="0.25">
      <c r="B5" s="201" t="s">
        <v>882</v>
      </c>
      <c r="C5" s="203">
        <f>INDEX(FE_par_pays!$A$8:$F$242,MATCH(C4,FE_par_pays!$A$8:$A$242,0),5)</f>
        <v>230.88184773797497</v>
      </c>
      <c r="E5" s="199" t="s">
        <v>159</v>
      </c>
      <c r="G5" s="149" t="s">
        <v>834</v>
      </c>
    </row>
    <row r="14" spans="2:28" s="199" customFormat="1" x14ac:dyDescent="0.25">
      <c r="B14" s="146" t="s">
        <v>323</v>
      </c>
      <c r="C14" s="146" t="s">
        <v>8</v>
      </c>
      <c r="D14" s="178">
        <f>Hypothèses_projet!$C$3</f>
        <v>2021</v>
      </c>
      <c r="E14" s="178">
        <f>IF(Hypothèses_projet!$C$6&lt;=D14,"",D14+1)</f>
        <v>2022</v>
      </c>
      <c r="F14" s="178">
        <f>IF(Hypothèses_projet!$C$6&lt;=E14,"",E14+1)</f>
        <v>2023</v>
      </c>
      <c r="G14" s="178">
        <f>IF(Hypothèses_projet!$C$6&lt;=F14,"",F14+1)</f>
        <v>2024</v>
      </c>
      <c r="H14" s="178">
        <f>IF(Hypothèses_projet!$C$6&lt;=G14,"",G14+1)</f>
        <v>2025</v>
      </c>
      <c r="I14" s="178">
        <f>IF(Hypothèses_projet!$C$6&lt;=H14,"",H14+1)</f>
        <v>2026</v>
      </c>
      <c r="J14" s="178">
        <f>IF(Hypothèses_projet!$C$6&lt;=I14,"",I14+1)</f>
        <v>2027</v>
      </c>
      <c r="K14" s="178">
        <f>IF(Hypothèses_projet!$C$6&lt;=J14,"",J14+1)</f>
        <v>2028</v>
      </c>
      <c r="L14" s="178">
        <f>IF(Hypothèses_projet!$C$6&lt;=K14,"",K14+1)</f>
        <v>2029</v>
      </c>
      <c r="M14" s="178">
        <f>IF(Hypothèses_projet!$C$6&lt;=L14,"",L14+1)</f>
        <v>2030</v>
      </c>
      <c r="N14" s="178">
        <f>IF(Hypothèses_projet!$C$6&lt;=M14,"",M14+1)</f>
        <v>2031</v>
      </c>
      <c r="O14" s="178">
        <f>IF(Hypothèses_projet!$C$6&lt;=N14,"",N14+1)</f>
        <v>2032</v>
      </c>
      <c r="P14" s="178">
        <f>IF(Hypothèses_projet!$C$6&lt;=O14,"",O14+1)</f>
        <v>2033</v>
      </c>
      <c r="Q14" s="178">
        <f>IF(Hypothèses_projet!$C$6&lt;=P14,"",P14+1)</f>
        <v>2034</v>
      </c>
      <c r="R14" s="178">
        <f>IF(Hypothèses_projet!$C$6&lt;=Q14,"",Q14+1)</f>
        <v>2035</v>
      </c>
      <c r="S14" s="178">
        <f>IF(Hypothèses_projet!$C$6&lt;=R14,"",R14+1)</f>
        <v>2036</v>
      </c>
      <c r="T14" s="178">
        <f>IF(Hypothèses_projet!$C$6&lt;=S14,"",S14+1)</f>
        <v>2037</v>
      </c>
      <c r="U14" s="178">
        <f>IF(Hypothèses_projet!$C$6&lt;=T14,"",T14+1)</f>
        <v>2038</v>
      </c>
      <c r="V14" s="178">
        <f>IF(Hypothèses_projet!$C$6&lt;=U14,"",U14+1)</f>
        <v>2039</v>
      </c>
      <c r="W14" s="178">
        <f>IF(Hypothèses_projet!$C$6&lt;=V14,"",V14+1)</f>
        <v>2040</v>
      </c>
      <c r="X14" s="178" t="str">
        <f>IF(Hypothèses_projet!$C$6&lt;=W14,"",W14+1)</f>
        <v/>
      </c>
      <c r="Y14" s="178" t="str">
        <f>IF(Hypothèses_projet!$C$6&lt;=X14,"",X14+1)</f>
        <v/>
      </c>
      <c r="Z14" s="178" t="str">
        <f>IF(Hypothèses_projet!$C$6&lt;=Y14,"",Y14+1)</f>
        <v/>
      </c>
      <c r="AA14" s="178" t="str">
        <f>IF(Hypothèses_projet!$C$6&lt;=Z14,"",Z14+1)</f>
        <v/>
      </c>
      <c r="AB14" s="178" t="str">
        <f>IF(Hypothèses_projet!$C$6&lt;=AA14,"",AA14+1)</f>
        <v/>
      </c>
    </row>
    <row r="15" spans="2:28" s="199" customFormat="1" x14ac:dyDescent="0.25">
      <c r="B15" s="204" t="str">
        <f>'Resultats généraux'!A93</f>
        <v>OUI</v>
      </c>
      <c r="C15" s="205" t="s">
        <v>1047</v>
      </c>
      <c r="D15" s="206">
        <f>SUM(D18:D20)</f>
        <v>-1965.3719987825868</v>
      </c>
      <c r="E15" s="206">
        <f t="shared" ref="E15:AB15" si="0">SUM(E18:E20)</f>
        <v>-1965.3719987825868</v>
      </c>
      <c r="F15" s="206">
        <f t="shared" si="0"/>
        <v>-1965.3719987825868</v>
      </c>
      <c r="G15" s="206">
        <f t="shared" si="0"/>
        <v>-1965.3719987825868</v>
      </c>
      <c r="H15" s="206">
        <f t="shared" si="0"/>
        <v>-1965.3719987825868</v>
      </c>
      <c r="I15" s="206">
        <f t="shared" si="0"/>
        <v>-1965.3719987825868</v>
      </c>
      <c r="J15" s="206">
        <f t="shared" si="0"/>
        <v>-1965.3719987825868</v>
      </c>
      <c r="K15" s="206">
        <f t="shared" si="0"/>
        <v>-1965.3719987825868</v>
      </c>
      <c r="L15" s="206">
        <f t="shared" si="0"/>
        <v>-1965.3719987825868</v>
      </c>
      <c r="M15" s="206">
        <f t="shared" si="0"/>
        <v>-1965.3719987825868</v>
      </c>
      <c r="N15" s="206">
        <f t="shared" si="0"/>
        <v>-1965.3719987825868</v>
      </c>
      <c r="O15" s="206">
        <f t="shared" si="0"/>
        <v>-1965.3719987825868</v>
      </c>
      <c r="P15" s="206">
        <f t="shared" si="0"/>
        <v>-1965.3719987825868</v>
      </c>
      <c r="Q15" s="206">
        <f t="shared" si="0"/>
        <v>-1965.3719987825868</v>
      </c>
      <c r="R15" s="206">
        <f t="shared" si="0"/>
        <v>-1965.3719987825868</v>
      </c>
      <c r="S15" s="206">
        <f t="shared" si="0"/>
        <v>-1965.3719987825868</v>
      </c>
      <c r="T15" s="206">
        <f t="shared" si="0"/>
        <v>-1965.3719987825868</v>
      </c>
      <c r="U15" s="206">
        <f t="shared" si="0"/>
        <v>-1965.3719987825868</v>
      </c>
      <c r="V15" s="206">
        <f t="shared" si="0"/>
        <v>-1965.3719987825868</v>
      </c>
      <c r="W15" s="206">
        <f t="shared" si="0"/>
        <v>-1965.3719987825868</v>
      </c>
      <c r="X15" s="206">
        <f t="shared" si="0"/>
        <v>0</v>
      </c>
      <c r="Y15" s="206">
        <f t="shared" si="0"/>
        <v>0</v>
      </c>
      <c r="Z15" s="206">
        <f t="shared" si="0"/>
        <v>0</v>
      </c>
      <c r="AA15" s="206">
        <f t="shared" si="0"/>
        <v>0</v>
      </c>
      <c r="AB15" s="206">
        <f t="shared" si="0"/>
        <v>0</v>
      </c>
    </row>
    <row r="16" spans="2:28" s="199" customFormat="1" x14ac:dyDescent="0.25">
      <c r="B16" s="146"/>
      <c r="C16" s="146"/>
      <c r="D16" s="146"/>
      <c r="E16" s="146"/>
      <c r="F16" s="146"/>
      <c r="G16" s="146"/>
      <c r="H16" s="146"/>
      <c r="I16" s="146"/>
      <c r="J16" s="146"/>
      <c r="K16" s="146"/>
      <c r="L16" s="146"/>
      <c r="M16" s="146"/>
    </row>
    <row r="17" spans="2:28" s="199" customFormat="1" x14ac:dyDescent="0.25">
      <c r="B17" s="207" t="s">
        <v>1310</v>
      </c>
      <c r="C17" s="146"/>
      <c r="D17" s="146"/>
      <c r="E17" s="146"/>
      <c r="F17" s="146"/>
      <c r="G17" s="146"/>
      <c r="H17" s="146"/>
      <c r="I17" s="146"/>
      <c r="J17" s="146"/>
      <c r="K17" s="146"/>
      <c r="L17" s="146"/>
      <c r="M17" s="146"/>
    </row>
    <row r="18" spans="2:28" s="199" customFormat="1" x14ac:dyDescent="0.25">
      <c r="B18" s="204" t="str">
        <f>'Resultats généraux'!A96</f>
        <v>OUI</v>
      </c>
      <c r="C18" s="208" t="s">
        <v>1048</v>
      </c>
      <c r="D18" s="206">
        <f>IF($B18="OUI",'Deforestation Drones'!C35,0)</f>
        <v>27.313883549472223</v>
      </c>
      <c r="E18" s="206">
        <f>IF($B18="OUI",'Deforestation Drones'!D35,0)</f>
        <v>27.313883549472223</v>
      </c>
      <c r="F18" s="206">
        <f>IF($B18="OUI",'Deforestation Drones'!E35,0)</f>
        <v>27.313883549472223</v>
      </c>
      <c r="G18" s="206">
        <f>IF($B18="OUI",'Deforestation Drones'!F35,0)</f>
        <v>27.313883549472223</v>
      </c>
      <c r="H18" s="206">
        <f>IF($B18="OUI",'Deforestation Drones'!G35,0)</f>
        <v>27.313883549472223</v>
      </c>
      <c r="I18" s="206">
        <f>IF($B18="OUI",'Deforestation Drones'!H35,0)</f>
        <v>27.313883549472223</v>
      </c>
      <c r="J18" s="206">
        <f>IF($B18="OUI",'Deforestation Drones'!I35,0)</f>
        <v>27.313883549472223</v>
      </c>
      <c r="K18" s="206">
        <f>IF($B18="OUI",'Deforestation Drones'!J35,0)</f>
        <v>27.313883549472223</v>
      </c>
      <c r="L18" s="206">
        <f>IF($B18="OUI",'Deforestation Drones'!K35,0)</f>
        <v>27.313883549472223</v>
      </c>
      <c r="M18" s="206">
        <f>IF($B18="OUI",'Deforestation Drones'!L35,0)</f>
        <v>27.313883549472223</v>
      </c>
      <c r="N18" s="206">
        <f>IF($B18="OUI",'Deforestation Drones'!M35,0)</f>
        <v>27.313883549472223</v>
      </c>
      <c r="O18" s="206">
        <f>IF($B18="OUI",'Deforestation Drones'!N35,0)</f>
        <v>27.313883549472223</v>
      </c>
      <c r="P18" s="206">
        <f>IF($B18="OUI",'Deforestation Drones'!O35,0)</f>
        <v>27.313883549472223</v>
      </c>
      <c r="Q18" s="206">
        <f>IF($B18="OUI",'Deforestation Drones'!P35,0)</f>
        <v>27.313883549472223</v>
      </c>
      <c r="R18" s="206">
        <f>IF($B18="OUI",'Deforestation Drones'!Q35,0)</f>
        <v>27.313883549472223</v>
      </c>
      <c r="S18" s="206">
        <f>IF($B18="OUI",'Deforestation Drones'!R35,0)</f>
        <v>27.313883549472223</v>
      </c>
      <c r="T18" s="206">
        <f>IF($B18="OUI",'Deforestation Drones'!S35,0)</f>
        <v>27.313883549472223</v>
      </c>
      <c r="U18" s="206">
        <f>IF($B18="OUI",'Deforestation Drones'!T35,0)</f>
        <v>27.313883549472223</v>
      </c>
      <c r="V18" s="206">
        <f>IF($B18="OUI",'Deforestation Drones'!U35,0)</f>
        <v>27.313883549472223</v>
      </c>
      <c r="W18" s="206">
        <f>IF($B18="OUI",'Deforestation Drones'!V35,0)</f>
        <v>27.313883549472223</v>
      </c>
      <c r="X18" s="206" t="str">
        <f>IF($B18="OUI",'Deforestation Drones'!W35,0)</f>
        <v/>
      </c>
      <c r="Y18" s="206" t="str">
        <f>IF($B18="OUI",'Deforestation Drones'!X35,0)</f>
        <v/>
      </c>
      <c r="Z18" s="206" t="str">
        <f>IF($B18="OUI",'Deforestation Drones'!Y35,0)</f>
        <v/>
      </c>
      <c r="AA18" s="206" t="str">
        <f>IF($B18="OUI",'Deforestation Drones'!Z35,0)</f>
        <v/>
      </c>
      <c r="AB18" s="206" t="str">
        <f>IF($B18="OUI",'Deforestation Drones'!AA35,0)</f>
        <v/>
      </c>
    </row>
    <row r="19" spans="2:28" s="199" customFormat="1" x14ac:dyDescent="0.25">
      <c r="B19" s="204" t="str">
        <f>'Resultats généraux'!A97</f>
        <v>OUI</v>
      </c>
      <c r="C19" s="208" t="s">
        <v>1049</v>
      </c>
      <c r="D19" s="206">
        <f>IF($B19="OUI",'Deforestation Drones'!C83,0)</f>
        <v>26.314117667926382</v>
      </c>
      <c r="E19" s="206">
        <f>IF($B19="OUI",'Deforestation Drones'!D83,0)</f>
        <v>26.314117667926382</v>
      </c>
      <c r="F19" s="206">
        <f>IF($B19="OUI",'Deforestation Drones'!E83,0)</f>
        <v>26.314117667926382</v>
      </c>
      <c r="G19" s="206">
        <f>IF($B19="OUI",'Deforestation Drones'!F83,0)</f>
        <v>26.314117667926382</v>
      </c>
      <c r="H19" s="206">
        <f>IF($B19="OUI",'Deforestation Drones'!G83,0)</f>
        <v>26.314117667926382</v>
      </c>
      <c r="I19" s="206">
        <f>IF($B19="OUI",'Deforestation Drones'!H83,0)</f>
        <v>26.314117667926382</v>
      </c>
      <c r="J19" s="206">
        <f>IF($B19="OUI",'Deforestation Drones'!I83,0)</f>
        <v>26.314117667926382</v>
      </c>
      <c r="K19" s="206">
        <f>IF($B19="OUI",'Deforestation Drones'!J83,0)</f>
        <v>26.314117667926382</v>
      </c>
      <c r="L19" s="206">
        <f>IF($B19="OUI",'Deforestation Drones'!K83,0)</f>
        <v>26.314117667926382</v>
      </c>
      <c r="M19" s="206">
        <f>IF($B19="OUI",'Deforestation Drones'!L83,0)</f>
        <v>26.314117667926382</v>
      </c>
      <c r="N19" s="206">
        <f>IF($B19="OUI",'Deforestation Drones'!M83,0)</f>
        <v>26.314117667926382</v>
      </c>
      <c r="O19" s="206">
        <f>IF($B19="OUI",'Deforestation Drones'!N83,0)</f>
        <v>26.314117667926382</v>
      </c>
      <c r="P19" s="206">
        <f>IF($B19="OUI",'Deforestation Drones'!O83,0)</f>
        <v>26.314117667926382</v>
      </c>
      <c r="Q19" s="206">
        <f>IF($B19="OUI",'Deforestation Drones'!P83,0)</f>
        <v>26.314117667926382</v>
      </c>
      <c r="R19" s="206">
        <f>IF($B19="OUI",'Deforestation Drones'!Q83,0)</f>
        <v>26.314117667926382</v>
      </c>
      <c r="S19" s="206">
        <f>IF($B19="OUI",'Deforestation Drones'!R83,0)</f>
        <v>26.314117667926382</v>
      </c>
      <c r="T19" s="206">
        <f>IF($B19="OUI",'Deforestation Drones'!S83,0)</f>
        <v>26.314117667926382</v>
      </c>
      <c r="U19" s="206">
        <f>IF($B19="OUI",'Deforestation Drones'!T83,0)</f>
        <v>26.314117667926382</v>
      </c>
      <c r="V19" s="206">
        <f>IF($B19="OUI",'Deforestation Drones'!U83,0)</f>
        <v>26.314117667926382</v>
      </c>
      <c r="W19" s="206">
        <f>IF($B19="OUI",'Deforestation Drones'!V83,0)</f>
        <v>26.314117667926382</v>
      </c>
      <c r="X19" s="206" t="str">
        <f>IF($B19="OUI",'Deforestation Drones'!W83,0)</f>
        <v/>
      </c>
      <c r="Y19" s="206" t="str">
        <f>IF($B19="OUI",'Deforestation Drones'!X83,0)</f>
        <v/>
      </c>
      <c r="Z19" s="206" t="str">
        <f>IF($B19="OUI",'Deforestation Drones'!Y83,0)</f>
        <v/>
      </c>
      <c r="AA19" s="206" t="str">
        <f>IF($B19="OUI",'Deforestation Drones'!Z83,0)</f>
        <v/>
      </c>
      <c r="AB19" s="206" t="str">
        <f>IF($B19="OUI",'Deforestation Drones'!AA83,0)</f>
        <v/>
      </c>
    </row>
    <row r="20" spans="2:28" s="199" customFormat="1" x14ac:dyDescent="0.25">
      <c r="B20" s="204" t="str">
        <f>'Resultats généraux'!A98</f>
        <v>OUI</v>
      </c>
      <c r="C20" s="208" t="s">
        <v>1050</v>
      </c>
      <c r="D20" s="206">
        <f>IF($B20="OUI",'Deforestation Drones'!C135,0)</f>
        <v>-2018.9999999999854</v>
      </c>
      <c r="E20" s="206">
        <f>IF($B20="OUI",'Deforestation Drones'!D135,0)</f>
        <v>-2018.9999999999854</v>
      </c>
      <c r="F20" s="206">
        <f>IF($B20="OUI",'Deforestation Drones'!E135,0)</f>
        <v>-2018.9999999999854</v>
      </c>
      <c r="G20" s="206">
        <f>IF($B20="OUI",'Deforestation Drones'!F135,0)</f>
        <v>-2018.9999999999854</v>
      </c>
      <c r="H20" s="206">
        <f>IF($B20="OUI",'Deforestation Drones'!G135,0)</f>
        <v>-2018.9999999999854</v>
      </c>
      <c r="I20" s="206">
        <f>IF($B20="OUI",'Deforestation Drones'!H135,0)</f>
        <v>-2018.9999999999854</v>
      </c>
      <c r="J20" s="206">
        <f>IF($B20="OUI",'Deforestation Drones'!I135,0)</f>
        <v>-2018.9999999999854</v>
      </c>
      <c r="K20" s="206">
        <f>IF($B20="OUI",'Deforestation Drones'!J135,0)</f>
        <v>-2018.9999999999854</v>
      </c>
      <c r="L20" s="206">
        <f>IF($B20="OUI",'Deforestation Drones'!K135,0)</f>
        <v>-2018.9999999999854</v>
      </c>
      <c r="M20" s="206">
        <f>IF($B20="OUI",'Deforestation Drones'!L135,0)</f>
        <v>-2018.9999999999854</v>
      </c>
      <c r="N20" s="206">
        <f>IF($B20="OUI",'Deforestation Drones'!M135,0)</f>
        <v>-2018.9999999999854</v>
      </c>
      <c r="O20" s="206">
        <f>IF($B20="OUI",'Deforestation Drones'!N135,0)</f>
        <v>-2018.9999999999854</v>
      </c>
      <c r="P20" s="206">
        <f>IF($B20="OUI",'Deforestation Drones'!O135,0)</f>
        <v>-2018.9999999999854</v>
      </c>
      <c r="Q20" s="206">
        <f>IF($B20="OUI",'Deforestation Drones'!P135,0)</f>
        <v>-2018.9999999999854</v>
      </c>
      <c r="R20" s="206">
        <f>IF($B20="OUI",'Deforestation Drones'!Q135,0)</f>
        <v>-2018.9999999999854</v>
      </c>
      <c r="S20" s="206">
        <f>IF($B20="OUI",'Deforestation Drones'!R135,0)</f>
        <v>-2018.9999999999854</v>
      </c>
      <c r="T20" s="206">
        <f>IF($B20="OUI",'Deforestation Drones'!S135,0)</f>
        <v>-2018.9999999999854</v>
      </c>
      <c r="U20" s="206">
        <f>IF($B20="OUI",'Deforestation Drones'!T135,0)</f>
        <v>-2018.9999999999854</v>
      </c>
      <c r="V20" s="206">
        <f>IF($B20="OUI",'Deforestation Drones'!U135,0)</f>
        <v>-2018.9999999999854</v>
      </c>
      <c r="W20" s="206">
        <f>IF($B20="OUI",'Deforestation Drones'!V135,0)</f>
        <v>-2018.9999999999854</v>
      </c>
      <c r="X20" s="206" t="str">
        <f>IF($B20="OUI",'Deforestation Drones'!W135,0)</f>
        <v/>
      </c>
      <c r="Y20" s="206" t="str">
        <f>IF($B20="OUI",'Deforestation Drones'!X135,0)</f>
        <v/>
      </c>
      <c r="Z20" s="206" t="str">
        <f>IF($B20="OUI",'Deforestation Drones'!Y135,0)</f>
        <v/>
      </c>
      <c r="AA20" s="206" t="str">
        <f>IF($B20="OUI",'Deforestation Drones'!Z135,0)</f>
        <v/>
      </c>
      <c r="AB20" s="206" t="str">
        <f>IF($B20="OUI",'Deforestation Drones'!AA135,0)</f>
        <v/>
      </c>
    </row>
    <row r="22" spans="2:28" s="199" customFormat="1" ht="75" x14ac:dyDescent="0.25">
      <c r="B22" s="145" t="s">
        <v>1241</v>
      </c>
    </row>
    <row r="26" spans="2:28" s="199" customFormat="1" x14ac:dyDescent="0.25">
      <c r="B26" s="209" t="s">
        <v>1048</v>
      </c>
      <c r="C26" s="209"/>
      <c r="D26" s="209"/>
      <c r="E26" s="209"/>
      <c r="F26" s="209"/>
      <c r="G26" s="209"/>
      <c r="H26" s="209"/>
      <c r="I26" s="209"/>
    </row>
    <row r="28" spans="2:28" s="199" customFormat="1" ht="50.45" customHeight="1" x14ac:dyDescent="0.25">
      <c r="B28" s="210" t="s">
        <v>554</v>
      </c>
      <c r="C28" s="211" t="s">
        <v>1051</v>
      </c>
      <c r="D28" s="211"/>
      <c r="E28" s="211"/>
      <c r="F28" s="211"/>
      <c r="G28" s="211"/>
      <c r="H28" s="211"/>
    </row>
    <row r="29" spans="2:28" s="199" customFormat="1" x14ac:dyDescent="0.25">
      <c r="B29" s="212"/>
      <c r="C29" s="212"/>
    </row>
    <row r="30" spans="2:28" s="199" customFormat="1" ht="103.5" customHeight="1" x14ac:dyDescent="0.25">
      <c r="B30" s="146" t="s">
        <v>547</v>
      </c>
      <c r="C30" s="211" t="s">
        <v>1052</v>
      </c>
      <c r="D30" s="211"/>
      <c r="E30" s="211"/>
      <c r="F30" s="211"/>
      <c r="G30" s="211"/>
      <c r="H30" s="211"/>
    </row>
    <row r="32" spans="2:28" s="199" customFormat="1" x14ac:dyDescent="0.25">
      <c r="B32" s="213" t="s">
        <v>26</v>
      </c>
      <c r="C32" s="213">
        <f>D$14</f>
        <v>2021</v>
      </c>
      <c r="D32" s="213">
        <f t="shared" ref="D32:AA32" si="1">E$14</f>
        <v>2022</v>
      </c>
      <c r="E32" s="213">
        <f t="shared" si="1"/>
        <v>2023</v>
      </c>
      <c r="F32" s="213">
        <f t="shared" si="1"/>
        <v>2024</v>
      </c>
      <c r="G32" s="213">
        <f t="shared" si="1"/>
        <v>2025</v>
      </c>
      <c r="H32" s="213">
        <f t="shared" si="1"/>
        <v>2026</v>
      </c>
      <c r="I32" s="213">
        <f t="shared" si="1"/>
        <v>2027</v>
      </c>
      <c r="J32" s="213">
        <f t="shared" si="1"/>
        <v>2028</v>
      </c>
      <c r="K32" s="213">
        <f t="shared" si="1"/>
        <v>2029</v>
      </c>
      <c r="L32" s="213">
        <f t="shared" si="1"/>
        <v>2030</v>
      </c>
      <c r="M32" s="213">
        <f t="shared" si="1"/>
        <v>2031</v>
      </c>
      <c r="N32" s="213">
        <f t="shared" si="1"/>
        <v>2032</v>
      </c>
      <c r="O32" s="213">
        <f t="shared" si="1"/>
        <v>2033</v>
      </c>
      <c r="P32" s="213">
        <f t="shared" si="1"/>
        <v>2034</v>
      </c>
      <c r="Q32" s="213">
        <f t="shared" si="1"/>
        <v>2035</v>
      </c>
      <c r="R32" s="213">
        <f t="shared" si="1"/>
        <v>2036</v>
      </c>
      <c r="S32" s="213">
        <f t="shared" si="1"/>
        <v>2037</v>
      </c>
      <c r="T32" s="213">
        <f t="shared" si="1"/>
        <v>2038</v>
      </c>
      <c r="U32" s="213">
        <f t="shared" si="1"/>
        <v>2039</v>
      </c>
      <c r="V32" s="213">
        <f t="shared" si="1"/>
        <v>2040</v>
      </c>
      <c r="W32" s="213" t="str">
        <f t="shared" si="1"/>
        <v/>
      </c>
      <c r="X32" s="213" t="str">
        <f t="shared" si="1"/>
        <v/>
      </c>
      <c r="Y32" s="213" t="str">
        <f t="shared" si="1"/>
        <v/>
      </c>
      <c r="Z32" s="213" t="str">
        <f t="shared" si="1"/>
        <v/>
      </c>
      <c r="AA32" s="213" t="str">
        <f t="shared" si="1"/>
        <v/>
      </c>
    </row>
    <row r="33" spans="2:27" s="199" customFormat="1" x14ac:dyDescent="0.25">
      <c r="B33" s="214" t="s">
        <v>157</v>
      </c>
      <c r="C33" s="215">
        <f>IF(C32="","",0)</f>
        <v>0</v>
      </c>
      <c r="D33" s="215">
        <f t="shared" ref="D33:AA33" si="2">IF(D32="","",0)</f>
        <v>0</v>
      </c>
      <c r="E33" s="215">
        <f t="shared" si="2"/>
        <v>0</v>
      </c>
      <c r="F33" s="215">
        <f t="shared" si="2"/>
        <v>0</v>
      </c>
      <c r="G33" s="215">
        <f t="shared" si="2"/>
        <v>0</v>
      </c>
      <c r="H33" s="215">
        <f t="shared" si="2"/>
        <v>0</v>
      </c>
      <c r="I33" s="215">
        <f t="shared" si="2"/>
        <v>0</v>
      </c>
      <c r="J33" s="215">
        <f t="shared" si="2"/>
        <v>0</v>
      </c>
      <c r="K33" s="215">
        <f t="shared" si="2"/>
        <v>0</v>
      </c>
      <c r="L33" s="215">
        <f t="shared" si="2"/>
        <v>0</v>
      </c>
      <c r="M33" s="215">
        <f t="shared" si="2"/>
        <v>0</v>
      </c>
      <c r="N33" s="215">
        <f t="shared" si="2"/>
        <v>0</v>
      </c>
      <c r="O33" s="215">
        <f t="shared" si="2"/>
        <v>0</v>
      </c>
      <c r="P33" s="215">
        <f t="shared" si="2"/>
        <v>0</v>
      </c>
      <c r="Q33" s="215">
        <f t="shared" si="2"/>
        <v>0</v>
      </c>
      <c r="R33" s="215">
        <f t="shared" si="2"/>
        <v>0</v>
      </c>
      <c r="S33" s="215">
        <f t="shared" si="2"/>
        <v>0</v>
      </c>
      <c r="T33" s="215">
        <f t="shared" si="2"/>
        <v>0</v>
      </c>
      <c r="U33" s="215">
        <f t="shared" si="2"/>
        <v>0</v>
      </c>
      <c r="V33" s="215">
        <f t="shared" si="2"/>
        <v>0</v>
      </c>
      <c r="W33" s="215" t="str">
        <f t="shared" si="2"/>
        <v/>
      </c>
      <c r="X33" s="215" t="str">
        <f t="shared" si="2"/>
        <v/>
      </c>
      <c r="Y33" s="215" t="str">
        <f t="shared" si="2"/>
        <v/>
      </c>
      <c r="Z33" s="215" t="str">
        <f t="shared" si="2"/>
        <v/>
      </c>
      <c r="AA33" s="215" t="str">
        <f t="shared" si="2"/>
        <v/>
      </c>
    </row>
    <row r="34" spans="2:27" s="199" customFormat="1" x14ac:dyDescent="0.25">
      <c r="B34" s="214" t="s">
        <v>163</v>
      </c>
      <c r="C34" s="215">
        <f>IF(C32="","",($E$41*($E$47*$E$58+$E$59*$E$48+$E$49*$E$60)/$E$50)/1000+$E$52*$E$56/1000+$E$53*($E$67+$E$68*$E$69)/$E$70+$E$54*($E$62+$E$63*$E$64)/$E$65)</f>
        <v>27.313883549472223</v>
      </c>
      <c r="D34" s="215">
        <f t="shared" ref="D34:AA34" si="3">IF(D32="","",($E$41*($E$47*$E$58+$E$59*$E$48+$E$49*$E$60)/$E$50)/1000+$E$52*$E$56/1000+$E$53*($E$67+$E$68*$E$69)/$E$70+$E$54*($E$62+$E$63*$E$64)/$E$65)</f>
        <v>27.313883549472223</v>
      </c>
      <c r="E34" s="215">
        <f t="shared" si="3"/>
        <v>27.313883549472223</v>
      </c>
      <c r="F34" s="215">
        <f t="shared" si="3"/>
        <v>27.313883549472223</v>
      </c>
      <c r="G34" s="215">
        <f t="shared" si="3"/>
        <v>27.313883549472223</v>
      </c>
      <c r="H34" s="215">
        <f t="shared" si="3"/>
        <v>27.313883549472223</v>
      </c>
      <c r="I34" s="215">
        <f t="shared" si="3"/>
        <v>27.313883549472223</v>
      </c>
      <c r="J34" s="215">
        <f t="shared" si="3"/>
        <v>27.313883549472223</v>
      </c>
      <c r="K34" s="215">
        <f t="shared" si="3"/>
        <v>27.313883549472223</v>
      </c>
      <c r="L34" s="215">
        <f t="shared" si="3"/>
        <v>27.313883549472223</v>
      </c>
      <c r="M34" s="215">
        <f t="shared" si="3"/>
        <v>27.313883549472223</v>
      </c>
      <c r="N34" s="215">
        <f t="shared" si="3"/>
        <v>27.313883549472223</v>
      </c>
      <c r="O34" s="215">
        <f t="shared" si="3"/>
        <v>27.313883549472223</v>
      </c>
      <c r="P34" s="215">
        <f t="shared" si="3"/>
        <v>27.313883549472223</v>
      </c>
      <c r="Q34" s="215">
        <f t="shared" si="3"/>
        <v>27.313883549472223</v>
      </c>
      <c r="R34" s="215">
        <f t="shared" si="3"/>
        <v>27.313883549472223</v>
      </c>
      <c r="S34" s="215">
        <f t="shared" si="3"/>
        <v>27.313883549472223</v>
      </c>
      <c r="T34" s="215">
        <f t="shared" si="3"/>
        <v>27.313883549472223</v>
      </c>
      <c r="U34" s="215">
        <f t="shared" si="3"/>
        <v>27.313883549472223</v>
      </c>
      <c r="V34" s="215">
        <f t="shared" si="3"/>
        <v>27.313883549472223</v>
      </c>
      <c r="W34" s="215" t="str">
        <f t="shared" si="3"/>
        <v/>
      </c>
      <c r="X34" s="215" t="str">
        <f t="shared" si="3"/>
        <v/>
      </c>
      <c r="Y34" s="215" t="str">
        <f t="shared" si="3"/>
        <v/>
      </c>
      <c r="Z34" s="215" t="str">
        <f t="shared" si="3"/>
        <v/>
      </c>
      <c r="AA34" s="215" t="str">
        <f t="shared" si="3"/>
        <v/>
      </c>
    </row>
    <row r="35" spans="2:27" s="199" customFormat="1" x14ac:dyDescent="0.25">
      <c r="B35" s="214" t="s">
        <v>150</v>
      </c>
      <c r="C35" s="215">
        <f>IF(C32="","",C34-C33)</f>
        <v>27.313883549472223</v>
      </c>
      <c r="D35" s="215">
        <f t="shared" ref="D35:AA35" si="4">IF(D32="","",D34-D33)</f>
        <v>27.313883549472223</v>
      </c>
      <c r="E35" s="215">
        <f t="shared" si="4"/>
        <v>27.313883549472223</v>
      </c>
      <c r="F35" s="215">
        <f t="shared" si="4"/>
        <v>27.313883549472223</v>
      </c>
      <c r="G35" s="215">
        <f t="shared" si="4"/>
        <v>27.313883549472223</v>
      </c>
      <c r="H35" s="215">
        <f t="shared" si="4"/>
        <v>27.313883549472223</v>
      </c>
      <c r="I35" s="215">
        <f t="shared" si="4"/>
        <v>27.313883549472223</v>
      </c>
      <c r="J35" s="215">
        <f t="shared" si="4"/>
        <v>27.313883549472223</v>
      </c>
      <c r="K35" s="215">
        <f t="shared" si="4"/>
        <v>27.313883549472223</v>
      </c>
      <c r="L35" s="215">
        <f t="shared" si="4"/>
        <v>27.313883549472223</v>
      </c>
      <c r="M35" s="215">
        <f t="shared" si="4"/>
        <v>27.313883549472223</v>
      </c>
      <c r="N35" s="215">
        <f t="shared" si="4"/>
        <v>27.313883549472223</v>
      </c>
      <c r="O35" s="215">
        <f t="shared" si="4"/>
        <v>27.313883549472223</v>
      </c>
      <c r="P35" s="215">
        <f t="shared" si="4"/>
        <v>27.313883549472223</v>
      </c>
      <c r="Q35" s="215">
        <f t="shared" si="4"/>
        <v>27.313883549472223</v>
      </c>
      <c r="R35" s="215">
        <f t="shared" si="4"/>
        <v>27.313883549472223</v>
      </c>
      <c r="S35" s="215">
        <f t="shared" si="4"/>
        <v>27.313883549472223</v>
      </c>
      <c r="T35" s="215">
        <f t="shared" si="4"/>
        <v>27.313883549472223</v>
      </c>
      <c r="U35" s="215">
        <f t="shared" si="4"/>
        <v>27.313883549472223</v>
      </c>
      <c r="V35" s="215">
        <f t="shared" si="4"/>
        <v>27.313883549472223</v>
      </c>
      <c r="W35" s="215" t="str">
        <f t="shared" si="4"/>
        <v/>
      </c>
      <c r="X35" s="215" t="str">
        <f t="shared" si="4"/>
        <v/>
      </c>
      <c r="Y35" s="215" t="str">
        <f t="shared" si="4"/>
        <v/>
      </c>
      <c r="Z35" s="215" t="str">
        <f t="shared" si="4"/>
        <v/>
      </c>
      <c r="AA35" s="215" t="str">
        <f t="shared" si="4"/>
        <v/>
      </c>
    </row>
    <row r="38" spans="2:27" s="199" customFormat="1" x14ac:dyDescent="0.25">
      <c r="B38" s="216"/>
      <c r="C38" s="216"/>
      <c r="D38" s="217"/>
      <c r="E38" s="216" t="s">
        <v>19</v>
      </c>
      <c r="F38" s="217"/>
      <c r="G38" s="216" t="s">
        <v>4</v>
      </c>
      <c r="H38" s="217"/>
      <c r="I38" s="216" t="s">
        <v>83</v>
      </c>
    </row>
    <row r="41" spans="2:27" s="199" customFormat="1" x14ac:dyDescent="0.25">
      <c r="B41" s="199" t="s">
        <v>1053</v>
      </c>
      <c r="E41" s="218">
        <v>10</v>
      </c>
      <c r="I41" s="199" t="s">
        <v>166</v>
      </c>
    </row>
    <row r="43" spans="2:27" s="199" customFormat="1" ht="31.5" customHeight="1" x14ac:dyDescent="0.25">
      <c r="B43" s="199" t="s">
        <v>1054</v>
      </c>
      <c r="E43" s="219">
        <v>10</v>
      </c>
      <c r="G43" s="199" t="s">
        <v>162</v>
      </c>
      <c r="I43" s="161" t="s">
        <v>1055</v>
      </c>
      <c r="J43" s="161"/>
      <c r="K43" s="161"/>
      <c r="L43" s="161"/>
      <c r="M43" s="161"/>
      <c r="N43" s="194" t="s">
        <v>1056</v>
      </c>
    </row>
    <row r="44" spans="2:27" s="199" customFormat="1" x14ac:dyDescent="0.25">
      <c r="B44" s="199" t="s">
        <v>1057</v>
      </c>
      <c r="E44" s="199">
        <v>85</v>
      </c>
      <c r="G44" s="199" t="s">
        <v>1</v>
      </c>
      <c r="I44" s="194" t="s">
        <v>1056</v>
      </c>
    </row>
    <row r="45" spans="2:27" s="199" customFormat="1" x14ac:dyDescent="0.25">
      <c r="B45" s="199" t="s">
        <v>1058</v>
      </c>
      <c r="E45" s="199">
        <v>10</v>
      </c>
      <c r="G45" s="199" t="s">
        <v>1</v>
      </c>
      <c r="I45" s="194" t="s">
        <v>1056</v>
      </c>
    </row>
    <row r="46" spans="2:27" s="199" customFormat="1" x14ac:dyDescent="0.25">
      <c r="B46" s="199" t="s">
        <v>1059</v>
      </c>
      <c r="E46" s="199">
        <v>5</v>
      </c>
      <c r="G46" s="199" t="s">
        <v>1</v>
      </c>
      <c r="I46" s="194" t="s">
        <v>1056</v>
      </c>
    </row>
    <row r="47" spans="2:27" s="199" customFormat="1" x14ac:dyDescent="0.25">
      <c r="B47" s="199" t="s">
        <v>1060</v>
      </c>
      <c r="E47" s="199">
        <f>$E$43*E44/100</f>
        <v>8.5</v>
      </c>
      <c r="G47" s="199" t="s">
        <v>162</v>
      </c>
    </row>
    <row r="48" spans="2:27" s="199" customFormat="1" x14ac:dyDescent="0.25">
      <c r="B48" s="199" t="s">
        <v>1061</v>
      </c>
      <c r="E48" s="199">
        <f>$E$43*E45/100</f>
        <v>1</v>
      </c>
      <c r="G48" s="199" t="s">
        <v>162</v>
      </c>
    </row>
    <row r="49" spans="2:9" s="199" customFormat="1" x14ac:dyDescent="0.25">
      <c r="B49" s="199" t="s">
        <v>1062</v>
      </c>
      <c r="E49" s="199">
        <f>$E$43*E46/100</f>
        <v>0.5</v>
      </c>
      <c r="G49" s="199" t="s">
        <v>162</v>
      </c>
    </row>
    <row r="50" spans="2:9" s="199" customFormat="1" x14ac:dyDescent="0.25">
      <c r="B50" s="220" t="s">
        <v>1063</v>
      </c>
      <c r="C50" s="212"/>
      <c r="D50" s="212"/>
      <c r="E50" s="221">
        <v>3</v>
      </c>
      <c r="F50" s="220"/>
      <c r="G50" s="220" t="s">
        <v>43</v>
      </c>
    </row>
    <row r="52" spans="2:9" s="199" customFormat="1" x14ac:dyDescent="0.25">
      <c r="B52" s="199" t="s">
        <v>1064</v>
      </c>
      <c r="E52" s="218">
        <v>300</v>
      </c>
      <c r="G52" s="199" t="s">
        <v>69</v>
      </c>
    </row>
    <row r="53" spans="2:9" s="199" customFormat="1" x14ac:dyDescent="0.25">
      <c r="B53" s="199" t="s">
        <v>1065</v>
      </c>
      <c r="E53" s="218">
        <v>30</v>
      </c>
    </row>
    <row r="54" spans="2:9" s="199" customFormat="1" x14ac:dyDescent="0.25">
      <c r="B54" s="199" t="s">
        <v>1066</v>
      </c>
      <c r="E54" s="218">
        <v>30</v>
      </c>
    </row>
    <row r="56" spans="2:9" s="199" customFormat="1" x14ac:dyDescent="0.25">
      <c r="B56" s="199" t="s">
        <v>1067</v>
      </c>
      <c r="E56" s="199">
        <v>78</v>
      </c>
      <c r="G56" s="199" t="s">
        <v>1068</v>
      </c>
      <c r="I56" s="199" t="s">
        <v>1069</v>
      </c>
    </row>
    <row r="58" spans="2:9" s="199" customFormat="1" x14ac:dyDescent="0.25">
      <c r="B58" s="220" t="s">
        <v>1070</v>
      </c>
      <c r="C58" s="220"/>
      <c r="D58" s="220"/>
      <c r="E58" s="222">
        <v>3.7</v>
      </c>
      <c r="F58" s="220"/>
      <c r="G58" s="220" t="s">
        <v>149</v>
      </c>
      <c r="H58" s="220"/>
      <c r="I58" s="220" t="s">
        <v>860</v>
      </c>
    </row>
    <row r="59" spans="2:9" s="199" customFormat="1" x14ac:dyDescent="0.25">
      <c r="B59" s="199" t="s">
        <v>1071</v>
      </c>
      <c r="E59" s="223">
        <f>3512.66666666667/1000</f>
        <v>3.5126666666666702</v>
      </c>
      <c r="G59" s="199" t="s">
        <v>149</v>
      </c>
      <c r="I59" s="199" t="s">
        <v>862</v>
      </c>
    </row>
    <row r="60" spans="2:9" s="199" customFormat="1" x14ac:dyDescent="0.25">
      <c r="B60" s="199" t="s">
        <v>1072</v>
      </c>
      <c r="E60" s="199">
        <v>7.8</v>
      </c>
      <c r="G60" s="199" t="s">
        <v>149</v>
      </c>
      <c r="I60" s="199" t="s">
        <v>864</v>
      </c>
    </row>
    <row r="62" spans="2:9" s="199" customFormat="1" ht="18" x14ac:dyDescent="0.25">
      <c r="B62" s="224" t="s">
        <v>52</v>
      </c>
      <c r="C62" s="219"/>
      <c r="D62" s="225"/>
      <c r="E62" s="225">
        <f>70/1000</f>
        <v>7.0000000000000007E-2</v>
      </c>
      <c r="F62" s="219"/>
      <c r="G62" s="219" t="s">
        <v>1330</v>
      </c>
      <c r="H62" s="219"/>
      <c r="I62" s="226" t="s">
        <v>35</v>
      </c>
    </row>
    <row r="63" spans="2:9" s="199" customFormat="1" ht="18" x14ac:dyDescent="0.25">
      <c r="B63" s="219" t="s">
        <v>48</v>
      </c>
      <c r="C63" s="219"/>
      <c r="D63" s="219"/>
      <c r="E63" s="227">
        <f>(21.3538+8.9864)/2000</f>
        <v>1.5170099999999999E-2</v>
      </c>
      <c r="F63" s="219"/>
      <c r="G63" s="219" t="s">
        <v>1331</v>
      </c>
      <c r="H63" s="228"/>
      <c r="I63" s="226" t="s">
        <v>38</v>
      </c>
    </row>
    <row r="64" spans="2:9" s="199" customFormat="1" x14ac:dyDescent="0.25">
      <c r="B64" s="219" t="s">
        <v>53</v>
      </c>
      <c r="C64" s="219"/>
      <c r="D64" s="219"/>
      <c r="E64" s="225">
        <f>0.45/1000</f>
        <v>4.4999999999999999E-4</v>
      </c>
      <c r="F64" s="219"/>
      <c r="G64" s="219" t="s">
        <v>50</v>
      </c>
      <c r="H64" s="228"/>
      <c r="I64" s="226" t="s">
        <v>51</v>
      </c>
    </row>
    <row r="65" spans="2:27" s="199" customFormat="1" x14ac:dyDescent="0.25">
      <c r="B65" s="219" t="s">
        <v>1073</v>
      </c>
      <c r="C65" s="219"/>
      <c r="D65" s="219"/>
      <c r="E65" s="219">
        <v>3</v>
      </c>
      <c r="F65" s="219"/>
      <c r="G65" s="219" t="s">
        <v>43</v>
      </c>
      <c r="H65" s="228"/>
      <c r="I65" s="226"/>
    </row>
    <row r="67" spans="2:27" s="199" customFormat="1" x14ac:dyDescent="0.25">
      <c r="B67" s="224" t="s">
        <v>101</v>
      </c>
      <c r="E67" s="219">
        <f>0.514</f>
        <v>0.51400000000000001</v>
      </c>
      <c r="F67" s="219"/>
      <c r="G67" s="219" t="s">
        <v>185</v>
      </c>
      <c r="H67" s="168"/>
      <c r="I67" s="229" t="s">
        <v>184</v>
      </c>
    </row>
    <row r="68" spans="2:27" s="199" customFormat="1" ht="18" x14ac:dyDescent="0.25">
      <c r="B68" s="224" t="s">
        <v>48</v>
      </c>
      <c r="E68" s="227">
        <f>(21.3538+8.9864)/2000</f>
        <v>1.5170099999999999E-2</v>
      </c>
      <c r="F68" s="219"/>
      <c r="G68" s="219" t="s">
        <v>1331</v>
      </c>
      <c r="H68" s="228"/>
      <c r="I68" s="230" t="s">
        <v>38</v>
      </c>
    </row>
    <row r="69" spans="2:27" s="199" customFormat="1" x14ac:dyDescent="0.25">
      <c r="B69" s="224" t="s">
        <v>49</v>
      </c>
      <c r="E69" s="219">
        <f>3/1000</f>
        <v>3.0000000000000001E-3</v>
      </c>
      <c r="F69" s="219"/>
      <c r="G69" s="219" t="s">
        <v>50</v>
      </c>
      <c r="H69" s="228"/>
      <c r="I69" s="230" t="s">
        <v>51</v>
      </c>
    </row>
    <row r="70" spans="2:27" s="199" customFormat="1" x14ac:dyDescent="0.25">
      <c r="B70" s="224" t="s">
        <v>1074</v>
      </c>
      <c r="E70" s="219">
        <v>5</v>
      </c>
      <c r="F70" s="219" t="s">
        <v>336</v>
      </c>
      <c r="G70" s="219" t="s">
        <v>43</v>
      </c>
      <c r="H70" s="228"/>
      <c r="I70" s="230"/>
    </row>
    <row r="71" spans="2:27" s="199" customFormat="1" x14ac:dyDescent="0.25">
      <c r="B71" s="224"/>
      <c r="E71" s="219"/>
      <c r="F71" s="219"/>
      <c r="G71" s="219"/>
      <c r="H71" s="228"/>
      <c r="I71" s="230"/>
    </row>
    <row r="73" spans="2:27" s="199" customFormat="1" x14ac:dyDescent="0.25">
      <c r="B73" s="209" t="s">
        <v>1049</v>
      </c>
      <c r="C73" s="209"/>
      <c r="D73" s="209"/>
      <c r="E73" s="209"/>
      <c r="F73" s="209"/>
      <c r="G73" s="209"/>
      <c r="H73" s="209"/>
      <c r="I73" s="209"/>
    </row>
    <row r="76" spans="2:27" s="199" customFormat="1" ht="68.099999999999994" customHeight="1" x14ac:dyDescent="0.25">
      <c r="B76" s="210" t="s">
        <v>554</v>
      </c>
      <c r="C76" s="211" t="s">
        <v>1075</v>
      </c>
      <c r="D76" s="211"/>
      <c r="E76" s="211"/>
      <c r="F76" s="211"/>
      <c r="G76" s="211"/>
      <c r="H76" s="211"/>
    </row>
    <row r="77" spans="2:27" s="199" customFormat="1" x14ac:dyDescent="0.25">
      <c r="B77" s="212"/>
      <c r="C77" s="212"/>
    </row>
    <row r="78" spans="2:27" s="199" customFormat="1" ht="183" customHeight="1" x14ac:dyDescent="0.25">
      <c r="B78" s="146" t="s">
        <v>547</v>
      </c>
      <c r="C78" s="211" t="s">
        <v>1076</v>
      </c>
      <c r="D78" s="211"/>
      <c r="E78" s="211"/>
      <c r="F78" s="211"/>
      <c r="G78" s="211"/>
      <c r="H78" s="211"/>
    </row>
    <row r="80" spans="2:27" s="199" customFormat="1" x14ac:dyDescent="0.25">
      <c r="B80" s="213" t="s">
        <v>26</v>
      </c>
      <c r="C80" s="213">
        <f>D$14</f>
        <v>2021</v>
      </c>
      <c r="D80" s="213">
        <f t="shared" ref="D80:AA80" si="5">E$14</f>
        <v>2022</v>
      </c>
      <c r="E80" s="213">
        <f t="shared" si="5"/>
        <v>2023</v>
      </c>
      <c r="F80" s="213">
        <f t="shared" si="5"/>
        <v>2024</v>
      </c>
      <c r="G80" s="213">
        <f t="shared" si="5"/>
        <v>2025</v>
      </c>
      <c r="H80" s="213">
        <f t="shared" si="5"/>
        <v>2026</v>
      </c>
      <c r="I80" s="213">
        <f t="shared" si="5"/>
        <v>2027</v>
      </c>
      <c r="J80" s="213">
        <f t="shared" si="5"/>
        <v>2028</v>
      </c>
      <c r="K80" s="213">
        <f t="shared" si="5"/>
        <v>2029</v>
      </c>
      <c r="L80" s="213">
        <f t="shared" si="5"/>
        <v>2030</v>
      </c>
      <c r="M80" s="213">
        <f t="shared" si="5"/>
        <v>2031</v>
      </c>
      <c r="N80" s="213">
        <f t="shared" si="5"/>
        <v>2032</v>
      </c>
      <c r="O80" s="213">
        <f t="shared" si="5"/>
        <v>2033</v>
      </c>
      <c r="P80" s="213">
        <f t="shared" si="5"/>
        <v>2034</v>
      </c>
      <c r="Q80" s="213">
        <f t="shared" si="5"/>
        <v>2035</v>
      </c>
      <c r="R80" s="213">
        <f t="shared" si="5"/>
        <v>2036</v>
      </c>
      <c r="S80" s="213">
        <f t="shared" si="5"/>
        <v>2037</v>
      </c>
      <c r="T80" s="213">
        <f t="shared" si="5"/>
        <v>2038</v>
      </c>
      <c r="U80" s="213">
        <f t="shared" si="5"/>
        <v>2039</v>
      </c>
      <c r="V80" s="213">
        <f t="shared" si="5"/>
        <v>2040</v>
      </c>
      <c r="W80" s="213" t="str">
        <f t="shared" si="5"/>
        <v/>
      </c>
      <c r="X80" s="213" t="str">
        <f t="shared" si="5"/>
        <v/>
      </c>
      <c r="Y80" s="213" t="str">
        <f t="shared" si="5"/>
        <v/>
      </c>
      <c r="Z80" s="213" t="str">
        <f t="shared" si="5"/>
        <v/>
      </c>
      <c r="AA80" s="213" t="str">
        <f t="shared" si="5"/>
        <v/>
      </c>
    </row>
    <row r="81" spans="2:27" s="199" customFormat="1" x14ac:dyDescent="0.25">
      <c r="B81" s="214" t="s">
        <v>157</v>
      </c>
      <c r="C81" s="215">
        <f>IF(C80="","",0)</f>
        <v>0</v>
      </c>
      <c r="D81" s="215">
        <f t="shared" ref="D81:AA81" si="6">IF(D80="","",0)</f>
        <v>0</v>
      </c>
      <c r="E81" s="215">
        <f t="shared" si="6"/>
        <v>0</v>
      </c>
      <c r="F81" s="215">
        <f t="shared" si="6"/>
        <v>0</v>
      </c>
      <c r="G81" s="215">
        <f t="shared" si="6"/>
        <v>0</v>
      </c>
      <c r="H81" s="215">
        <f t="shared" si="6"/>
        <v>0</v>
      </c>
      <c r="I81" s="215">
        <f t="shared" si="6"/>
        <v>0</v>
      </c>
      <c r="J81" s="215">
        <f t="shared" si="6"/>
        <v>0</v>
      </c>
      <c r="K81" s="215">
        <f t="shared" si="6"/>
        <v>0</v>
      </c>
      <c r="L81" s="215">
        <f t="shared" si="6"/>
        <v>0</v>
      </c>
      <c r="M81" s="215">
        <f t="shared" si="6"/>
        <v>0</v>
      </c>
      <c r="N81" s="215">
        <f t="shared" si="6"/>
        <v>0</v>
      </c>
      <c r="O81" s="215">
        <f t="shared" si="6"/>
        <v>0</v>
      </c>
      <c r="P81" s="215">
        <f t="shared" si="6"/>
        <v>0</v>
      </c>
      <c r="Q81" s="215">
        <f t="shared" si="6"/>
        <v>0</v>
      </c>
      <c r="R81" s="215">
        <f t="shared" si="6"/>
        <v>0</v>
      </c>
      <c r="S81" s="215">
        <f t="shared" si="6"/>
        <v>0</v>
      </c>
      <c r="T81" s="215">
        <f t="shared" si="6"/>
        <v>0</v>
      </c>
      <c r="U81" s="215">
        <f t="shared" si="6"/>
        <v>0</v>
      </c>
      <c r="V81" s="215">
        <f t="shared" si="6"/>
        <v>0</v>
      </c>
      <c r="W81" s="215" t="str">
        <f t="shared" si="6"/>
        <v/>
      </c>
      <c r="X81" s="215" t="str">
        <f t="shared" si="6"/>
        <v/>
      </c>
      <c r="Y81" s="215" t="str">
        <f t="shared" si="6"/>
        <v/>
      </c>
      <c r="Z81" s="215" t="str">
        <f t="shared" si="6"/>
        <v/>
      </c>
      <c r="AA81" s="215" t="str">
        <f t="shared" si="6"/>
        <v/>
      </c>
    </row>
    <row r="82" spans="2:27" s="199" customFormat="1" x14ac:dyDescent="0.25">
      <c r="B82" s="214" t="s">
        <v>163</v>
      </c>
      <c r="C82" s="215">
        <f t="shared" ref="C82:AA82" si="7">IF(C80="","",$E$87*$E$93*$E$95*365*$C$5/1000000+$E$118*$E$89*$C$5/1000000+($E$114+$E$115)*365*$C$5/1000000+$E$88*$E$119*$C$5/1000000)</f>
        <v>26.314117667926382</v>
      </c>
      <c r="D82" s="215">
        <f t="shared" si="7"/>
        <v>26.314117667926382</v>
      </c>
      <c r="E82" s="215">
        <f t="shared" si="7"/>
        <v>26.314117667926382</v>
      </c>
      <c r="F82" s="215">
        <f t="shared" si="7"/>
        <v>26.314117667926382</v>
      </c>
      <c r="G82" s="215">
        <f t="shared" si="7"/>
        <v>26.314117667926382</v>
      </c>
      <c r="H82" s="215">
        <f t="shared" si="7"/>
        <v>26.314117667926382</v>
      </c>
      <c r="I82" s="215">
        <f t="shared" si="7"/>
        <v>26.314117667926382</v>
      </c>
      <c r="J82" s="215">
        <f t="shared" si="7"/>
        <v>26.314117667926382</v>
      </c>
      <c r="K82" s="215">
        <f t="shared" si="7"/>
        <v>26.314117667926382</v>
      </c>
      <c r="L82" s="215">
        <f t="shared" si="7"/>
        <v>26.314117667926382</v>
      </c>
      <c r="M82" s="215">
        <f t="shared" si="7"/>
        <v>26.314117667926382</v>
      </c>
      <c r="N82" s="215">
        <f t="shared" si="7"/>
        <v>26.314117667926382</v>
      </c>
      <c r="O82" s="215">
        <f t="shared" si="7"/>
        <v>26.314117667926382</v>
      </c>
      <c r="P82" s="215">
        <f t="shared" si="7"/>
        <v>26.314117667926382</v>
      </c>
      <c r="Q82" s="215">
        <f t="shared" si="7"/>
        <v>26.314117667926382</v>
      </c>
      <c r="R82" s="215">
        <f t="shared" si="7"/>
        <v>26.314117667926382</v>
      </c>
      <c r="S82" s="215">
        <f t="shared" si="7"/>
        <v>26.314117667926382</v>
      </c>
      <c r="T82" s="215">
        <f t="shared" si="7"/>
        <v>26.314117667926382</v>
      </c>
      <c r="U82" s="215">
        <f t="shared" si="7"/>
        <v>26.314117667926382</v>
      </c>
      <c r="V82" s="215">
        <f t="shared" si="7"/>
        <v>26.314117667926382</v>
      </c>
      <c r="W82" s="215" t="str">
        <f t="shared" si="7"/>
        <v/>
      </c>
      <c r="X82" s="215" t="str">
        <f t="shared" si="7"/>
        <v/>
      </c>
      <c r="Y82" s="215" t="str">
        <f t="shared" si="7"/>
        <v/>
      </c>
      <c r="Z82" s="215" t="str">
        <f t="shared" si="7"/>
        <v/>
      </c>
      <c r="AA82" s="215" t="str">
        <f t="shared" si="7"/>
        <v/>
      </c>
    </row>
    <row r="83" spans="2:27" s="199" customFormat="1" x14ac:dyDescent="0.25">
      <c r="B83" s="214" t="s">
        <v>150</v>
      </c>
      <c r="C83" s="215">
        <f>IF(C80="","",C82-C81)</f>
        <v>26.314117667926382</v>
      </c>
      <c r="D83" s="215">
        <f t="shared" ref="D83:AA83" si="8">IF(D80="","",D82-D81)</f>
        <v>26.314117667926382</v>
      </c>
      <c r="E83" s="215">
        <f t="shared" si="8"/>
        <v>26.314117667926382</v>
      </c>
      <c r="F83" s="215">
        <f t="shared" si="8"/>
        <v>26.314117667926382</v>
      </c>
      <c r="G83" s="215">
        <f t="shared" si="8"/>
        <v>26.314117667926382</v>
      </c>
      <c r="H83" s="215">
        <f t="shared" si="8"/>
        <v>26.314117667926382</v>
      </c>
      <c r="I83" s="215">
        <f t="shared" si="8"/>
        <v>26.314117667926382</v>
      </c>
      <c r="J83" s="215">
        <f t="shared" si="8"/>
        <v>26.314117667926382</v>
      </c>
      <c r="K83" s="215">
        <f t="shared" si="8"/>
        <v>26.314117667926382</v>
      </c>
      <c r="L83" s="215">
        <f t="shared" si="8"/>
        <v>26.314117667926382</v>
      </c>
      <c r="M83" s="215">
        <f t="shared" si="8"/>
        <v>26.314117667926382</v>
      </c>
      <c r="N83" s="215">
        <f t="shared" si="8"/>
        <v>26.314117667926382</v>
      </c>
      <c r="O83" s="215">
        <f t="shared" si="8"/>
        <v>26.314117667926382</v>
      </c>
      <c r="P83" s="215">
        <f t="shared" si="8"/>
        <v>26.314117667926382</v>
      </c>
      <c r="Q83" s="215">
        <f t="shared" si="8"/>
        <v>26.314117667926382</v>
      </c>
      <c r="R83" s="215">
        <f t="shared" si="8"/>
        <v>26.314117667926382</v>
      </c>
      <c r="S83" s="215">
        <f t="shared" si="8"/>
        <v>26.314117667926382</v>
      </c>
      <c r="T83" s="215">
        <f t="shared" si="8"/>
        <v>26.314117667926382</v>
      </c>
      <c r="U83" s="215">
        <f t="shared" si="8"/>
        <v>26.314117667926382</v>
      </c>
      <c r="V83" s="215">
        <f t="shared" si="8"/>
        <v>26.314117667926382</v>
      </c>
      <c r="W83" s="215" t="str">
        <f t="shared" si="8"/>
        <v/>
      </c>
      <c r="X83" s="215" t="str">
        <f t="shared" si="8"/>
        <v/>
      </c>
      <c r="Y83" s="215" t="str">
        <f t="shared" si="8"/>
        <v/>
      </c>
      <c r="Z83" s="215" t="str">
        <f t="shared" si="8"/>
        <v/>
      </c>
      <c r="AA83" s="215" t="str">
        <f t="shared" si="8"/>
        <v/>
      </c>
    </row>
    <row r="85" spans="2:27" s="199" customFormat="1" x14ac:dyDescent="0.25">
      <c r="B85" s="216"/>
      <c r="C85" s="216"/>
      <c r="D85" s="217"/>
      <c r="E85" s="216" t="s">
        <v>19</v>
      </c>
      <c r="F85" s="217"/>
      <c r="G85" s="216" t="s">
        <v>4</v>
      </c>
      <c r="H85" s="217"/>
      <c r="I85" s="216" t="s">
        <v>83</v>
      </c>
    </row>
    <row r="87" spans="2:27" s="199" customFormat="1" x14ac:dyDescent="0.25">
      <c r="B87" s="199" t="s">
        <v>1053</v>
      </c>
      <c r="E87" s="219">
        <f>E41</f>
        <v>10</v>
      </c>
      <c r="I87" s="199" t="s">
        <v>1201</v>
      </c>
    </row>
    <row r="88" spans="2:27" s="199" customFormat="1" x14ac:dyDescent="0.25">
      <c r="B88" s="199" t="s">
        <v>1077</v>
      </c>
      <c r="E88" s="219">
        <f>E54</f>
        <v>30</v>
      </c>
      <c r="I88" s="199" t="s">
        <v>1201</v>
      </c>
    </row>
    <row r="89" spans="2:27" s="199" customFormat="1" x14ac:dyDescent="0.25">
      <c r="B89" s="199" t="s">
        <v>1078</v>
      </c>
      <c r="E89" s="219">
        <f>E53</f>
        <v>30</v>
      </c>
      <c r="I89" s="199" t="s">
        <v>1201</v>
      </c>
    </row>
    <row r="91" spans="2:27" s="199" customFormat="1" x14ac:dyDescent="0.25">
      <c r="B91" s="231" t="s">
        <v>1079</v>
      </c>
    </row>
    <row r="93" spans="2:27" s="199" customFormat="1" x14ac:dyDescent="0.25">
      <c r="B93" s="199" t="s">
        <v>1080</v>
      </c>
      <c r="E93" s="218">
        <v>8</v>
      </c>
    </row>
    <row r="94" spans="2:27" s="199" customFormat="1" x14ac:dyDescent="0.25">
      <c r="B94" s="199" t="s">
        <v>1081</v>
      </c>
      <c r="E94" s="218">
        <v>8</v>
      </c>
    </row>
    <row r="95" spans="2:27" s="199" customFormat="1" x14ac:dyDescent="0.25">
      <c r="B95" s="199" t="s">
        <v>1082</v>
      </c>
      <c r="E95" s="223">
        <f>E96*E102/E101*60/3.6</f>
        <v>0.77500000000000013</v>
      </c>
      <c r="G95" s="199" t="s">
        <v>930</v>
      </c>
    </row>
    <row r="96" spans="2:27" s="199" customFormat="1" ht="16.5" customHeight="1" x14ac:dyDescent="0.25">
      <c r="B96" s="220" t="s">
        <v>1083</v>
      </c>
      <c r="C96" s="220"/>
      <c r="D96" s="220"/>
      <c r="E96" s="232">
        <v>9.2999999999999999E-2</v>
      </c>
      <c r="F96" s="220"/>
      <c r="G96" s="220" t="s">
        <v>1084</v>
      </c>
      <c r="H96" s="220"/>
      <c r="I96" s="211" t="s">
        <v>1085</v>
      </c>
      <c r="J96" s="211"/>
      <c r="K96" s="211"/>
      <c r="L96" s="211"/>
      <c r="M96" s="211"/>
      <c r="N96" s="211"/>
      <c r="O96" s="211"/>
      <c r="P96" s="211"/>
    </row>
    <row r="97" spans="2:16" s="199" customFormat="1" x14ac:dyDescent="0.25">
      <c r="B97" s="220"/>
      <c r="C97" s="220"/>
      <c r="D97" s="220"/>
      <c r="E97" s="220"/>
      <c r="F97" s="220"/>
      <c r="G97" s="220"/>
      <c r="H97" s="220"/>
      <c r="I97" s="211"/>
      <c r="J97" s="211"/>
      <c r="K97" s="211"/>
      <c r="L97" s="211"/>
      <c r="M97" s="211"/>
      <c r="N97" s="211"/>
      <c r="O97" s="211"/>
      <c r="P97" s="211"/>
    </row>
    <row r="98" spans="2:16" s="199" customFormat="1" x14ac:dyDescent="0.25">
      <c r="B98" s="220"/>
      <c r="C98" s="220"/>
      <c r="D98" s="220"/>
      <c r="E98" s="220"/>
      <c r="F98" s="220"/>
      <c r="G98" s="220"/>
      <c r="H98" s="220"/>
      <c r="I98" s="211"/>
      <c r="J98" s="211"/>
      <c r="K98" s="211"/>
      <c r="L98" s="211"/>
      <c r="M98" s="211"/>
      <c r="N98" s="211"/>
      <c r="O98" s="211"/>
      <c r="P98" s="211"/>
    </row>
    <row r="99" spans="2:16" s="199" customFormat="1" x14ac:dyDescent="0.25">
      <c r="B99" s="220"/>
      <c r="C99" s="220"/>
      <c r="D99" s="220"/>
      <c r="E99" s="220"/>
      <c r="F99" s="220"/>
      <c r="G99" s="220"/>
      <c r="H99" s="220"/>
      <c r="I99" s="211"/>
      <c r="J99" s="211"/>
      <c r="K99" s="211"/>
      <c r="L99" s="211"/>
      <c r="M99" s="211"/>
      <c r="N99" s="211"/>
      <c r="O99" s="211"/>
      <c r="P99" s="211"/>
    </row>
    <row r="100" spans="2:16" s="199" customFormat="1" x14ac:dyDescent="0.25">
      <c r="B100" s="212"/>
      <c r="C100" s="212"/>
      <c r="D100" s="212"/>
      <c r="F100" s="212"/>
      <c r="G100" s="212"/>
      <c r="H100" s="212"/>
      <c r="I100" s="212"/>
    </row>
    <row r="101" spans="2:16" s="199" customFormat="1" x14ac:dyDescent="0.25">
      <c r="B101" s="220" t="s">
        <v>1086</v>
      </c>
      <c r="C101" s="220"/>
      <c r="D101" s="220"/>
      <c r="E101" s="221">
        <v>50</v>
      </c>
      <c r="F101" s="220"/>
      <c r="G101" s="220" t="s">
        <v>1087</v>
      </c>
      <c r="H101" s="220"/>
      <c r="I101" s="220" t="s">
        <v>1088</v>
      </c>
    </row>
    <row r="102" spans="2:16" s="199" customFormat="1" x14ac:dyDescent="0.25">
      <c r="B102" s="220" t="s">
        <v>1089</v>
      </c>
      <c r="C102" s="220"/>
      <c r="D102" s="220"/>
      <c r="E102" s="221">
        <v>25</v>
      </c>
      <c r="F102" s="220"/>
      <c r="G102" s="220" t="s">
        <v>0</v>
      </c>
      <c r="H102" s="220"/>
      <c r="I102" s="220" t="s">
        <v>1090</v>
      </c>
    </row>
    <row r="103" spans="2:16" s="199" customFormat="1" x14ac:dyDescent="0.25">
      <c r="B103" s="220"/>
      <c r="C103" s="220"/>
      <c r="D103" s="220"/>
      <c r="E103" s="220"/>
      <c r="F103" s="220"/>
      <c r="G103" s="220"/>
      <c r="H103" s="220"/>
      <c r="I103" s="199" t="s">
        <v>1091</v>
      </c>
    </row>
    <row r="104" spans="2:16" s="199" customFormat="1" x14ac:dyDescent="0.25">
      <c r="B104" s="220"/>
      <c r="C104" s="220"/>
      <c r="D104" s="220"/>
      <c r="E104" s="220"/>
      <c r="F104" s="220"/>
      <c r="G104" s="220"/>
      <c r="H104" s="220"/>
      <c r="I104" s="220" t="s">
        <v>1092</v>
      </c>
    </row>
    <row r="105" spans="2:16" s="199" customFormat="1" x14ac:dyDescent="0.25">
      <c r="B105" s="220"/>
      <c r="C105" s="220"/>
      <c r="D105" s="220"/>
      <c r="E105" s="220"/>
      <c r="F105" s="220"/>
      <c r="G105" s="220"/>
      <c r="H105" s="220"/>
      <c r="I105" s="194" t="s">
        <v>1093</v>
      </c>
    </row>
    <row r="106" spans="2:16" s="199" customFormat="1" x14ac:dyDescent="0.25">
      <c r="B106" s="220"/>
      <c r="C106" s="220"/>
      <c r="D106" s="220"/>
      <c r="E106" s="220"/>
      <c r="F106" s="220"/>
      <c r="G106" s="220"/>
      <c r="H106" s="220"/>
    </row>
    <row r="107" spans="2:16" s="199" customFormat="1" x14ac:dyDescent="0.25">
      <c r="B107" s="231" t="s">
        <v>1094</v>
      </c>
      <c r="C107" s="220"/>
      <c r="D107" s="220"/>
      <c r="E107" s="220"/>
      <c r="F107" s="220"/>
      <c r="G107" s="220"/>
      <c r="H107" s="220"/>
      <c r="I107" s="220"/>
    </row>
    <row r="108" spans="2:16" s="199" customFormat="1" x14ac:dyDescent="0.25">
      <c r="B108" s="220"/>
      <c r="C108" s="220"/>
      <c r="D108" s="220"/>
      <c r="E108" s="220"/>
      <c r="F108" s="220"/>
      <c r="G108" s="220"/>
      <c r="H108" s="220"/>
      <c r="I108" s="220"/>
    </row>
    <row r="109" spans="2:16" s="199" customFormat="1" x14ac:dyDescent="0.25">
      <c r="B109" s="220" t="s">
        <v>1095</v>
      </c>
      <c r="C109" s="220"/>
      <c r="D109" s="220"/>
      <c r="E109" s="233">
        <f>E110*E87*E94</f>
        <v>2078.4</v>
      </c>
      <c r="F109" s="220"/>
      <c r="G109" s="220" t="s">
        <v>1096</v>
      </c>
      <c r="H109" s="220"/>
      <c r="I109" s="220" t="s">
        <v>1097</v>
      </c>
    </row>
    <row r="110" spans="2:16" s="199" customFormat="1" x14ac:dyDescent="0.25">
      <c r="B110" s="220" t="s">
        <v>1098</v>
      </c>
      <c r="C110" s="220"/>
      <c r="D110" s="220"/>
      <c r="E110" s="222">
        <f>E111*E101*60/1000</f>
        <v>25.98</v>
      </c>
      <c r="F110" s="220"/>
      <c r="G110" s="220" t="s">
        <v>1096</v>
      </c>
      <c r="H110" s="220"/>
      <c r="I110" s="220" t="s">
        <v>1099</v>
      </c>
    </row>
    <row r="111" spans="2:16" s="199" customFormat="1" x14ac:dyDescent="0.25">
      <c r="B111" s="220" t="s">
        <v>1100</v>
      </c>
      <c r="C111" s="220"/>
      <c r="D111" s="220"/>
      <c r="E111" s="220">
        <v>8.66</v>
      </c>
      <c r="F111" s="220"/>
      <c r="G111" s="220" t="s">
        <v>1101</v>
      </c>
      <c r="H111" s="220"/>
      <c r="I111" s="220" t="s">
        <v>1102</v>
      </c>
    </row>
    <row r="112" spans="2:16" s="199" customFormat="1" x14ac:dyDescent="0.25">
      <c r="B112" s="220"/>
      <c r="C112" s="220"/>
      <c r="D112" s="220"/>
      <c r="E112" s="220"/>
      <c r="F112" s="220"/>
      <c r="G112" s="220"/>
      <c r="H112" s="220"/>
      <c r="I112" s="180" t="s">
        <v>1103</v>
      </c>
    </row>
    <row r="113" spans="2:9" s="199" customFormat="1" x14ac:dyDescent="0.25">
      <c r="B113" s="220"/>
      <c r="C113" s="220"/>
      <c r="D113" s="220"/>
      <c r="E113" s="220"/>
      <c r="F113" s="220"/>
      <c r="G113" s="220"/>
      <c r="H113" s="220"/>
      <c r="I113" s="180"/>
    </row>
    <row r="114" spans="2:9" s="199" customFormat="1" x14ac:dyDescent="0.25">
      <c r="B114" s="220" t="s">
        <v>1104</v>
      </c>
      <c r="C114" s="220"/>
      <c r="D114" s="220"/>
      <c r="E114" s="233">
        <f>E109*E117</f>
        <v>118.46880000000002</v>
      </c>
      <c r="F114" s="220"/>
      <c r="G114" s="220" t="s">
        <v>930</v>
      </c>
      <c r="H114" s="220"/>
      <c r="I114" s="199" t="s">
        <v>1105</v>
      </c>
    </row>
    <row r="115" spans="2:9" s="199" customFormat="1" x14ac:dyDescent="0.25">
      <c r="B115" s="220" t="s">
        <v>1106</v>
      </c>
      <c r="C115" s="220"/>
      <c r="D115" s="220"/>
      <c r="E115" s="233">
        <f>E109*E117</f>
        <v>118.46880000000002</v>
      </c>
      <c r="F115" s="220"/>
      <c r="G115" s="220" t="s">
        <v>930</v>
      </c>
      <c r="H115" s="220"/>
      <c r="I115" s="199" t="s">
        <v>1105</v>
      </c>
    </row>
    <row r="116" spans="2:9" s="199" customFormat="1" x14ac:dyDescent="0.25">
      <c r="B116" s="220"/>
      <c r="C116" s="220"/>
      <c r="D116" s="220"/>
      <c r="E116" s="220"/>
      <c r="F116" s="220"/>
      <c r="G116" s="220"/>
      <c r="H116" s="220"/>
      <c r="I116" s="220"/>
    </row>
    <row r="117" spans="2:9" s="199" customFormat="1" ht="15.75" thickBot="1" x14ac:dyDescent="0.3">
      <c r="B117" s="234" t="s">
        <v>31</v>
      </c>
      <c r="E117" s="235">
        <v>5.7000000000000002E-2</v>
      </c>
      <c r="F117" s="219"/>
      <c r="G117" s="234" t="s">
        <v>2</v>
      </c>
      <c r="H117" s="168"/>
      <c r="I117" s="219" t="s">
        <v>168</v>
      </c>
    </row>
    <row r="118" spans="2:9" s="199" customFormat="1" ht="15.75" thickBot="1" x14ac:dyDescent="0.3">
      <c r="B118" s="234" t="s">
        <v>1107</v>
      </c>
      <c r="E118" s="235">
        <v>150</v>
      </c>
      <c r="F118" s="219"/>
      <c r="G118" s="234" t="s">
        <v>3</v>
      </c>
      <c r="H118" s="219"/>
      <c r="I118" s="195" t="s">
        <v>966</v>
      </c>
    </row>
    <row r="119" spans="2:9" s="199" customFormat="1" ht="15.75" thickBot="1" x14ac:dyDescent="0.3">
      <c r="B119" s="234" t="s">
        <v>1108</v>
      </c>
      <c r="E119" s="235">
        <v>12</v>
      </c>
      <c r="F119" s="219"/>
      <c r="G119" s="234" t="s">
        <v>3</v>
      </c>
      <c r="H119" s="219"/>
      <c r="I119" s="195" t="s">
        <v>966</v>
      </c>
    </row>
    <row r="120" spans="2:9" s="199" customFormat="1" x14ac:dyDescent="0.25">
      <c r="B120" s="234"/>
      <c r="E120" s="235"/>
      <c r="F120" s="219"/>
      <c r="G120" s="234"/>
      <c r="H120" s="219"/>
      <c r="I120" s="196"/>
    </row>
    <row r="121" spans="2:9" s="199" customFormat="1" x14ac:dyDescent="0.25">
      <c r="B121" s="220"/>
      <c r="C121" s="220"/>
      <c r="D121" s="220"/>
      <c r="E121" s="236"/>
      <c r="F121" s="220"/>
      <c r="G121" s="220"/>
      <c r="H121" s="220"/>
      <c r="I121" s="220"/>
    </row>
    <row r="122" spans="2:9" s="199" customFormat="1" x14ac:dyDescent="0.25">
      <c r="B122" s="209" t="s">
        <v>1109</v>
      </c>
      <c r="C122" s="209"/>
      <c r="D122" s="209"/>
      <c r="E122" s="209"/>
      <c r="F122" s="209"/>
      <c r="G122" s="209"/>
      <c r="H122" s="209"/>
      <c r="I122" s="209"/>
    </row>
    <row r="124" spans="2:9" s="199" customFormat="1" ht="219.6" customHeight="1" x14ac:dyDescent="0.25">
      <c r="B124" s="210" t="s">
        <v>554</v>
      </c>
      <c r="C124" s="211" t="s">
        <v>1110</v>
      </c>
      <c r="D124" s="211"/>
      <c r="E124" s="211"/>
      <c r="F124" s="211"/>
      <c r="G124" s="211"/>
      <c r="H124" s="211"/>
    </row>
    <row r="125" spans="2:9" s="199" customFormat="1" x14ac:dyDescent="0.25">
      <c r="B125" s="212"/>
      <c r="C125" s="212"/>
    </row>
    <row r="126" spans="2:9" s="199" customFormat="1" x14ac:dyDescent="0.25">
      <c r="B126" s="212"/>
      <c r="C126" s="212"/>
    </row>
    <row r="127" spans="2:9" s="199" customFormat="1" ht="43.5" customHeight="1" x14ac:dyDescent="0.25">
      <c r="B127" s="146" t="s">
        <v>547</v>
      </c>
      <c r="C127" s="211" t="s">
        <v>1111</v>
      </c>
      <c r="D127" s="211"/>
      <c r="E127" s="211"/>
      <c r="F127" s="211"/>
      <c r="G127" s="211"/>
    </row>
    <row r="128" spans="2:9" s="199" customFormat="1" x14ac:dyDescent="0.25">
      <c r="B128" s="212"/>
      <c r="C128" s="212"/>
    </row>
    <row r="130" spans="2:27" s="199" customFormat="1" x14ac:dyDescent="0.25">
      <c r="B130" s="237" t="s">
        <v>29</v>
      </c>
      <c r="C130" s="237"/>
      <c r="D130" s="237"/>
      <c r="E130" s="237"/>
      <c r="F130" s="237"/>
      <c r="G130" s="237"/>
      <c r="H130" s="237"/>
      <c r="I130" s="237"/>
      <c r="J130" s="237"/>
      <c r="K130" s="237"/>
      <c r="L130" s="237"/>
    </row>
    <row r="131" spans="2:27" s="199" customFormat="1" x14ac:dyDescent="0.25">
      <c r="B131" s="238" t="s">
        <v>89</v>
      </c>
      <c r="C131" s="239"/>
      <c r="D131" s="239"/>
      <c r="E131" s="239"/>
      <c r="F131" s="239"/>
      <c r="G131" s="239"/>
      <c r="H131" s="239"/>
      <c r="I131" s="239"/>
      <c r="J131" s="239"/>
      <c r="K131" s="239"/>
      <c r="L131" s="239"/>
    </row>
    <row r="132" spans="2:27" s="199" customFormat="1" x14ac:dyDescent="0.25">
      <c r="B132" s="240" t="s">
        <v>26</v>
      </c>
      <c r="C132" s="240">
        <f>D$14</f>
        <v>2021</v>
      </c>
      <c r="D132" s="240">
        <f t="shared" ref="D132:AA132" si="9">E$14</f>
        <v>2022</v>
      </c>
      <c r="E132" s="240">
        <f t="shared" si="9"/>
        <v>2023</v>
      </c>
      <c r="F132" s="240">
        <f t="shared" si="9"/>
        <v>2024</v>
      </c>
      <c r="G132" s="240">
        <f t="shared" si="9"/>
        <v>2025</v>
      </c>
      <c r="H132" s="240">
        <f t="shared" si="9"/>
        <v>2026</v>
      </c>
      <c r="I132" s="240">
        <f t="shared" si="9"/>
        <v>2027</v>
      </c>
      <c r="J132" s="240">
        <f t="shared" si="9"/>
        <v>2028</v>
      </c>
      <c r="K132" s="240">
        <f t="shared" si="9"/>
        <v>2029</v>
      </c>
      <c r="L132" s="240">
        <f t="shared" si="9"/>
        <v>2030</v>
      </c>
      <c r="M132" s="240">
        <f t="shared" si="9"/>
        <v>2031</v>
      </c>
      <c r="N132" s="240">
        <f t="shared" si="9"/>
        <v>2032</v>
      </c>
      <c r="O132" s="240">
        <f t="shared" si="9"/>
        <v>2033</v>
      </c>
      <c r="P132" s="240">
        <f t="shared" si="9"/>
        <v>2034</v>
      </c>
      <c r="Q132" s="240">
        <f t="shared" si="9"/>
        <v>2035</v>
      </c>
      <c r="R132" s="240">
        <f t="shared" si="9"/>
        <v>2036</v>
      </c>
      <c r="S132" s="240">
        <f t="shared" si="9"/>
        <v>2037</v>
      </c>
      <c r="T132" s="240">
        <f t="shared" si="9"/>
        <v>2038</v>
      </c>
      <c r="U132" s="240">
        <f t="shared" si="9"/>
        <v>2039</v>
      </c>
      <c r="V132" s="240">
        <f t="shared" si="9"/>
        <v>2040</v>
      </c>
      <c r="W132" s="240" t="str">
        <f t="shared" si="9"/>
        <v/>
      </c>
      <c r="X132" s="240" t="str">
        <f t="shared" si="9"/>
        <v/>
      </c>
      <c r="Y132" s="240" t="str">
        <f t="shared" si="9"/>
        <v/>
      </c>
      <c r="Z132" s="240" t="str">
        <f t="shared" si="9"/>
        <v/>
      </c>
      <c r="AA132" s="240" t="str">
        <f t="shared" si="9"/>
        <v/>
      </c>
    </row>
    <row r="133" spans="2:27" s="199" customFormat="1" x14ac:dyDescent="0.25">
      <c r="B133" s="214" t="s">
        <v>157</v>
      </c>
      <c r="C133" s="215">
        <f>IF(C132="","",$E$143*100*$E$137/100*$E$145)</f>
        <v>112750</v>
      </c>
      <c r="D133" s="215">
        <f t="shared" ref="D133:AA133" si="10">IF(D132="","",$E$143*100*$E$137/100*$E$145)</f>
        <v>112750</v>
      </c>
      <c r="E133" s="215">
        <f t="shared" si="10"/>
        <v>112750</v>
      </c>
      <c r="F133" s="215">
        <f t="shared" si="10"/>
        <v>112750</v>
      </c>
      <c r="G133" s="215">
        <f t="shared" si="10"/>
        <v>112750</v>
      </c>
      <c r="H133" s="215">
        <f t="shared" si="10"/>
        <v>112750</v>
      </c>
      <c r="I133" s="215">
        <f t="shared" si="10"/>
        <v>112750</v>
      </c>
      <c r="J133" s="215">
        <f t="shared" si="10"/>
        <v>112750</v>
      </c>
      <c r="K133" s="215">
        <f t="shared" si="10"/>
        <v>112750</v>
      </c>
      <c r="L133" s="215">
        <f t="shared" si="10"/>
        <v>112750</v>
      </c>
      <c r="M133" s="215">
        <f t="shared" si="10"/>
        <v>112750</v>
      </c>
      <c r="N133" s="215">
        <f t="shared" si="10"/>
        <v>112750</v>
      </c>
      <c r="O133" s="215">
        <f t="shared" si="10"/>
        <v>112750</v>
      </c>
      <c r="P133" s="215">
        <f t="shared" si="10"/>
        <v>112750</v>
      </c>
      <c r="Q133" s="215">
        <f t="shared" si="10"/>
        <v>112750</v>
      </c>
      <c r="R133" s="215">
        <f t="shared" si="10"/>
        <v>112750</v>
      </c>
      <c r="S133" s="215">
        <f t="shared" si="10"/>
        <v>112750</v>
      </c>
      <c r="T133" s="215">
        <f t="shared" si="10"/>
        <v>112750</v>
      </c>
      <c r="U133" s="215">
        <f t="shared" si="10"/>
        <v>112750</v>
      </c>
      <c r="V133" s="215">
        <f t="shared" si="10"/>
        <v>112750</v>
      </c>
      <c r="W133" s="215" t="str">
        <f t="shared" si="10"/>
        <v/>
      </c>
      <c r="X133" s="215" t="str">
        <f t="shared" si="10"/>
        <v/>
      </c>
      <c r="Y133" s="215" t="str">
        <f t="shared" si="10"/>
        <v/>
      </c>
      <c r="Z133" s="215" t="str">
        <f t="shared" si="10"/>
        <v/>
      </c>
      <c r="AA133" s="215" t="str">
        <f t="shared" si="10"/>
        <v/>
      </c>
    </row>
    <row r="134" spans="2:27" s="199" customFormat="1" x14ac:dyDescent="0.25">
      <c r="B134" s="214" t="s">
        <v>163</v>
      </c>
      <c r="C134" s="215">
        <f>IF(C132="","",$E$143*100*($E$137-$E$138)/100*$E$145+$E$140/100*$E$143*100*$E$148)</f>
        <v>110731.00000000001</v>
      </c>
      <c r="D134" s="215">
        <f t="shared" ref="D134:AA134" si="11">IF(D132="","",$E$143*100*($E$137-$E$138)/100*$E$145+$E$140/100*$E$143*100*$E$148)</f>
        <v>110731.00000000001</v>
      </c>
      <c r="E134" s="215">
        <f t="shared" si="11"/>
        <v>110731.00000000001</v>
      </c>
      <c r="F134" s="215">
        <f t="shared" si="11"/>
        <v>110731.00000000001</v>
      </c>
      <c r="G134" s="215">
        <f t="shared" si="11"/>
        <v>110731.00000000001</v>
      </c>
      <c r="H134" s="215">
        <f t="shared" si="11"/>
        <v>110731.00000000001</v>
      </c>
      <c r="I134" s="215">
        <f t="shared" si="11"/>
        <v>110731.00000000001</v>
      </c>
      <c r="J134" s="215">
        <f t="shared" si="11"/>
        <v>110731.00000000001</v>
      </c>
      <c r="K134" s="215">
        <f t="shared" si="11"/>
        <v>110731.00000000001</v>
      </c>
      <c r="L134" s="215">
        <f t="shared" si="11"/>
        <v>110731.00000000001</v>
      </c>
      <c r="M134" s="215">
        <f t="shared" si="11"/>
        <v>110731.00000000001</v>
      </c>
      <c r="N134" s="215">
        <f t="shared" si="11"/>
        <v>110731.00000000001</v>
      </c>
      <c r="O134" s="215">
        <f t="shared" si="11"/>
        <v>110731.00000000001</v>
      </c>
      <c r="P134" s="215">
        <f t="shared" si="11"/>
        <v>110731.00000000001</v>
      </c>
      <c r="Q134" s="215">
        <f t="shared" si="11"/>
        <v>110731.00000000001</v>
      </c>
      <c r="R134" s="215">
        <f t="shared" si="11"/>
        <v>110731.00000000001</v>
      </c>
      <c r="S134" s="215">
        <f t="shared" si="11"/>
        <v>110731.00000000001</v>
      </c>
      <c r="T134" s="215">
        <f t="shared" si="11"/>
        <v>110731.00000000001</v>
      </c>
      <c r="U134" s="215">
        <f t="shared" si="11"/>
        <v>110731.00000000001</v>
      </c>
      <c r="V134" s="215">
        <f t="shared" si="11"/>
        <v>110731.00000000001</v>
      </c>
      <c r="W134" s="215" t="str">
        <f t="shared" si="11"/>
        <v/>
      </c>
      <c r="X134" s="215" t="str">
        <f t="shared" si="11"/>
        <v/>
      </c>
      <c r="Y134" s="215" t="str">
        <f t="shared" si="11"/>
        <v/>
      </c>
      <c r="Z134" s="215" t="str">
        <f t="shared" si="11"/>
        <v/>
      </c>
      <c r="AA134" s="215" t="str">
        <f t="shared" si="11"/>
        <v/>
      </c>
    </row>
    <row r="135" spans="2:27" s="199" customFormat="1" x14ac:dyDescent="0.25">
      <c r="B135" s="214" t="s">
        <v>150</v>
      </c>
      <c r="C135" s="215">
        <f>IF(C132="","",C134-C133)</f>
        <v>-2018.9999999999854</v>
      </c>
      <c r="D135" s="215">
        <f t="shared" ref="D135:AA135" si="12">IF(D132="","",D134-D133)</f>
        <v>-2018.9999999999854</v>
      </c>
      <c r="E135" s="215">
        <f t="shared" si="12"/>
        <v>-2018.9999999999854</v>
      </c>
      <c r="F135" s="215">
        <f t="shared" si="12"/>
        <v>-2018.9999999999854</v>
      </c>
      <c r="G135" s="215">
        <f t="shared" si="12"/>
        <v>-2018.9999999999854</v>
      </c>
      <c r="H135" s="215">
        <f t="shared" si="12"/>
        <v>-2018.9999999999854</v>
      </c>
      <c r="I135" s="215">
        <f t="shared" si="12"/>
        <v>-2018.9999999999854</v>
      </c>
      <c r="J135" s="215">
        <f t="shared" si="12"/>
        <v>-2018.9999999999854</v>
      </c>
      <c r="K135" s="215">
        <f t="shared" si="12"/>
        <v>-2018.9999999999854</v>
      </c>
      <c r="L135" s="215">
        <f t="shared" si="12"/>
        <v>-2018.9999999999854</v>
      </c>
      <c r="M135" s="215">
        <f t="shared" si="12"/>
        <v>-2018.9999999999854</v>
      </c>
      <c r="N135" s="215">
        <f t="shared" si="12"/>
        <v>-2018.9999999999854</v>
      </c>
      <c r="O135" s="215">
        <f t="shared" si="12"/>
        <v>-2018.9999999999854</v>
      </c>
      <c r="P135" s="215">
        <f t="shared" si="12"/>
        <v>-2018.9999999999854</v>
      </c>
      <c r="Q135" s="215">
        <f t="shared" si="12"/>
        <v>-2018.9999999999854</v>
      </c>
      <c r="R135" s="215">
        <f t="shared" si="12"/>
        <v>-2018.9999999999854</v>
      </c>
      <c r="S135" s="215">
        <f t="shared" si="12"/>
        <v>-2018.9999999999854</v>
      </c>
      <c r="T135" s="215">
        <f t="shared" si="12"/>
        <v>-2018.9999999999854</v>
      </c>
      <c r="U135" s="215">
        <f t="shared" si="12"/>
        <v>-2018.9999999999854</v>
      </c>
      <c r="V135" s="215">
        <f t="shared" si="12"/>
        <v>-2018.9999999999854</v>
      </c>
      <c r="W135" s="215" t="str">
        <f t="shared" si="12"/>
        <v/>
      </c>
      <c r="X135" s="215" t="str">
        <f t="shared" si="12"/>
        <v/>
      </c>
      <c r="Y135" s="215" t="str">
        <f t="shared" si="12"/>
        <v/>
      </c>
      <c r="Z135" s="215" t="str">
        <f t="shared" si="12"/>
        <v/>
      </c>
      <c r="AA135" s="215" t="str">
        <f t="shared" si="12"/>
        <v/>
      </c>
    </row>
    <row r="137" spans="2:27" s="199" customFormat="1" x14ac:dyDescent="0.25">
      <c r="B137" s="199" t="s">
        <v>1112</v>
      </c>
      <c r="E137" s="218">
        <v>5</v>
      </c>
      <c r="G137" s="199" t="s">
        <v>1</v>
      </c>
      <c r="I137" s="220" t="s">
        <v>1113</v>
      </c>
    </row>
    <row r="138" spans="2:27" s="199" customFormat="1" ht="31.5" customHeight="1" x14ac:dyDescent="0.25">
      <c r="B138" s="199" t="s">
        <v>1114</v>
      </c>
      <c r="E138" s="241">
        <f>500/820000*100</f>
        <v>6.097560975609756E-2</v>
      </c>
      <c r="G138" s="199" t="s">
        <v>1</v>
      </c>
      <c r="I138" s="161" t="s">
        <v>1115</v>
      </c>
      <c r="J138" s="161"/>
      <c r="K138" s="161"/>
      <c r="L138" s="161"/>
    </row>
    <row r="139" spans="2:27" s="199" customFormat="1" ht="31.5" customHeight="1" x14ac:dyDescent="0.25">
      <c r="E139" s="241"/>
      <c r="I139" s="161"/>
      <c r="J139" s="161"/>
      <c r="K139" s="161"/>
      <c r="L139" s="161"/>
    </row>
    <row r="140" spans="2:27" s="199" customFormat="1" ht="31.5" customHeight="1" x14ac:dyDescent="0.25">
      <c r="B140" s="199" t="s">
        <v>1116</v>
      </c>
      <c r="E140" s="241">
        <f>400/820000*100</f>
        <v>4.878048780487805E-2</v>
      </c>
      <c r="G140" s="199" t="s">
        <v>1</v>
      </c>
      <c r="I140" s="161" t="s">
        <v>1117</v>
      </c>
      <c r="J140" s="161"/>
      <c r="K140" s="161"/>
      <c r="L140" s="161"/>
    </row>
    <row r="141" spans="2:27" s="199" customFormat="1" ht="51.95" customHeight="1" x14ac:dyDescent="0.25">
      <c r="I141" s="161"/>
      <c r="J141" s="161"/>
      <c r="K141" s="161"/>
      <c r="L141" s="161"/>
    </row>
    <row r="142" spans="2:27" s="199" customFormat="1" x14ac:dyDescent="0.25">
      <c r="B142" s="242" t="s">
        <v>359</v>
      </c>
    </row>
    <row r="143" spans="2:27" s="199" customFormat="1" x14ac:dyDescent="0.25">
      <c r="B143" s="199" t="s">
        <v>1118</v>
      </c>
      <c r="E143" s="218">
        <v>8200</v>
      </c>
      <c r="G143" s="199" t="s">
        <v>1119</v>
      </c>
    </row>
    <row r="145" spans="2:9" s="199" customFormat="1" x14ac:dyDescent="0.25">
      <c r="B145" s="199" t="s">
        <v>1120</v>
      </c>
      <c r="E145" s="243">
        <v>2.75</v>
      </c>
      <c r="G145" s="199" t="s">
        <v>840</v>
      </c>
      <c r="I145" s="199" t="s">
        <v>853</v>
      </c>
    </row>
    <row r="146" spans="2:9" s="199" customFormat="1" x14ac:dyDescent="0.25">
      <c r="B146" s="199" t="s">
        <v>1121</v>
      </c>
      <c r="E146" s="243">
        <v>0.37</v>
      </c>
      <c r="G146" s="199" t="s">
        <v>840</v>
      </c>
      <c r="I146" s="199" t="s">
        <v>853</v>
      </c>
    </row>
    <row r="147" spans="2:9" s="199" customFormat="1" x14ac:dyDescent="0.25">
      <c r="B147" s="199" t="s">
        <v>1122</v>
      </c>
      <c r="E147" s="243">
        <v>-0.37</v>
      </c>
      <c r="G147" s="199" t="s">
        <v>840</v>
      </c>
      <c r="I147" s="199" t="s">
        <v>853</v>
      </c>
    </row>
    <row r="148" spans="2:9" s="199" customFormat="1" x14ac:dyDescent="0.25">
      <c r="B148" s="199" t="s">
        <v>1123</v>
      </c>
      <c r="E148" s="243">
        <v>-1.61</v>
      </c>
      <c r="G148" s="199" t="s">
        <v>840</v>
      </c>
      <c r="I148" s="199" t="s">
        <v>853</v>
      </c>
    </row>
    <row r="149" spans="2:9" s="199" customFormat="1" x14ac:dyDescent="0.25">
      <c r="B149" s="199" t="s">
        <v>1124</v>
      </c>
      <c r="E149" s="199">
        <v>290</v>
      </c>
      <c r="G149" s="199" t="s">
        <v>840</v>
      </c>
      <c r="I149" s="199" t="s">
        <v>853</v>
      </c>
    </row>
    <row r="151" spans="2:9" s="199" customFormat="1" x14ac:dyDescent="0.25">
      <c r="B151" s="242" t="s">
        <v>360</v>
      </c>
    </row>
    <row r="153" spans="2:9" s="199" customFormat="1" x14ac:dyDescent="0.25">
      <c r="B153" s="199" t="s">
        <v>1125</v>
      </c>
      <c r="E153" s="218">
        <v>50</v>
      </c>
      <c r="G153" s="199" t="s">
        <v>1</v>
      </c>
    </row>
    <row r="154" spans="2:9" s="199" customFormat="1" x14ac:dyDescent="0.25">
      <c r="B154" s="199" t="s">
        <v>1126</v>
      </c>
      <c r="E154" s="218">
        <v>50</v>
      </c>
      <c r="G154" s="199" t="s">
        <v>1</v>
      </c>
    </row>
    <row r="157" spans="2:9" s="199" customFormat="1" x14ac:dyDescent="0.25">
      <c r="B157" s="199" t="s">
        <v>1127</v>
      </c>
      <c r="E157" s="223">
        <v>248.15999999999997</v>
      </c>
      <c r="G157" s="199" t="s">
        <v>840</v>
      </c>
      <c r="I157" s="197" t="s">
        <v>869</v>
      </c>
    </row>
    <row r="158" spans="2:9" s="199" customFormat="1" x14ac:dyDescent="0.25">
      <c r="B158" s="199" t="s">
        <v>1128</v>
      </c>
      <c r="E158" s="223">
        <v>151.30866666666665</v>
      </c>
      <c r="G158" s="199" t="s">
        <v>840</v>
      </c>
      <c r="I158" s="197" t="s">
        <v>869</v>
      </c>
    </row>
    <row r="159" spans="2:9" s="199" customFormat="1" x14ac:dyDescent="0.25">
      <c r="E159" s="223"/>
    </row>
    <row r="160" spans="2:9" s="199" customFormat="1" x14ac:dyDescent="0.25">
      <c r="B160" s="199" t="s">
        <v>1129</v>
      </c>
      <c r="E160" s="223">
        <v>91.819199999999981</v>
      </c>
      <c r="G160" s="199" t="s">
        <v>840</v>
      </c>
      <c r="I160" s="197" t="s">
        <v>869</v>
      </c>
    </row>
    <row r="161" spans="2:9" s="199" customFormat="1" x14ac:dyDescent="0.25">
      <c r="B161" s="199" t="s">
        <v>1130</v>
      </c>
      <c r="E161" s="223">
        <v>30.261733333333332</v>
      </c>
      <c r="G161" s="199" t="s">
        <v>840</v>
      </c>
      <c r="I161" s="197" t="s">
        <v>869</v>
      </c>
    </row>
    <row r="162" spans="2:9" s="199" customFormat="1" x14ac:dyDescent="0.25">
      <c r="E162" s="223"/>
    </row>
    <row r="163" spans="2:9" s="199" customFormat="1" x14ac:dyDescent="0.25">
      <c r="B163" s="199" t="s">
        <v>1131</v>
      </c>
      <c r="E163" s="223">
        <v>7.7</v>
      </c>
      <c r="G163" s="199" t="s">
        <v>840</v>
      </c>
      <c r="I163" s="197" t="s">
        <v>869</v>
      </c>
    </row>
    <row r="164" spans="2:9" s="199" customFormat="1" x14ac:dyDescent="0.25">
      <c r="B164" s="199" t="s">
        <v>1132</v>
      </c>
      <c r="E164" s="223">
        <v>7.7</v>
      </c>
      <c r="G164" s="199" t="s">
        <v>840</v>
      </c>
      <c r="I164" s="197" t="s">
        <v>869</v>
      </c>
    </row>
    <row r="165" spans="2:9" s="199" customFormat="1" x14ac:dyDescent="0.25">
      <c r="E165" s="223"/>
    </row>
    <row r="166" spans="2:9" s="199" customFormat="1" x14ac:dyDescent="0.25">
      <c r="B166" s="199" t="s">
        <v>1133</v>
      </c>
      <c r="E166" s="223">
        <v>61.805333333333323</v>
      </c>
      <c r="G166" s="199" t="s">
        <v>840</v>
      </c>
      <c r="I166" s="197" t="s">
        <v>869</v>
      </c>
    </row>
    <row r="167" spans="2:9" s="199" customFormat="1" x14ac:dyDescent="0.25">
      <c r="B167" s="199" t="s">
        <v>1134</v>
      </c>
      <c r="E167" s="223">
        <v>74.920999999999992</v>
      </c>
      <c r="G167" s="199" t="s">
        <v>840</v>
      </c>
      <c r="I167" s="197" t="s">
        <v>869</v>
      </c>
    </row>
  </sheetData>
  <mergeCells count="10">
    <mergeCell ref="C124:H124"/>
    <mergeCell ref="C127:G127"/>
    <mergeCell ref="I138:L139"/>
    <mergeCell ref="I140:L141"/>
    <mergeCell ref="C28:H28"/>
    <mergeCell ref="C30:H30"/>
    <mergeCell ref="I43:M43"/>
    <mergeCell ref="C76:H76"/>
    <mergeCell ref="C78:H78"/>
    <mergeCell ref="I96:P99"/>
  </mergeCells>
  <dataValidations count="2">
    <dataValidation type="list" allowBlank="1" showInputMessage="1" showErrorMessage="1" sqref="N142">
      <formula1>$O$142:$O$143</formula1>
    </dataValidation>
    <dataValidation type="list" allowBlank="1" showInputMessage="1" showErrorMessage="1" sqref="F153:F155 F143:F144">
      <formula1>#REF!</formula1>
    </dataValidation>
  </dataValidations>
  <hyperlinks>
    <hyperlink ref="I69" r:id="rId1"/>
    <hyperlink ref="I68" r:id="rId2"/>
    <hyperlink ref="I62" r:id="rId3"/>
    <hyperlink ref="I64" r:id="rId4"/>
    <hyperlink ref="I63" r:id="rId5"/>
    <hyperlink ref="I105" r:id="rId6"/>
    <hyperlink ref="I112" r:id="rId7" display="https://www.videoproc.com/gopro-video-processing/gopro-video-size-calculator.htm"/>
    <hyperlink ref="I118" r:id="rId8" display="https://www.greenit.fr/2015/04/16/combien-consomme-une-tablette/"/>
    <hyperlink ref="I119" r:id="rId9" display="https://www.greenit.fr/2015/04/16/combien-consomme-une-tablette/"/>
    <hyperlink ref="I167" r:id="rId10" display="https://www.nitidae.org/files/30c6cfd6/171122_rapport_technique_nerf_me.pdf"/>
    <hyperlink ref="I166" r:id="rId11" display="https://www.nitidae.org/files/30c6cfd6/171122_rapport_technique_nerf_me.pdf"/>
    <hyperlink ref="I164" r:id="rId12" display="https://www.nitidae.org/files/30c6cfd6/171122_rapport_technique_nerf_me.pdf"/>
    <hyperlink ref="I163" r:id="rId13" display="https://www.nitidae.org/files/30c6cfd6/171122_rapport_technique_nerf_me.pdf"/>
    <hyperlink ref="I161" r:id="rId14" display="https://www.nitidae.org/files/30c6cfd6/171122_rapport_technique_nerf_me.pdf"/>
    <hyperlink ref="I160" r:id="rId15" display="https://www.nitidae.org/files/30c6cfd6/171122_rapport_technique_nerf_me.pdf"/>
    <hyperlink ref="I158" r:id="rId16" display="https://www.nitidae.org/files/30c6cfd6/171122_rapport_technique_nerf_me.pdf"/>
    <hyperlink ref="I157" r:id="rId17" display="https://www.nitidae.org/files/30c6cfd6/171122_rapport_technique_nerf_me.pdf"/>
  </hyperlinks>
  <pageMargins left="0.7" right="0.7" top="0.75" bottom="0.75" header="0.3" footer="0.3"/>
  <pageSetup paperSize="9" orientation="portrait" horizontalDpi="300" verticalDpi="0" r:id="rId1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A1:H50"/>
  <sheetViews>
    <sheetView showGridLines="0" zoomScaleNormal="100" workbookViewId="0"/>
  </sheetViews>
  <sheetFormatPr baseColWidth="10" defaultColWidth="8.7109375" defaultRowHeight="15" x14ac:dyDescent="0.25"/>
  <cols>
    <col min="1" max="1" width="36.85546875" style="146" bestFit="1" customWidth="1"/>
    <col min="2" max="2" width="44.85546875" style="146" bestFit="1" customWidth="1"/>
    <col min="3" max="3" width="69.7109375" style="146" bestFit="1" customWidth="1"/>
    <col min="4" max="4" width="13.140625" style="146" bestFit="1" customWidth="1"/>
    <col min="5" max="5" width="13.7109375" style="146" bestFit="1" customWidth="1"/>
    <col min="6" max="6" width="57.7109375" style="146" bestFit="1" customWidth="1"/>
    <col min="7" max="7" width="45.85546875" style="146" bestFit="1" customWidth="1"/>
    <col min="8" max="8" width="52.42578125" style="146" customWidth="1"/>
    <col min="9" max="16384" width="8.7109375" style="146"/>
  </cols>
  <sheetData>
    <row r="1" spans="1:8" s="193" customFormat="1" ht="26.45" customHeight="1" x14ac:dyDescent="0.25">
      <c r="A1" s="51" t="s">
        <v>117</v>
      </c>
      <c r="B1" s="193" t="s">
        <v>118</v>
      </c>
      <c r="C1" s="193" t="s">
        <v>104</v>
      </c>
      <c r="D1" s="193" t="s">
        <v>105</v>
      </c>
      <c r="E1" s="193" t="s">
        <v>4</v>
      </c>
      <c r="F1" s="193" t="s">
        <v>116</v>
      </c>
      <c r="G1" s="193" t="s">
        <v>20</v>
      </c>
      <c r="H1" s="193" t="s">
        <v>106</v>
      </c>
    </row>
    <row r="2" spans="1:8" ht="45" customHeight="1" x14ac:dyDescent="0.25">
      <c r="A2" s="84" t="s">
        <v>120</v>
      </c>
      <c r="B2" s="84" t="s">
        <v>119</v>
      </c>
      <c r="C2" s="85" t="s">
        <v>107</v>
      </c>
      <c r="D2" s="143">
        <v>15.5</v>
      </c>
      <c r="E2" s="143" t="s">
        <v>5</v>
      </c>
      <c r="F2" s="144">
        <v>40</v>
      </c>
      <c r="G2" s="143" t="s">
        <v>108</v>
      </c>
      <c r="H2" s="145" t="s">
        <v>378</v>
      </c>
    </row>
    <row r="3" spans="1:8" ht="45" customHeight="1" x14ac:dyDescent="0.25">
      <c r="A3" s="84" t="s">
        <v>120</v>
      </c>
      <c r="B3" s="84" t="s">
        <v>119</v>
      </c>
      <c r="C3" s="85" t="s">
        <v>109</v>
      </c>
      <c r="D3" s="143">
        <v>588</v>
      </c>
      <c r="E3" s="143" t="s">
        <v>5</v>
      </c>
      <c r="F3" s="144">
        <v>50</v>
      </c>
      <c r="G3" s="143" t="s">
        <v>108</v>
      </c>
      <c r="H3" s="145" t="s">
        <v>112</v>
      </c>
    </row>
    <row r="4" spans="1:8" ht="45" customHeight="1" x14ac:dyDescent="0.25">
      <c r="A4" s="84" t="s">
        <v>120</v>
      </c>
      <c r="B4" s="84" t="s">
        <v>119</v>
      </c>
      <c r="C4" s="85" t="s">
        <v>567</v>
      </c>
      <c r="D4" s="143">
        <v>80</v>
      </c>
      <c r="E4" s="143" t="s">
        <v>121</v>
      </c>
      <c r="F4" s="144">
        <v>30</v>
      </c>
      <c r="G4" s="143" t="s">
        <v>108</v>
      </c>
      <c r="H4" s="145" t="s">
        <v>568</v>
      </c>
    </row>
    <row r="5" spans="1:8" ht="45" customHeight="1" x14ac:dyDescent="0.25">
      <c r="A5" s="84" t="s">
        <v>120</v>
      </c>
      <c r="B5" s="84" t="s">
        <v>119</v>
      </c>
      <c r="C5" s="85" t="s">
        <v>110</v>
      </c>
      <c r="D5" s="143">
        <v>13</v>
      </c>
      <c r="E5" s="143" t="s">
        <v>121</v>
      </c>
      <c r="F5" s="144">
        <v>60</v>
      </c>
      <c r="G5" s="143" t="s">
        <v>111</v>
      </c>
      <c r="H5" s="145"/>
    </row>
    <row r="6" spans="1:8" ht="45" customHeight="1" x14ac:dyDescent="0.25">
      <c r="A6" s="84" t="s">
        <v>120</v>
      </c>
      <c r="B6" s="84" t="s">
        <v>119</v>
      </c>
      <c r="C6" s="85" t="s">
        <v>113</v>
      </c>
      <c r="D6" s="143">
        <v>13</v>
      </c>
      <c r="E6" s="143" t="s">
        <v>121</v>
      </c>
      <c r="F6" s="144">
        <v>60</v>
      </c>
      <c r="G6" s="143" t="s">
        <v>111</v>
      </c>
      <c r="H6" s="145"/>
    </row>
    <row r="7" spans="1:8" ht="45" customHeight="1" x14ac:dyDescent="0.25">
      <c r="A7" s="84" t="s">
        <v>120</v>
      </c>
      <c r="B7" s="84" t="s">
        <v>119</v>
      </c>
      <c r="C7" s="85" t="s">
        <v>572</v>
      </c>
      <c r="D7" s="143">
        <v>5</v>
      </c>
      <c r="E7" s="143" t="s">
        <v>121</v>
      </c>
      <c r="F7" s="144">
        <v>40</v>
      </c>
      <c r="G7" s="143" t="s">
        <v>108</v>
      </c>
      <c r="H7" s="145" t="s">
        <v>573</v>
      </c>
    </row>
    <row r="8" spans="1:8" ht="45" customHeight="1" x14ac:dyDescent="0.25">
      <c r="A8" s="84" t="s">
        <v>120</v>
      </c>
      <c r="B8" s="84" t="s">
        <v>119</v>
      </c>
      <c r="C8" s="85" t="s">
        <v>114</v>
      </c>
      <c r="D8" s="143">
        <v>1.8</v>
      </c>
      <c r="E8" s="143" t="s">
        <v>121</v>
      </c>
      <c r="F8" s="144">
        <v>60</v>
      </c>
      <c r="G8" s="143" t="s">
        <v>108</v>
      </c>
      <c r="H8" s="145"/>
    </row>
    <row r="9" spans="1:8" ht="90" x14ac:dyDescent="0.25">
      <c r="A9" s="84" t="s">
        <v>120</v>
      </c>
      <c r="B9" s="84" t="s">
        <v>119</v>
      </c>
      <c r="C9" s="85" t="s">
        <v>115</v>
      </c>
      <c r="D9" s="143">
        <v>500</v>
      </c>
      <c r="E9" s="143" t="s">
        <v>5</v>
      </c>
      <c r="F9" s="144">
        <v>30</v>
      </c>
      <c r="G9" s="143" t="s">
        <v>64</v>
      </c>
      <c r="H9" s="145" t="s">
        <v>122</v>
      </c>
    </row>
    <row r="10" spans="1:8" ht="75" x14ac:dyDescent="0.25">
      <c r="A10" s="84" t="s">
        <v>120</v>
      </c>
      <c r="B10" s="84" t="s">
        <v>119</v>
      </c>
      <c r="C10" s="85" t="s">
        <v>123</v>
      </c>
      <c r="D10" s="143">
        <v>680</v>
      </c>
      <c r="E10" s="143" t="s">
        <v>5</v>
      </c>
      <c r="F10" s="144">
        <v>50</v>
      </c>
      <c r="G10" s="143" t="s">
        <v>64</v>
      </c>
      <c r="H10" s="145" t="s">
        <v>124</v>
      </c>
    </row>
    <row r="11" spans="1:8" x14ac:dyDescent="0.25">
      <c r="A11" s="84" t="s">
        <v>837</v>
      </c>
      <c r="B11" s="84" t="s">
        <v>838</v>
      </c>
      <c r="C11" s="85" t="s">
        <v>839</v>
      </c>
      <c r="D11" s="143">
        <v>248.2</v>
      </c>
      <c r="E11" s="143" t="s">
        <v>840</v>
      </c>
      <c r="F11" s="144"/>
      <c r="G11" s="143" t="s">
        <v>841</v>
      </c>
      <c r="H11" s="145"/>
    </row>
    <row r="12" spans="1:8" x14ac:dyDescent="0.25">
      <c r="A12" s="84" t="s">
        <v>837</v>
      </c>
      <c r="B12" s="84" t="s">
        <v>838</v>
      </c>
      <c r="C12" s="85" t="s">
        <v>842</v>
      </c>
      <c r="D12" s="143">
        <v>151.30000000000001</v>
      </c>
      <c r="E12" s="143" t="s">
        <v>843</v>
      </c>
      <c r="F12" s="144"/>
      <c r="G12" s="143" t="s">
        <v>841</v>
      </c>
      <c r="H12" s="145"/>
    </row>
    <row r="13" spans="1:8" x14ac:dyDescent="0.25">
      <c r="A13" s="84" t="s">
        <v>837</v>
      </c>
      <c r="B13" s="84" t="s">
        <v>838</v>
      </c>
      <c r="C13" s="85" t="s">
        <v>844</v>
      </c>
      <c r="D13" s="143">
        <v>7.7</v>
      </c>
      <c r="E13" s="143" t="s">
        <v>843</v>
      </c>
      <c r="F13" s="144"/>
      <c r="G13" s="143" t="s">
        <v>841</v>
      </c>
      <c r="H13" s="145"/>
    </row>
    <row r="14" spans="1:8" x14ac:dyDescent="0.25">
      <c r="A14" s="84" t="s">
        <v>837</v>
      </c>
      <c r="B14" s="84" t="s">
        <v>838</v>
      </c>
      <c r="C14" s="85" t="s">
        <v>845</v>
      </c>
      <c r="D14" s="143">
        <v>7.7</v>
      </c>
      <c r="E14" s="143" t="s">
        <v>843</v>
      </c>
      <c r="F14" s="144"/>
      <c r="G14" s="143" t="s">
        <v>841</v>
      </c>
      <c r="H14" s="145"/>
    </row>
    <row r="15" spans="1:8" x14ac:dyDescent="0.25">
      <c r="A15" s="84" t="s">
        <v>837</v>
      </c>
      <c r="B15" s="84" t="s">
        <v>838</v>
      </c>
      <c r="C15" s="85" t="s">
        <v>846</v>
      </c>
      <c r="D15" s="143">
        <v>91.8</v>
      </c>
      <c r="E15" s="143" t="s">
        <v>843</v>
      </c>
      <c r="F15" s="144"/>
      <c r="G15" s="143" t="s">
        <v>847</v>
      </c>
      <c r="H15" s="145"/>
    </row>
    <row r="16" spans="1:8" x14ac:dyDescent="0.25">
      <c r="A16" s="84" t="s">
        <v>837</v>
      </c>
      <c r="B16" s="84" t="s">
        <v>838</v>
      </c>
      <c r="C16" s="85" t="s">
        <v>848</v>
      </c>
      <c r="D16" s="143">
        <v>30.3</v>
      </c>
      <c r="E16" s="143" t="s">
        <v>843</v>
      </c>
      <c r="F16" s="144"/>
      <c r="G16" s="143" t="s">
        <v>847</v>
      </c>
      <c r="H16" s="145"/>
    </row>
    <row r="17" spans="1:8" x14ac:dyDescent="0.25">
      <c r="A17" s="84" t="s">
        <v>837</v>
      </c>
      <c r="B17" s="84" t="s">
        <v>838</v>
      </c>
      <c r="C17" s="85" t="s">
        <v>849</v>
      </c>
      <c r="D17" s="143">
        <v>61.8</v>
      </c>
      <c r="E17" s="143" t="s">
        <v>843</v>
      </c>
      <c r="F17" s="144"/>
      <c r="G17" s="143" t="s">
        <v>850</v>
      </c>
      <c r="H17" s="145"/>
    </row>
    <row r="18" spans="1:8" x14ac:dyDescent="0.25">
      <c r="A18" s="84" t="s">
        <v>837</v>
      </c>
      <c r="B18" s="84" t="s">
        <v>838</v>
      </c>
      <c r="C18" s="85" t="s">
        <v>851</v>
      </c>
      <c r="D18" s="143">
        <v>74.900000000000006</v>
      </c>
      <c r="E18" s="143" t="s">
        <v>843</v>
      </c>
      <c r="F18" s="144"/>
      <c r="G18" s="143" t="s">
        <v>850</v>
      </c>
      <c r="H18" s="145"/>
    </row>
    <row r="19" spans="1:8" x14ac:dyDescent="0.25">
      <c r="A19" s="84" t="s">
        <v>837</v>
      </c>
      <c r="B19" s="84" t="s">
        <v>838</v>
      </c>
      <c r="C19" s="85" t="s">
        <v>852</v>
      </c>
      <c r="D19" s="143">
        <v>2.75</v>
      </c>
      <c r="E19" s="143" t="s">
        <v>840</v>
      </c>
      <c r="F19" s="144" t="s">
        <v>853</v>
      </c>
      <c r="G19" s="143"/>
      <c r="H19" s="145"/>
    </row>
    <row r="20" spans="1:8" x14ac:dyDescent="0.25">
      <c r="A20" s="84" t="s">
        <v>837</v>
      </c>
      <c r="B20" s="84" t="s">
        <v>838</v>
      </c>
      <c r="C20" s="85" t="s">
        <v>854</v>
      </c>
      <c r="D20" s="143">
        <v>0.37</v>
      </c>
      <c r="E20" s="143" t="s">
        <v>840</v>
      </c>
      <c r="F20" s="144" t="s">
        <v>853</v>
      </c>
      <c r="G20" s="143"/>
      <c r="H20" s="145"/>
    </row>
    <row r="21" spans="1:8" x14ac:dyDescent="0.25">
      <c r="A21" s="84" t="s">
        <v>837</v>
      </c>
      <c r="B21" s="84" t="s">
        <v>838</v>
      </c>
      <c r="C21" s="85" t="s">
        <v>855</v>
      </c>
      <c r="D21" s="143">
        <v>-0.37</v>
      </c>
      <c r="E21" s="143" t="s">
        <v>840</v>
      </c>
      <c r="F21" s="144" t="s">
        <v>853</v>
      </c>
      <c r="G21" s="143"/>
      <c r="H21" s="145"/>
    </row>
    <row r="22" spans="1:8" x14ac:dyDescent="0.25">
      <c r="A22" s="84" t="s">
        <v>837</v>
      </c>
      <c r="B22" s="84" t="s">
        <v>838</v>
      </c>
      <c r="C22" s="85" t="s">
        <v>856</v>
      </c>
      <c r="D22" s="143">
        <v>-1.61</v>
      </c>
      <c r="E22" s="143" t="s">
        <v>840</v>
      </c>
      <c r="F22" s="144" t="s">
        <v>853</v>
      </c>
      <c r="G22" s="143"/>
      <c r="H22" s="145"/>
    </row>
    <row r="23" spans="1:8" x14ac:dyDescent="0.25">
      <c r="A23" s="84" t="s">
        <v>837</v>
      </c>
      <c r="B23" s="84" t="s">
        <v>838</v>
      </c>
      <c r="C23" s="85" t="s">
        <v>857</v>
      </c>
      <c r="D23" s="143">
        <v>290</v>
      </c>
      <c r="E23" s="143" t="s">
        <v>840</v>
      </c>
      <c r="F23" s="144" t="s">
        <v>853</v>
      </c>
      <c r="G23" s="143"/>
      <c r="H23" s="145"/>
    </row>
    <row r="24" spans="1:8" x14ac:dyDescent="0.25">
      <c r="A24" s="84" t="s">
        <v>837</v>
      </c>
      <c r="B24" s="84" t="s">
        <v>858</v>
      </c>
      <c r="C24" s="85" t="s">
        <v>859</v>
      </c>
      <c r="D24" s="143">
        <v>3.7</v>
      </c>
      <c r="E24" s="143" t="s">
        <v>149</v>
      </c>
      <c r="F24" s="144" t="s">
        <v>860</v>
      </c>
      <c r="G24" s="143"/>
      <c r="H24" s="145"/>
    </row>
    <row r="25" spans="1:8" x14ac:dyDescent="0.25">
      <c r="A25" s="84" t="s">
        <v>837</v>
      </c>
      <c r="B25" s="84" t="s">
        <v>858</v>
      </c>
      <c r="C25" s="85" t="s">
        <v>861</v>
      </c>
      <c r="D25" s="143">
        <f>3512.66666666667/1000</f>
        <v>3.5126666666666702</v>
      </c>
      <c r="E25" s="143" t="s">
        <v>149</v>
      </c>
      <c r="F25" s="144" t="s">
        <v>862</v>
      </c>
      <c r="G25" s="143"/>
      <c r="H25" s="145"/>
    </row>
    <row r="26" spans="1:8" x14ac:dyDescent="0.25">
      <c r="A26" s="84" t="s">
        <v>837</v>
      </c>
      <c r="B26" s="84" t="s">
        <v>858</v>
      </c>
      <c r="C26" s="85" t="s">
        <v>863</v>
      </c>
      <c r="D26" s="143">
        <v>7.8</v>
      </c>
      <c r="E26" s="143" t="s">
        <v>149</v>
      </c>
      <c r="F26" s="144" t="s">
        <v>864</v>
      </c>
      <c r="G26" s="143"/>
      <c r="H26" s="145"/>
    </row>
    <row r="27" spans="1:8" x14ac:dyDescent="0.25">
      <c r="A27" s="84" t="s">
        <v>865</v>
      </c>
      <c r="B27" s="84" t="s">
        <v>866</v>
      </c>
      <c r="C27" s="85" t="s">
        <v>839</v>
      </c>
      <c r="D27" s="143">
        <v>248.2</v>
      </c>
      <c r="E27" s="143" t="s">
        <v>840</v>
      </c>
      <c r="F27" s="144"/>
      <c r="G27" s="143" t="s">
        <v>841</v>
      </c>
      <c r="H27" s="145"/>
    </row>
    <row r="28" spans="1:8" x14ac:dyDescent="0.25">
      <c r="A28" s="84" t="s">
        <v>865</v>
      </c>
      <c r="B28" s="84" t="s">
        <v>866</v>
      </c>
      <c r="C28" s="85" t="s">
        <v>842</v>
      </c>
      <c r="D28" s="143">
        <v>151.30000000000001</v>
      </c>
      <c r="E28" s="143" t="s">
        <v>840</v>
      </c>
      <c r="F28" s="144"/>
      <c r="G28" s="143" t="s">
        <v>841</v>
      </c>
      <c r="H28" s="145"/>
    </row>
    <row r="29" spans="1:8" x14ac:dyDescent="0.25">
      <c r="A29" s="84" t="s">
        <v>865</v>
      </c>
      <c r="B29" s="84" t="s">
        <v>866</v>
      </c>
      <c r="C29" s="85" t="s">
        <v>844</v>
      </c>
      <c r="D29" s="143">
        <v>7.7</v>
      </c>
      <c r="E29" s="143" t="s">
        <v>840</v>
      </c>
      <c r="F29" s="144"/>
      <c r="G29" s="143" t="s">
        <v>841</v>
      </c>
      <c r="H29" s="145"/>
    </row>
    <row r="30" spans="1:8" x14ac:dyDescent="0.25">
      <c r="A30" s="84" t="s">
        <v>865</v>
      </c>
      <c r="B30" s="84" t="s">
        <v>866</v>
      </c>
      <c r="C30" s="85" t="s">
        <v>845</v>
      </c>
      <c r="D30" s="143">
        <v>7.7</v>
      </c>
      <c r="E30" s="143" t="s">
        <v>840</v>
      </c>
      <c r="F30" s="144"/>
      <c r="G30" s="143" t="s">
        <v>841</v>
      </c>
      <c r="H30" s="145"/>
    </row>
    <row r="31" spans="1:8" x14ac:dyDescent="0.25">
      <c r="A31" s="84" t="s">
        <v>865</v>
      </c>
      <c r="B31" s="84" t="s">
        <v>866</v>
      </c>
      <c r="C31" s="85" t="s">
        <v>846</v>
      </c>
      <c r="D31" s="143">
        <v>91.8</v>
      </c>
      <c r="E31" s="143" t="s">
        <v>840</v>
      </c>
      <c r="F31" s="144"/>
      <c r="G31" s="143" t="s">
        <v>847</v>
      </c>
      <c r="H31" s="145"/>
    </row>
    <row r="32" spans="1:8" x14ac:dyDescent="0.25">
      <c r="A32" s="84" t="s">
        <v>865</v>
      </c>
      <c r="B32" s="84" t="s">
        <v>866</v>
      </c>
      <c r="C32" s="85" t="s">
        <v>848</v>
      </c>
      <c r="D32" s="143">
        <v>30.3</v>
      </c>
      <c r="E32" s="143" t="s">
        <v>840</v>
      </c>
      <c r="F32" s="144"/>
      <c r="G32" s="143" t="s">
        <v>847</v>
      </c>
      <c r="H32" s="145"/>
    </row>
    <row r="33" spans="1:8" x14ac:dyDescent="0.25">
      <c r="A33" s="84" t="s">
        <v>865</v>
      </c>
      <c r="B33" s="84" t="s">
        <v>866</v>
      </c>
      <c r="C33" s="85" t="s">
        <v>849</v>
      </c>
      <c r="D33" s="143">
        <v>61.8</v>
      </c>
      <c r="E33" s="143" t="s">
        <v>840</v>
      </c>
      <c r="F33" s="144"/>
      <c r="G33" s="143" t="s">
        <v>850</v>
      </c>
      <c r="H33" s="145"/>
    </row>
    <row r="34" spans="1:8" x14ac:dyDescent="0.25">
      <c r="A34" s="84" t="s">
        <v>865</v>
      </c>
      <c r="B34" s="84" t="s">
        <v>866</v>
      </c>
      <c r="C34" s="85" t="s">
        <v>851</v>
      </c>
      <c r="D34" s="143">
        <v>74.900000000000006</v>
      </c>
      <c r="E34" s="143" t="s">
        <v>840</v>
      </c>
      <c r="F34" s="144"/>
      <c r="G34" s="143" t="s">
        <v>850</v>
      </c>
      <c r="H34" s="145"/>
    </row>
    <row r="35" spans="1:8" x14ac:dyDescent="0.25">
      <c r="A35" s="84" t="s">
        <v>865</v>
      </c>
      <c r="B35" s="84" t="s">
        <v>866</v>
      </c>
      <c r="C35" s="85" t="s">
        <v>852</v>
      </c>
      <c r="D35" s="143">
        <v>2.75</v>
      </c>
      <c r="E35" s="143" t="s">
        <v>840</v>
      </c>
      <c r="F35" s="144" t="s">
        <v>853</v>
      </c>
      <c r="G35" s="143"/>
      <c r="H35" s="145"/>
    </row>
    <row r="36" spans="1:8" x14ac:dyDescent="0.25">
      <c r="A36" s="84" t="s">
        <v>865</v>
      </c>
      <c r="B36" s="84" t="s">
        <v>866</v>
      </c>
      <c r="C36" s="85" t="s">
        <v>854</v>
      </c>
      <c r="D36" s="143">
        <v>0.37</v>
      </c>
      <c r="E36" s="143" t="s">
        <v>840</v>
      </c>
      <c r="F36" s="144" t="s">
        <v>853</v>
      </c>
      <c r="G36" s="143"/>
      <c r="H36" s="145"/>
    </row>
    <row r="37" spans="1:8" x14ac:dyDescent="0.25">
      <c r="A37" s="84" t="s">
        <v>865</v>
      </c>
      <c r="B37" s="84" t="s">
        <v>866</v>
      </c>
      <c r="C37" s="85" t="s">
        <v>855</v>
      </c>
      <c r="D37" s="143">
        <v>-0.37</v>
      </c>
      <c r="E37" s="143" t="s">
        <v>840</v>
      </c>
      <c r="F37" s="144" t="s">
        <v>853</v>
      </c>
      <c r="G37" s="143"/>
      <c r="H37" s="145"/>
    </row>
    <row r="38" spans="1:8" x14ac:dyDescent="0.25">
      <c r="A38" s="84" t="s">
        <v>865</v>
      </c>
      <c r="B38" s="84" t="s">
        <v>866</v>
      </c>
      <c r="C38" s="85" t="s">
        <v>856</v>
      </c>
      <c r="D38" s="143">
        <v>-1.61</v>
      </c>
      <c r="E38" s="143" t="s">
        <v>840</v>
      </c>
      <c r="F38" s="144" t="s">
        <v>853</v>
      </c>
      <c r="G38" s="143"/>
      <c r="H38" s="145"/>
    </row>
    <row r="39" spans="1:8" x14ac:dyDescent="0.25">
      <c r="A39" s="84" t="s">
        <v>865</v>
      </c>
      <c r="B39" s="84" t="s">
        <v>866</v>
      </c>
      <c r="C39" s="85" t="s">
        <v>857</v>
      </c>
      <c r="D39" s="143">
        <v>290</v>
      </c>
      <c r="E39" s="143" t="s">
        <v>840</v>
      </c>
      <c r="F39" s="144" t="s">
        <v>853</v>
      </c>
      <c r="G39" s="143"/>
      <c r="H39" s="145"/>
    </row>
    <row r="40" spans="1:8" x14ac:dyDescent="0.25">
      <c r="A40" s="84" t="s">
        <v>865</v>
      </c>
      <c r="B40" s="84" t="s">
        <v>866</v>
      </c>
      <c r="C40" s="85" t="s">
        <v>867</v>
      </c>
      <c r="D40" s="143">
        <f>44/12</f>
        <v>3.6666666666666665</v>
      </c>
      <c r="E40" s="143" t="s">
        <v>868</v>
      </c>
      <c r="F40" s="144" t="s">
        <v>869</v>
      </c>
      <c r="G40" s="143"/>
      <c r="H40" s="145"/>
    </row>
    <row r="41" spans="1:8" ht="18" x14ac:dyDescent="0.25">
      <c r="A41" s="84" t="s">
        <v>870</v>
      </c>
      <c r="B41" s="84" t="s">
        <v>871</v>
      </c>
      <c r="C41" s="85" t="s">
        <v>872</v>
      </c>
      <c r="D41" s="143">
        <v>0.44</v>
      </c>
      <c r="E41" s="143" t="s">
        <v>1328</v>
      </c>
      <c r="F41" s="144" t="s">
        <v>184</v>
      </c>
      <c r="G41" s="143"/>
      <c r="H41" s="145"/>
    </row>
    <row r="42" spans="1:8" ht="18" x14ac:dyDescent="0.25">
      <c r="A42" s="84" t="s">
        <v>870</v>
      </c>
      <c r="B42" s="84" t="s">
        <v>871</v>
      </c>
      <c r="C42" s="85" t="s">
        <v>873</v>
      </c>
      <c r="D42" s="143">
        <f>422/1000</f>
        <v>0.42199999999999999</v>
      </c>
      <c r="E42" s="143" t="s">
        <v>1328</v>
      </c>
      <c r="F42" s="144">
        <v>0.3</v>
      </c>
      <c r="G42" s="143" t="s">
        <v>35</v>
      </c>
      <c r="H42" s="145"/>
    </row>
    <row r="43" spans="1:8" ht="18" x14ac:dyDescent="0.25">
      <c r="A43" s="84" t="s">
        <v>870</v>
      </c>
      <c r="B43" s="84" t="s">
        <v>871</v>
      </c>
      <c r="C43" s="85" t="s">
        <v>874</v>
      </c>
      <c r="D43" s="143">
        <f>(21.3538+8.9864)/2000</f>
        <v>1.5170099999999999E-2</v>
      </c>
      <c r="E43" s="143" t="s">
        <v>1328</v>
      </c>
      <c r="F43" s="144">
        <v>0.1</v>
      </c>
      <c r="G43" s="143" t="s">
        <v>38</v>
      </c>
      <c r="H43" s="145"/>
    </row>
    <row r="44" spans="1:8" ht="18" x14ac:dyDescent="0.25">
      <c r="A44" s="84" t="s">
        <v>870</v>
      </c>
      <c r="B44" s="84" t="s">
        <v>871</v>
      </c>
      <c r="C44" s="85" t="s">
        <v>875</v>
      </c>
      <c r="D44" s="143">
        <f>0.514</f>
        <v>0.51400000000000001</v>
      </c>
      <c r="E44" s="143" t="s">
        <v>1328</v>
      </c>
      <c r="F44" s="144" t="s">
        <v>184</v>
      </c>
      <c r="G44" s="143"/>
      <c r="H44" s="145"/>
    </row>
    <row r="45" spans="1:8" ht="18" x14ac:dyDescent="0.25">
      <c r="A45" s="84" t="s">
        <v>870</v>
      </c>
      <c r="B45" s="84" t="s">
        <v>871</v>
      </c>
      <c r="C45" s="85" t="s">
        <v>876</v>
      </c>
      <c r="D45" s="143">
        <f>169/1000</f>
        <v>0.16900000000000001</v>
      </c>
      <c r="E45" s="143" t="s">
        <v>1328</v>
      </c>
      <c r="F45" s="144">
        <v>0.3</v>
      </c>
      <c r="G45" s="143" t="s">
        <v>35</v>
      </c>
      <c r="H45" s="145"/>
    </row>
    <row r="46" spans="1:8" ht="18" x14ac:dyDescent="0.25">
      <c r="A46" s="84" t="s">
        <v>870</v>
      </c>
      <c r="B46" s="84" t="s">
        <v>871</v>
      </c>
      <c r="C46" s="85" t="s">
        <v>877</v>
      </c>
      <c r="D46" s="143">
        <f>61.1/1000</f>
        <v>6.1100000000000002E-2</v>
      </c>
      <c r="E46" s="143" t="s">
        <v>1328</v>
      </c>
      <c r="F46" s="144" t="s">
        <v>184</v>
      </c>
      <c r="G46" s="143"/>
      <c r="H46" s="145"/>
    </row>
    <row r="47" spans="1:8" ht="18" x14ac:dyDescent="0.25">
      <c r="A47" s="84" t="s">
        <v>870</v>
      </c>
      <c r="B47" s="84" t="s">
        <v>871</v>
      </c>
      <c r="C47" s="85" t="s">
        <v>878</v>
      </c>
      <c r="D47" s="143">
        <f>32/1000</f>
        <v>3.2000000000000001E-2</v>
      </c>
      <c r="E47" s="143" t="s">
        <v>1328</v>
      </c>
      <c r="F47" s="144">
        <v>0.3</v>
      </c>
      <c r="G47" s="143" t="s">
        <v>35</v>
      </c>
      <c r="H47" s="145"/>
    </row>
    <row r="48" spans="1:8" ht="18" x14ac:dyDescent="0.25">
      <c r="A48" s="84" t="s">
        <v>870</v>
      </c>
      <c r="B48" s="84" t="s">
        <v>871</v>
      </c>
      <c r="C48" s="85" t="s">
        <v>879</v>
      </c>
      <c r="D48" s="143">
        <f>70/1000</f>
        <v>7.0000000000000007E-2</v>
      </c>
      <c r="E48" s="143" t="s">
        <v>1328</v>
      </c>
      <c r="F48" s="144">
        <v>0.3</v>
      </c>
      <c r="G48" s="143" t="s">
        <v>35</v>
      </c>
      <c r="H48" s="145"/>
    </row>
    <row r="49" spans="1:8" ht="18" x14ac:dyDescent="0.25">
      <c r="A49" s="84" t="s">
        <v>870</v>
      </c>
      <c r="B49" s="84" t="s">
        <v>871</v>
      </c>
      <c r="C49" s="85" t="s">
        <v>880</v>
      </c>
      <c r="D49" s="143">
        <f>235/1000</f>
        <v>0.23499999999999999</v>
      </c>
      <c r="E49" s="143" t="s">
        <v>1328</v>
      </c>
      <c r="F49" s="144">
        <v>0.3</v>
      </c>
      <c r="G49" s="143" t="s">
        <v>35</v>
      </c>
      <c r="H49" s="145"/>
    </row>
    <row r="50" spans="1:8" ht="18" x14ac:dyDescent="0.25">
      <c r="A50" s="84" t="s">
        <v>870</v>
      </c>
      <c r="B50" s="84" t="s">
        <v>871</v>
      </c>
      <c r="C50" s="85" t="s">
        <v>881</v>
      </c>
      <c r="D50" s="143">
        <f>115/1000</f>
        <v>0.115</v>
      </c>
      <c r="E50" s="143" t="s">
        <v>1328</v>
      </c>
      <c r="F50" s="144">
        <v>0.3</v>
      </c>
      <c r="G50" s="143" t="s">
        <v>35</v>
      </c>
      <c r="H50" s="145"/>
    </row>
  </sheetData>
  <hyperlinks>
    <hyperlink ref="G42" r:id="rId1"/>
    <hyperlink ref="G43" r:id="rId2"/>
    <hyperlink ref="G45" r:id="rId3"/>
    <hyperlink ref="G47" r:id="rId4"/>
    <hyperlink ref="G48" r:id="rId5"/>
    <hyperlink ref="G49" r:id="rId6"/>
    <hyperlink ref="G50" r:id="rId7"/>
    <hyperlink ref="F40" r:id="rId8" display="https://www.nitidae.org/files/30c6cfd6/171122_rapport_technique_nerf_me.pdf"/>
  </hyperlinks>
  <pageMargins left="0.7" right="0.7" top="0.75" bottom="0.75" header="0.3" footer="0.3"/>
  <tableParts count="1">
    <tablePart r:id="rId9"/>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42"/>
  <sheetViews>
    <sheetView showGridLines="0" zoomScaleNormal="100" workbookViewId="0"/>
  </sheetViews>
  <sheetFormatPr baseColWidth="10" defaultColWidth="9.140625" defaultRowHeight="15" x14ac:dyDescent="0.25"/>
  <cols>
    <col min="1" max="1" width="9.140625" style="146"/>
    <col min="2" max="6" width="15.85546875" style="146" customWidth="1"/>
    <col min="7" max="16384" width="9.140625" style="146"/>
  </cols>
  <sheetData>
    <row r="2" spans="1:6" x14ac:dyDescent="0.25">
      <c r="B2" s="146" t="s">
        <v>589</v>
      </c>
    </row>
    <row r="3" spans="1:6" x14ac:dyDescent="0.25">
      <c r="B3" s="180" t="s">
        <v>590</v>
      </c>
    </row>
    <row r="5" spans="1:6" ht="35.1" customHeight="1" x14ac:dyDescent="0.25">
      <c r="A5" s="50"/>
      <c r="B5" s="181" t="s">
        <v>591</v>
      </c>
      <c r="C5" s="181"/>
      <c r="D5" s="181"/>
      <c r="E5" s="181"/>
      <c r="F5" s="182" t="s">
        <v>592</v>
      </c>
    </row>
    <row r="6" spans="1:6" ht="60" x14ac:dyDescent="0.25">
      <c r="A6" s="50"/>
      <c r="B6" s="183" t="s">
        <v>593</v>
      </c>
      <c r="C6" s="183" t="s">
        <v>594</v>
      </c>
      <c r="D6" s="184" t="s">
        <v>595</v>
      </c>
      <c r="E6" s="184" t="s">
        <v>596</v>
      </c>
      <c r="F6" s="182"/>
    </row>
    <row r="7" spans="1:6" x14ac:dyDescent="0.25">
      <c r="A7" s="185" t="s">
        <v>597</v>
      </c>
      <c r="B7" s="186"/>
      <c r="C7" s="186"/>
      <c r="D7" s="187"/>
      <c r="E7" s="187"/>
      <c r="F7" s="188"/>
    </row>
    <row r="8" spans="1:6" ht="30" x14ac:dyDescent="0.25">
      <c r="A8" s="189" t="s">
        <v>598</v>
      </c>
      <c r="B8" s="190">
        <v>205.58641368214711</v>
      </c>
      <c r="C8" s="190">
        <v>300.02209263080499</v>
      </c>
      <c r="D8" s="190">
        <v>205.58641368214711</v>
      </c>
      <c r="E8" s="190">
        <v>205.58641368214711</v>
      </c>
      <c r="F8" s="190">
        <v>356.68349999999998</v>
      </c>
    </row>
    <row r="9" spans="1:6" x14ac:dyDescent="0.25">
      <c r="A9" s="189" t="s">
        <v>599</v>
      </c>
      <c r="B9" s="190">
        <v>42.965859968044846</v>
      </c>
      <c r="C9" s="190">
        <v>16.112197488016818</v>
      </c>
      <c r="D9" s="190">
        <v>42.965859968044846</v>
      </c>
      <c r="E9" s="190">
        <v>42.965859968044846</v>
      </c>
      <c r="F9" s="190">
        <v>0</v>
      </c>
    </row>
    <row r="10" spans="1:6" x14ac:dyDescent="0.25">
      <c r="A10" s="189" t="s">
        <v>600</v>
      </c>
      <c r="B10" s="190">
        <v>429.25727276327274</v>
      </c>
      <c r="C10" s="190">
        <v>498.30222546601749</v>
      </c>
      <c r="D10" s="190">
        <v>429.25727276327274</v>
      </c>
      <c r="E10" s="190">
        <v>429.25727276327274</v>
      </c>
      <c r="F10" s="190">
        <v>539.72919708766437</v>
      </c>
    </row>
    <row r="11" spans="1:6" ht="45" x14ac:dyDescent="0.25">
      <c r="A11" s="189" t="s">
        <v>601</v>
      </c>
      <c r="B11" s="190">
        <v>543.83531185156266</v>
      </c>
      <c r="C11" s="190">
        <v>699.33199194433598</v>
      </c>
      <c r="D11" s="190">
        <v>543.83531185156266</v>
      </c>
      <c r="E11" s="190">
        <v>543.83531185156266</v>
      </c>
      <c r="F11" s="190">
        <v>792.63</v>
      </c>
    </row>
    <row r="12" spans="1:6" x14ac:dyDescent="0.25">
      <c r="A12" s="189" t="s">
        <v>602</v>
      </c>
      <c r="B12" s="190">
        <v>42.965859968044846</v>
      </c>
      <c r="C12" s="190">
        <v>16.112197488016818</v>
      </c>
      <c r="D12" s="190">
        <v>42.965859968044846</v>
      </c>
      <c r="E12" s="190">
        <v>42.965859968044846</v>
      </c>
      <c r="F12" s="190">
        <v>0</v>
      </c>
    </row>
    <row r="13" spans="1:6" x14ac:dyDescent="0.25">
      <c r="A13" s="189" t="s">
        <v>603</v>
      </c>
      <c r="B13" s="190">
        <v>425.60268887000518</v>
      </c>
      <c r="C13" s="190">
        <v>612.90495569467305</v>
      </c>
      <c r="D13" s="190">
        <v>425.60268887000518</v>
      </c>
      <c r="E13" s="190">
        <v>425.60268887000518</v>
      </c>
      <c r="F13" s="190">
        <v>725.28631578947386</v>
      </c>
    </row>
    <row r="14" spans="1:6" ht="30" x14ac:dyDescent="0.25">
      <c r="A14" s="189" t="s">
        <v>604</v>
      </c>
      <c r="B14" s="190">
        <v>493.26841036194287</v>
      </c>
      <c r="C14" s="190">
        <v>680.36940388572862</v>
      </c>
      <c r="D14" s="190">
        <v>493.26841036194287</v>
      </c>
      <c r="E14" s="190">
        <v>493.26841036194287</v>
      </c>
      <c r="F14" s="190">
        <v>792.63</v>
      </c>
    </row>
    <row r="15" spans="1:6" ht="45" x14ac:dyDescent="0.25">
      <c r="A15" s="189" t="s">
        <v>605</v>
      </c>
      <c r="B15" s="190">
        <v>527.0767631537135</v>
      </c>
      <c r="C15" s="190">
        <v>693.04753618264249</v>
      </c>
      <c r="D15" s="190">
        <v>527.0767631537135</v>
      </c>
      <c r="E15" s="190">
        <v>527.0767631537135</v>
      </c>
      <c r="F15" s="190">
        <v>792.63</v>
      </c>
    </row>
    <row r="16" spans="1:6" ht="30" x14ac:dyDescent="0.25">
      <c r="A16" s="189" t="s">
        <v>606</v>
      </c>
      <c r="B16" s="190">
        <v>350.19264315809107</v>
      </c>
      <c r="C16" s="190">
        <v>497.29801237319612</v>
      </c>
      <c r="D16" s="190">
        <v>350.19264315809107</v>
      </c>
      <c r="E16" s="190">
        <v>350.19264315809107</v>
      </c>
      <c r="F16" s="190">
        <v>585.56123390225912</v>
      </c>
    </row>
    <row r="17" spans="1:6" x14ac:dyDescent="0.25">
      <c r="A17" s="189" t="s">
        <v>607</v>
      </c>
      <c r="B17" s="190">
        <v>246.58507460916434</v>
      </c>
      <c r="C17" s="190">
        <v>339.23502797843668</v>
      </c>
      <c r="D17" s="190">
        <v>246.58507460916434</v>
      </c>
      <c r="E17" s="190">
        <v>246.58507460916434</v>
      </c>
      <c r="F17" s="190">
        <v>394.82500000000005</v>
      </c>
    </row>
    <row r="18" spans="1:6" x14ac:dyDescent="0.25">
      <c r="A18" s="189" t="s">
        <v>608</v>
      </c>
      <c r="B18" s="190">
        <v>450.38597458733341</v>
      </c>
      <c r="C18" s="190">
        <v>664.28849047025005</v>
      </c>
      <c r="D18" s="190">
        <v>450.38597458733341</v>
      </c>
      <c r="E18" s="190">
        <v>450.38597458733341</v>
      </c>
      <c r="F18" s="190">
        <v>792.63</v>
      </c>
    </row>
    <row r="19" spans="1:6" x14ac:dyDescent="0.25">
      <c r="A19" s="189" t="s">
        <v>609</v>
      </c>
      <c r="B19" s="190">
        <v>411.57690403857026</v>
      </c>
      <c r="C19" s="190">
        <v>645.66442797447485</v>
      </c>
      <c r="D19" s="190">
        <v>411.57690403857026</v>
      </c>
      <c r="E19" s="190">
        <v>411.57690403857026</v>
      </c>
      <c r="F19" s="190">
        <v>786.1169423360177</v>
      </c>
    </row>
    <row r="20" spans="1:6" x14ac:dyDescent="0.25">
      <c r="A20" s="189" t="s">
        <v>610</v>
      </c>
      <c r="B20" s="190">
        <v>133.81488072163842</v>
      </c>
      <c r="C20" s="190">
        <v>172.93682449271896</v>
      </c>
      <c r="D20" s="190">
        <v>133.81488072163842</v>
      </c>
      <c r="E20" s="190">
        <v>133.81488072163842</v>
      </c>
      <c r="F20" s="190">
        <v>196.40999075536729</v>
      </c>
    </row>
    <row r="21" spans="1:6" ht="30" x14ac:dyDescent="0.25">
      <c r="A21" s="189" t="s">
        <v>611</v>
      </c>
      <c r="B21" s="190">
        <v>410.56394652153898</v>
      </c>
      <c r="C21" s="190">
        <v>487.6555099727542</v>
      </c>
      <c r="D21" s="190">
        <v>410.56394652153898</v>
      </c>
      <c r="E21" s="190">
        <v>410.56394652153898</v>
      </c>
      <c r="F21" s="190">
        <v>533.91044804348337</v>
      </c>
    </row>
    <row r="22" spans="1:6" ht="45" x14ac:dyDescent="0.25">
      <c r="A22" s="189" t="s">
        <v>612</v>
      </c>
      <c r="B22" s="190">
        <v>433.0184336447611</v>
      </c>
      <c r="C22" s="190">
        <v>657.77566261678544</v>
      </c>
      <c r="D22" s="190">
        <v>433.0184336447611</v>
      </c>
      <c r="E22" s="190">
        <v>433.0184336447611</v>
      </c>
      <c r="F22" s="190">
        <v>792.63</v>
      </c>
    </row>
    <row r="23" spans="1:6" x14ac:dyDescent="0.25">
      <c r="A23" s="189" t="s">
        <v>613</v>
      </c>
      <c r="B23" s="190">
        <v>461.88517641738446</v>
      </c>
      <c r="C23" s="190">
        <v>668.60069115651913</v>
      </c>
      <c r="D23" s="190">
        <v>461.88517641738446</v>
      </c>
      <c r="E23" s="190">
        <v>461.88517641738446</v>
      </c>
      <c r="F23" s="190">
        <v>792.63</v>
      </c>
    </row>
    <row r="24" spans="1:6" x14ac:dyDescent="0.25">
      <c r="A24" s="189" t="s">
        <v>614</v>
      </c>
      <c r="B24" s="190">
        <v>474.9283188596043</v>
      </c>
      <c r="C24" s="190">
        <v>661.93863712366374</v>
      </c>
      <c r="D24" s="190">
        <v>474.9283188596043</v>
      </c>
      <c r="E24" s="190">
        <v>474.9283188596043</v>
      </c>
      <c r="F24" s="190">
        <v>774.14482808209925</v>
      </c>
    </row>
    <row r="25" spans="1:6" ht="30" x14ac:dyDescent="0.25">
      <c r="A25" s="189" t="s">
        <v>615</v>
      </c>
      <c r="B25" s="190">
        <v>501.84402528919861</v>
      </c>
      <c r="C25" s="190">
        <v>564.99248684156487</v>
      </c>
      <c r="D25" s="190">
        <v>501.84402528919861</v>
      </c>
      <c r="E25" s="190">
        <v>501.84402528919861</v>
      </c>
      <c r="F25" s="190">
        <v>602.88156377298469</v>
      </c>
    </row>
    <row r="26" spans="1:6" x14ac:dyDescent="0.25">
      <c r="A26" s="189" t="s">
        <v>616</v>
      </c>
      <c r="B26" s="190">
        <v>502.16722303590842</v>
      </c>
      <c r="C26" s="190">
        <v>683.70645863846562</v>
      </c>
      <c r="D26" s="190">
        <v>502.16722303590842</v>
      </c>
      <c r="E26" s="190">
        <v>502.16722303590842</v>
      </c>
      <c r="F26" s="190">
        <v>792.63</v>
      </c>
    </row>
    <row r="27" spans="1:6" x14ac:dyDescent="0.25">
      <c r="A27" s="189" t="s">
        <v>617</v>
      </c>
      <c r="B27" s="190">
        <v>336.0908726032319</v>
      </c>
      <c r="C27" s="190">
        <v>389.63603037811924</v>
      </c>
      <c r="D27" s="190">
        <v>336.0908726032319</v>
      </c>
      <c r="E27" s="190">
        <v>336.0908726032319</v>
      </c>
      <c r="F27" s="190">
        <v>421.76312504305162</v>
      </c>
    </row>
    <row r="28" spans="1:6" x14ac:dyDescent="0.25">
      <c r="A28" s="189" t="s">
        <v>618</v>
      </c>
      <c r="B28" s="190">
        <v>165.48906342147501</v>
      </c>
      <c r="C28" s="190">
        <v>226.72092137459799</v>
      </c>
      <c r="D28" s="190">
        <v>165.48906342147501</v>
      </c>
      <c r="E28" s="190">
        <v>165.48906342147501</v>
      </c>
      <c r="F28" s="190">
        <v>263.46003614647179</v>
      </c>
    </row>
    <row r="29" spans="1:6" x14ac:dyDescent="0.25">
      <c r="A29" s="189" t="s">
        <v>619</v>
      </c>
      <c r="B29" s="190">
        <v>304.20852093072773</v>
      </c>
      <c r="C29" s="190">
        <v>460.85382034902295</v>
      </c>
      <c r="D29" s="190">
        <v>304.20852093072773</v>
      </c>
      <c r="E29" s="190">
        <v>304.20852093072773</v>
      </c>
      <c r="F29" s="190">
        <v>554.84100000000001</v>
      </c>
    </row>
    <row r="30" spans="1:6" x14ac:dyDescent="0.25">
      <c r="A30" s="189" t="s">
        <v>620</v>
      </c>
      <c r="B30" s="190">
        <v>623.68500550499402</v>
      </c>
      <c r="C30" s="190">
        <v>704.90819285384646</v>
      </c>
      <c r="D30" s="190">
        <v>623.68500550499402</v>
      </c>
      <c r="E30" s="190">
        <v>623.68500550499402</v>
      </c>
      <c r="F30" s="191">
        <v>753.64210526315799</v>
      </c>
    </row>
    <row r="31" spans="1:6" ht="30" x14ac:dyDescent="0.25">
      <c r="A31" s="189" t="s">
        <v>621</v>
      </c>
      <c r="B31" s="190">
        <v>374.1429348207626</v>
      </c>
      <c r="C31" s="190">
        <v>635.69735055778597</v>
      </c>
      <c r="D31" s="190">
        <v>374.1429348207626</v>
      </c>
      <c r="E31" s="190">
        <v>374.1429348207626</v>
      </c>
      <c r="F31" s="190">
        <v>792.63</v>
      </c>
    </row>
    <row r="32" spans="1:6" x14ac:dyDescent="0.25">
      <c r="A32" s="189" t="s">
        <v>622</v>
      </c>
      <c r="B32" s="190">
        <v>42.965859968044846</v>
      </c>
      <c r="C32" s="190">
        <v>16.112197488016818</v>
      </c>
      <c r="D32" s="190">
        <v>42.965859968044846</v>
      </c>
      <c r="E32" s="190">
        <v>42.965859968044846</v>
      </c>
      <c r="F32" s="190">
        <v>0</v>
      </c>
    </row>
    <row r="33" spans="1:6" x14ac:dyDescent="0.25">
      <c r="A33" s="189" t="s">
        <v>623</v>
      </c>
      <c r="B33" s="190">
        <v>408.99442928747203</v>
      </c>
      <c r="C33" s="190">
        <v>529.06624181307188</v>
      </c>
      <c r="D33" s="190">
        <v>408.99442928747203</v>
      </c>
      <c r="E33" s="190">
        <v>408.99442928747203</v>
      </c>
      <c r="F33" s="191">
        <v>601.10932932843173</v>
      </c>
    </row>
    <row r="34" spans="1:6" ht="60" x14ac:dyDescent="0.25">
      <c r="A34" s="189" t="s">
        <v>624</v>
      </c>
      <c r="B34" s="190">
        <v>863.50763991834265</v>
      </c>
      <c r="C34" s="190">
        <v>1230.8774203548589</v>
      </c>
      <c r="D34" s="190">
        <v>863.50763991834265</v>
      </c>
      <c r="E34" s="190">
        <v>863.50763991834265</v>
      </c>
      <c r="F34" s="191">
        <v>1451.2992886167685</v>
      </c>
    </row>
    <row r="35" spans="1:6" ht="30" x14ac:dyDescent="0.25">
      <c r="A35" s="189" t="s">
        <v>625</v>
      </c>
      <c r="B35" s="190">
        <v>1179.4675325574408</v>
      </c>
      <c r="C35" s="190">
        <v>1480.0578794226165</v>
      </c>
      <c r="D35" s="190">
        <v>1179.4675325574408</v>
      </c>
      <c r="E35" s="190">
        <v>1179.4675325574408</v>
      </c>
      <c r="F35" s="191">
        <v>1660.4120875417216</v>
      </c>
    </row>
    <row r="36" spans="1:6" x14ac:dyDescent="0.25">
      <c r="A36" s="189" t="s">
        <v>626</v>
      </c>
      <c r="B36" s="190">
        <v>201.35031432078722</v>
      </c>
      <c r="C36" s="190">
        <v>295.76020037418664</v>
      </c>
      <c r="D36" s="190">
        <v>201.35031432078722</v>
      </c>
      <c r="E36" s="190">
        <v>201.35031432078722</v>
      </c>
      <c r="F36" s="191">
        <v>352.4061320062263</v>
      </c>
    </row>
    <row r="37" spans="1:6" ht="60" x14ac:dyDescent="0.25">
      <c r="A37" s="189" t="s">
        <v>627</v>
      </c>
      <c r="B37" s="190">
        <v>456.47119218874286</v>
      </c>
      <c r="C37" s="190">
        <v>666.57044707077853</v>
      </c>
      <c r="D37" s="190">
        <v>456.47119218874286</v>
      </c>
      <c r="E37" s="190">
        <v>456.47119218874286</v>
      </c>
      <c r="F37" s="191">
        <v>792.63</v>
      </c>
    </row>
    <row r="38" spans="1:6" x14ac:dyDescent="0.25">
      <c r="A38" s="189" t="s">
        <v>628</v>
      </c>
      <c r="B38" s="190">
        <v>378.7192168458987</v>
      </c>
      <c r="C38" s="190">
        <v>535.9097300661582</v>
      </c>
      <c r="D38" s="190">
        <v>378.7192168458987</v>
      </c>
      <c r="E38" s="190">
        <v>378.7192168458987</v>
      </c>
      <c r="F38" s="191">
        <v>630.22403799831397</v>
      </c>
    </row>
    <row r="39" spans="1:6" x14ac:dyDescent="0.25">
      <c r="A39" s="189" t="s">
        <v>629</v>
      </c>
      <c r="B39" s="190">
        <v>547.01997981584009</v>
      </c>
      <c r="C39" s="190">
        <v>812.64187721641144</v>
      </c>
      <c r="D39" s="190">
        <v>547.01997981584009</v>
      </c>
      <c r="E39" s="190">
        <v>547.01997981584009</v>
      </c>
      <c r="F39" s="191">
        <v>972.01501565675426</v>
      </c>
    </row>
    <row r="40" spans="1:6" ht="30" x14ac:dyDescent="0.25">
      <c r="A40" s="189" t="s">
        <v>630</v>
      </c>
      <c r="B40" s="190">
        <v>635.77148321833442</v>
      </c>
      <c r="C40" s="190">
        <v>733.80805620687545</v>
      </c>
      <c r="D40" s="190">
        <v>635.77148321833442</v>
      </c>
      <c r="E40" s="190">
        <v>635.77148321833442</v>
      </c>
      <c r="F40" s="191">
        <v>792.63</v>
      </c>
    </row>
    <row r="41" spans="1:6" x14ac:dyDescent="0.25">
      <c r="A41" s="189" t="s">
        <v>631</v>
      </c>
      <c r="B41" s="190">
        <v>316.49915741232485</v>
      </c>
      <c r="C41" s="190">
        <v>465.46280902962184</v>
      </c>
      <c r="D41" s="190">
        <v>316.49915741232485</v>
      </c>
      <c r="E41" s="190">
        <v>316.49915741232485</v>
      </c>
      <c r="F41" s="191">
        <v>554.84100000000001</v>
      </c>
    </row>
    <row r="42" spans="1:6" ht="30" x14ac:dyDescent="0.25">
      <c r="A42" s="189" t="s">
        <v>632</v>
      </c>
      <c r="B42" s="190">
        <v>580.31421025946611</v>
      </c>
      <c r="C42" s="190">
        <v>820.44274236463343</v>
      </c>
      <c r="D42" s="190">
        <v>580.31421025946611</v>
      </c>
      <c r="E42" s="190">
        <v>580.31421025946611</v>
      </c>
      <c r="F42" s="191">
        <v>964.5198616277338</v>
      </c>
    </row>
    <row r="43" spans="1:6" ht="30" x14ac:dyDescent="0.25">
      <c r="A43" s="189" t="s">
        <v>633</v>
      </c>
      <c r="B43" s="190">
        <v>275.05253950476327</v>
      </c>
      <c r="C43" s="190">
        <v>397.02602536801442</v>
      </c>
      <c r="D43" s="190">
        <v>275.05253950476327</v>
      </c>
      <c r="E43" s="190">
        <v>275.05253950476327</v>
      </c>
      <c r="F43" s="191">
        <v>470.21011688596502</v>
      </c>
    </row>
    <row r="44" spans="1:6" x14ac:dyDescent="0.25">
      <c r="A44" s="189" t="s">
        <v>634</v>
      </c>
      <c r="B44" s="190">
        <v>231.42200243679838</v>
      </c>
      <c r="C44" s="190">
        <v>286.13681609714092</v>
      </c>
      <c r="D44" s="190">
        <v>231.42200243679838</v>
      </c>
      <c r="E44" s="190">
        <v>231.42200243679838</v>
      </c>
      <c r="F44" s="191">
        <v>318.9657042933465</v>
      </c>
    </row>
    <row r="45" spans="1:6" ht="45" x14ac:dyDescent="0.25">
      <c r="A45" s="189" t="s">
        <v>635</v>
      </c>
      <c r="B45" s="190">
        <v>473.98063338916199</v>
      </c>
      <c r="C45" s="190">
        <v>673.1364875209357</v>
      </c>
      <c r="D45" s="190">
        <v>473.98063338916199</v>
      </c>
      <c r="E45" s="190">
        <v>473.98063338916199</v>
      </c>
      <c r="F45" s="191">
        <v>792.63</v>
      </c>
    </row>
    <row r="46" spans="1:6" ht="30" x14ac:dyDescent="0.25">
      <c r="A46" s="189" t="s">
        <v>636</v>
      </c>
      <c r="B46" s="190">
        <v>543.82104449824442</v>
      </c>
      <c r="C46" s="190">
        <v>699.32664168684164</v>
      </c>
      <c r="D46" s="190">
        <v>543.82104449824442</v>
      </c>
      <c r="E46" s="190">
        <v>543.82104449824442</v>
      </c>
      <c r="F46" s="190">
        <v>792.63</v>
      </c>
    </row>
    <row r="47" spans="1:6" ht="30" x14ac:dyDescent="0.25">
      <c r="A47" s="189" t="s">
        <v>637</v>
      </c>
      <c r="B47" s="190">
        <v>400.84272912995885</v>
      </c>
      <c r="C47" s="190">
        <v>645.70977342373453</v>
      </c>
      <c r="D47" s="190">
        <v>400.84272912995885</v>
      </c>
      <c r="E47" s="190">
        <v>400.84272912995885</v>
      </c>
      <c r="F47" s="190">
        <v>792.63</v>
      </c>
    </row>
    <row r="48" spans="1:6" ht="45" x14ac:dyDescent="0.25">
      <c r="A48" s="189" t="s">
        <v>638</v>
      </c>
      <c r="B48" s="190">
        <v>224.46122778617183</v>
      </c>
      <c r="C48" s="190">
        <v>331.86983541981442</v>
      </c>
      <c r="D48" s="190">
        <v>224.46122778617183</v>
      </c>
      <c r="E48" s="190">
        <v>224.46122778617183</v>
      </c>
      <c r="F48" s="190">
        <v>396.315</v>
      </c>
    </row>
    <row r="49" spans="1:6" x14ac:dyDescent="0.25">
      <c r="A49" s="189" t="s">
        <v>639</v>
      </c>
      <c r="B49" s="190">
        <v>654.59884101818534</v>
      </c>
      <c r="C49" s="190">
        <v>740.86831538181946</v>
      </c>
      <c r="D49" s="190">
        <v>654.59884101818534</v>
      </c>
      <c r="E49" s="190">
        <v>654.59884101818534</v>
      </c>
      <c r="F49" s="190">
        <v>792.63</v>
      </c>
    </row>
    <row r="50" spans="1:6" ht="30" x14ac:dyDescent="0.25">
      <c r="A50" s="189" t="s">
        <v>640</v>
      </c>
      <c r="B50" s="190">
        <v>422.07217416154265</v>
      </c>
      <c r="C50" s="190">
        <v>653.67081531057852</v>
      </c>
      <c r="D50" s="190">
        <v>422.07217416154265</v>
      </c>
      <c r="E50" s="190">
        <v>422.07217416154265</v>
      </c>
      <c r="F50" s="190">
        <v>792.63</v>
      </c>
    </row>
    <row r="51" spans="1:6" x14ac:dyDescent="0.25">
      <c r="A51" s="189" t="s">
        <v>641</v>
      </c>
      <c r="B51" s="190">
        <v>339.10535256264097</v>
      </c>
      <c r="C51" s="190">
        <v>532.42391902951033</v>
      </c>
      <c r="D51" s="190">
        <v>339.10535256264097</v>
      </c>
      <c r="E51" s="190">
        <v>339.10535256264097</v>
      </c>
      <c r="F51" s="191">
        <v>648.41505890963185</v>
      </c>
    </row>
    <row r="52" spans="1:6" ht="75" x14ac:dyDescent="0.25">
      <c r="A52" s="189" t="s">
        <v>642</v>
      </c>
      <c r="B52" s="190">
        <v>493.76254486560555</v>
      </c>
      <c r="C52" s="190">
        <v>775.17853725900284</v>
      </c>
      <c r="D52" s="190">
        <v>493.76254486560555</v>
      </c>
      <c r="E52" s="190">
        <v>493.76254486560555</v>
      </c>
      <c r="F52" s="191">
        <v>944.02813269504122</v>
      </c>
    </row>
    <row r="53" spans="1:6" ht="30" x14ac:dyDescent="0.25">
      <c r="A53" s="189" t="s">
        <v>643</v>
      </c>
      <c r="B53" s="190">
        <v>230.88184773797497</v>
      </c>
      <c r="C53" s="190">
        <v>308.73896422068213</v>
      </c>
      <c r="D53" s="190">
        <v>230.88184773797497</v>
      </c>
      <c r="E53" s="190">
        <v>230.88184773797497</v>
      </c>
      <c r="F53" s="191">
        <v>355.45323411030648</v>
      </c>
    </row>
    <row r="54" spans="1:6" x14ac:dyDescent="0.25">
      <c r="A54" s="189" t="s">
        <v>644</v>
      </c>
      <c r="B54" s="190">
        <v>646.62739326433848</v>
      </c>
      <c r="C54" s="190">
        <v>737.87902247412694</v>
      </c>
      <c r="D54" s="190">
        <v>646.62739326433848</v>
      </c>
      <c r="E54" s="190">
        <v>646.62739326433848</v>
      </c>
      <c r="F54" s="190">
        <v>792.63</v>
      </c>
    </row>
    <row r="55" spans="1:6" ht="75" x14ac:dyDescent="0.25">
      <c r="A55" s="189" t="s">
        <v>645</v>
      </c>
      <c r="B55" s="190">
        <v>43.396846853645158</v>
      </c>
      <c r="C55" s="190">
        <v>16.273817570116936</v>
      </c>
      <c r="D55" s="190">
        <v>43.396846853645158</v>
      </c>
      <c r="E55" s="190">
        <v>43.396846853645158</v>
      </c>
      <c r="F55" s="191">
        <v>0</v>
      </c>
    </row>
    <row r="56" spans="1:6" ht="45" x14ac:dyDescent="0.25">
      <c r="A56" s="189" t="s">
        <v>646</v>
      </c>
      <c r="B56" s="190">
        <v>341.55173934886443</v>
      </c>
      <c r="C56" s="190">
        <v>472.09752725582416</v>
      </c>
      <c r="D56" s="190">
        <v>341.55173934886443</v>
      </c>
      <c r="E56" s="190">
        <v>341.55173934886443</v>
      </c>
      <c r="F56" s="191">
        <v>550.42500000000007</v>
      </c>
    </row>
    <row r="57" spans="1:6" ht="30" x14ac:dyDescent="0.25">
      <c r="A57" s="189" t="s">
        <v>647</v>
      </c>
      <c r="B57" s="190">
        <v>326.23537833264834</v>
      </c>
      <c r="C57" s="190">
        <v>518.65326687474317</v>
      </c>
      <c r="D57" s="190">
        <v>326.23537833264834</v>
      </c>
      <c r="E57" s="190">
        <v>326.23537833264834</v>
      </c>
      <c r="F57" s="190">
        <v>634.10400000000004</v>
      </c>
    </row>
    <row r="58" spans="1:6" ht="30" x14ac:dyDescent="0.25">
      <c r="A58" s="189" t="s">
        <v>648</v>
      </c>
      <c r="B58" s="190">
        <v>145.15986502334783</v>
      </c>
      <c r="C58" s="190">
        <v>215.190870436387</v>
      </c>
      <c r="D58" s="190">
        <v>145.15986502334783</v>
      </c>
      <c r="E58" s="190">
        <v>145.15986502334783</v>
      </c>
      <c r="F58" s="191">
        <v>257.20947368421048</v>
      </c>
    </row>
    <row r="59" spans="1:6" ht="30" x14ac:dyDescent="0.25">
      <c r="A59" s="189" t="s">
        <v>649</v>
      </c>
      <c r="B59" s="190">
        <v>435.54316667760929</v>
      </c>
      <c r="C59" s="190">
        <v>530.06612459481414</v>
      </c>
      <c r="D59" s="190">
        <v>435.54316667760929</v>
      </c>
      <c r="E59" s="190">
        <v>435.54316667760929</v>
      </c>
      <c r="F59" s="191">
        <v>586.77989934513698</v>
      </c>
    </row>
    <row r="60" spans="1:6" x14ac:dyDescent="0.25">
      <c r="A60" s="189" t="s">
        <v>650</v>
      </c>
      <c r="B60" s="190">
        <v>236.51011276601804</v>
      </c>
      <c r="C60" s="190">
        <v>326.9397103386998</v>
      </c>
      <c r="D60" s="190">
        <v>236.51011276601804</v>
      </c>
      <c r="E60" s="190">
        <v>236.51011276601804</v>
      </c>
      <c r="F60" s="191">
        <v>381.19746888230884</v>
      </c>
    </row>
    <row r="61" spans="1:6" x14ac:dyDescent="0.25">
      <c r="A61" s="189" t="s">
        <v>651</v>
      </c>
      <c r="B61" s="190">
        <v>598.18585112492656</v>
      </c>
      <c r="C61" s="190">
        <v>754.7574242600333</v>
      </c>
      <c r="D61" s="190">
        <v>598.18585112492656</v>
      </c>
      <c r="E61" s="190">
        <v>598.18585112492656</v>
      </c>
      <c r="F61" s="191">
        <v>848.70036814109744</v>
      </c>
    </row>
    <row r="62" spans="1:6" ht="45" x14ac:dyDescent="0.25">
      <c r="A62" s="189" t="s">
        <v>652</v>
      </c>
      <c r="B62" s="190">
        <v>466.33133149335981</v>
      </c>
      <c r="C62" s="190">
        <v>644.66372299422051</v>
      </c>
      <c r="D62" s="190">
        <v>466.33133149335981</v>
      </c>
      <c r="E62" s="190">
        <v>466.33133149335981</v>
      </c>
      <c r="F62" s="191">
        <v>751.66315789473697</v>
      </c>
    </row>
    <row r="63" spans="1:6" x14ac:dyDescent="0.25">
      <c r="A63" s="189" t="s">
        <v>653</v>
      </c>
      <c r="B63" s="190">
        <v>440.80065088862273</v>
      </c>
      <c r="C63" s="190">
        <v>630.3397177674442</v>
      </c>
      <c r="D63" s="190">
        <v>440.80065088862273</v>
      </c>
      <c r="E63" s="190">
        <v>440.80065088862273</v>
      </c>
      <c r="F63" s="191">
        <v>744.06315789473695</v>
      </c>
    </row>
    <row r="64" spans="1:6" ht="30" x14ac:dyDescent="0.25">
      <c r="A64" s="189" t="s">
        <v>654</v>
      </c>
      <c r="B64" s="190">
        <v>500.73099211070974</v>
      </c>
      <c r="C64" s="190">
        <v>793.97728928599417</v>
      </c>
      <c r="D64" s="190">
        <v>500.73099211070974</v>
      </c>
      <c r="E64" s="190">
        <v>500.73099211070974</v>
      </c>
      <c r="F64" s="191">
        <v>969.92506759116486</v>
      </c>
    </row>
    <row r="65" spans="1:6" x14ac:dyDescent="0.25">
      <c r="A65" s="189" t="s">
        <v>655</v>
      </c>
      <c r="B65" s="190">
        <v>235.1292742772861</v>
      </c>
      <c r="C65" s="190">
        <v>383.53278925378311</v>
      </c>
      <c r="D65" s="190">
        <v>235.1292742772861</v>
      </c>
      <c r="E65" s="190">
        <v>235.1292742772861</v>
      </c>
      <c r="F65" s="191">
        <v>472.57489823968132</v>
      </c>
    </row>
    <row r="66" spans="1:6" x14ac:dyDescent="0.25">
      <c r="A66" s="189" t="s">
        <v>656</v>
      </c>
      <c r="B66" s="190">
        <v>638.85334743701151</v>
      </c>
      <c r="C66" s="190">
        <v>734.96375528887938</v>
      </c>
      <c r="D66" s="190">
        <v>638.85334743701151</v>
      </c>
      <c r="E66" s="190">
        <v>638.85334743701151</v>
      </c>
      <c r="F66" s="190">
        <v>792.63</v>
      </c>
    </row>
    <row r="67" spans="1:6" ht="30" x14ac:dyDescent="0.25">
      <c r="A67" s="189" t="s">
        <v>657</v>
      </c>
      <c r="B67" s="190">
        <v>551.22979066605535</v>
      </c>
      <c r="C67" s="190">
        <v>702.10492149977074</v>
      </c>
      <c r="D67" s="190">
        <v>551.22979066605535</v>
      </c>
      <c r="E67" s="190">
        <v>551.22979066605535</v>
      </c>
      <c r="F67" s="190">
        <v>792.63</v>
      </c>
    </row>
    <row r="68" spans="1:6" ht="45" x14ac:dyDescent="0.25">
      <c r="A68" s="189" t="s">
        <v>658</v>
      </c>
      <c r="B68" s="190">
        <v>459.67860984715628</v>
      </c>
      <c r="C68" s="190">
        <v>565.69626085752463</v>
      </c>
      <c r="D68" s="190">
        <v>459.67860984715628</v>
      </c>
      <c r="E68" s="190">
        <v>459.67860984715628</v>
      </c>
      <c r="F68" s="191">
        <v>629.30685146374572</v>
      </c>
    </row>
    <row r="69" spans="1:6" x14ac:dyDescent="0.25">
      <c r="A69" s="189" t="s">
        <v>659</v>
      </c>
      <c r="B69" s="190">
        <v>403.78000225242982</v>
      </c>
      <c r="C69" s="190">
        <v>585.78258103969483</v>
      </c>
      <c r="D69" s="190">
        <v>403.78000225242982</v>
      </c>
      <c r="E69" s="190">
        <v>403.78000225242982</v>
      </c>
      <c r="F69" s="191">
        <v>694.98412831205383</v>
      </c>
    </row>
    <row r="70" spans="1:6" x14ac:dyDescent="0.25">
      <c r="A70" s="189" t="s">
        <v>660</v>
      </c>
      <c r="B70" s="190">
        <v>411.17411274534106</v>
      </c>
      <c r="C70" s="190">
        <v>483.33294158089632</v>
      </c>
      <c r="D70" s="190">
        <v>411.17411274534106</v>
      </c>
      <c r="E70" s="190">
        <v>411.17411274534106</v>
      </c>
      <c r="F70" s="191">
        <v>526.62823888222943</v>
      </c>
    </row>
    <row r="71" spans="1:6" ht="30" x14ac:dyDescent="0.25">
      <c r="A71" s="189" t="s">
        <v>661</v>
      </c>
      <c r="B71" s="190">
        <v>343.56031106695525</v>
      </c>
      <c r="C71" s="190">
        <v>490.59399822905561</v>
      </c>
      <c r="D71" s="190">
        <v>343.56031106695525</v>
      </c>
      <c r="E71" s="190">
        <v>343.56031106695525</v>
      </c>
      <c r="F71" s="191">
        <v>578.81421052631583</v>
      </c>
    </row>
    <row r="72" spans="1:6" ht="45" x14ac:dyDescent="0.25">
      <c r="A72" s="189" t="s">
        <v>662</v>
      </c>
      <c r="B72" s="190">
        <v>530.65042755125148</v>
      </c>
      <c r="C72" s="190">
        <v>694.3876603317193</v>
      </c>
      <c r="D72" s="190">
        <v>530.65042755125148</v>
      </c>
      <c r="E72" s="190">
        <v>530.65042755125148</v>
      </c>
      <c r="F72" s="190">
        <v>792.63</v>
      </c>
    </row>
    <row r="73" spans="1:6" x14ac:dyDescent="0.25">
      <c r="A73" s="189" t="s">
        <v>663</v>
      </c>
      <c r="B73" s="190">
        <v>739.33450906056521</v>
      </c>
      <c r="C73" s="190">
        <v>845.0925461608698</v>
      </c>
      <c r="D73" s="190">
        <v>739.33450906056521</v>
      </c>
      <c r="E73" s="190">
        <v>739.33450906056521</v>
      </c>
      <c r="F73" s="191">
        <v>908.54736842105262</v>
      </c>
    </row>
    <row r="74" spans="1:6" x14ac:dyDescent="0.25">
      <c r="A74" s="189" t="s">
        <v>664</v>
      </c>
      <c r="B74" s="190">
        <v>733.3611497400168</v>
      </c>
      <c r="C74" s="190">
        <v>1049.483353443746</v>
      </c>
      <c r="D74" s="190">
        <v>733.3611497400168</v>
      </c>
      <c r="E74" s="190">
        <v>733.3611497400168</v>
      </c>
      <c r="F74" s="191">
        <v>1239.1566756659834</v>
      </c>
    </row>
    <row r="75" spans="1:6" x14ac:dyDescent="0.25">
      <c r="A75" s="189" t="s">
        <v>665</v>
      </c>
      <c r="B75" s="190">
        <v>42.965859968044846</v>
      </c>
      <c r="C75" s="190">
        <v>16.112197488016818</v>
      </c>
      <c r="D75" s="190">
        <v>42.965859968044846</v>
      </c>
      <c r="E75" s="190">
        <v>42.965859968044846</v>
      </c>
      <c r="F75" s="190">
        <v>0</v>
      </c>
    </row>
    <row r="76" spans="1:6" x14ac:dyDescent="0.25">
      <c r="A76" s="189" t="s">
        <v>666</v>
      </c>
      <c r="B76" s="190">
        <v>43.590022691635497</v>
      </c>
      <c r="C76" s="190">
        <v>16.346258509363313</v>
      </c>
      <c r="D76" s="190">
        <v>43.590022691635497</v>
      </c>
      <c r="E76" s="190">
        <v>43.590022691635497</v>
      </c>
      <c r="F76" s="191">
        <v>0</v>
      </c>
    </row>
    <row r="77" spans="1:6" ht="45" x14ac:dyDescent="0.25">
      <c r="A77" s="189" t="s">
        <v>667</v>
      </c>
      <c r="B77" s="190">
        <v>398.56168124000476</v>
      </c>
      <c r="C77" s="190">
        <v>644.85438046500178</v>
      </c>
      <c r="D77" s="190">
        <v>398.56168124000476</v>
      </c>
      <c r="E77" s="190">
        <v>398.56168124000476</v>
      </c>
      <c r="F77" s="190">
        <v>792.63</v>
      </c>
    </row>
    <row r="78" spans="1:6" ht="60" x14ac:dyDescent="0.25">
      <c r="A78" s="189" t="s">
        <v>668</v>
      </c>
      <c r="B78" s="190">
        <v>361.61215910635616</v>
      </c>
      <c r="C78" s="190">
        <v>630.99830966488355</v>
      </c>
      <c r="D78" s="190">
        <v>361.61215910635616</v>
      </c>
      <c r="E78" s="190">
        <v>361.61215910635616</v>
      </c>
      <c r="F78" s="190">
        <v>792.63</v>
      </c>
    </row>
    <row r="79" spans="1:6" x14ac:dyDescent="0.25">
      <c r="A79" s="189" t="s">
        <v>669</v>
      </c>
      <c r="B79" s="190">
        <v>428.33320844498144</v>
      </c>
      <c r="C79" s="190">
        <v>631.2490156668681</v>
      </c>
      <c r="D79" s="190">
        <v>428.33320844498144</v>
      </c>
      <c r="E79" s="190">
        <v>428.33320844498144</v>
      </c>
      <c r="F79" s="190">
        <v>752.99849999999992</v>
      </c>
    </row>
    <row r="80" spans="1:6" x14ac:dyDescent="0.25">
      <c r="A80" s="189" t="s">
        <v>670</v>
      </c>
      <c r="B80" s="190">
        <v>162.28633929528294</v>
      </c>
      <c r="C80" s="190">
        <v>240.71315953615562</v>
      </c>
      <c r="D80" s="190">
        <v>162.28633929528294</v>
      </c>
      <c r="E80" s="190">
        <v>162.28633929528294</v>
      </c>
      <c r="F80" s="191">
        <v>287.76925168067919</v>
      </c>
    </row>
    <row r="81" spans="1:6" x14ac:dyDescent="0.25">
      <c r="A81" s="189" t="s">
        <v>671</v>
      </c>
      <c r="B81" s="190">
        <v>98.687009945127386</v>
      </c>
      <c r="C81" s="190">
        <v>124.43433750338852</v>
      </c>
      <c r="D81" s="190">
        <v>98.687009945127386</v>
      </c>
      <c r="E81" s="190">
        <v>98.687009945127386</v>
      </c>
      <c r="F81" s="191">
        <v>139.88273403834521</v>
      </c>
    </row>
    <row r="82" spans="1:6" ht="30" x14ac:dyDescent="0.25">
      <c r="A82" s="189" t="s">
        <v>672</v>
      </c>
      <c r="B82" s="190">
        <v>335.16351081502143</v>
      </c>
      <c r="C82" s="190">
        <v>522.00131655563303</v>
      </c>
      <c r="D82" s="190">
        <v>335.16351081502143</v>
      </c>
      <c r="E82" s="190">
        <v>335.16351081502143</v>
      </c>
      <c r="F82" s="190">
        <v>634.10400000000004</v>
      </c>
    </row>
    <row r="83" spans="1:6" ht="45" x14ac:dyDescent="0.25">
      <c r="A83" s="189" t="s">
        <v>673</v>
      </c>
      <c r="B83" s="190">
        <v>442.74404645670973</v>
      </c>
      <c r="C83" s="190">
        <v>661.42276742126614</v>
      </c>
      <c r="D83" s="190">
        <v>442.74404645670973</v>
      </c>
      <c r="E83" s="190">
        <v>442.74404645670973</v>
      </c>
      <c r="F83" s="190">
        <v>792.63</v>
      </c>
    </row>
    <row r="84" spans="1:6" x14ac:dyDescent="0.25">
      <c r="A84" s="189" t="s">
        <v>674</v>
      </c>
      <c r="B84" s="190">
        <v>439.45275771472978</v>
      </c>
      <c r="C84" s="190">
        <v>633.5956408929494</v>
      </c>
      <c r="D84" s="190">
        <v>439.45275771472978</v>
      </c>
      <c r="E84" s="190">
        <v>439.45275771472978</v>
      </c>
      <c r="F84" s="191">
        <v>750.08137079988103</v>
      </c>
    </row>
    <row r="85" spans="1:6" x14ac:dyDescent="0.25">
      <c r="A85" s="189" t="s">
        <v>675</v>
      </c>
      <c r="B85" s="190">
        <v>642.71049257713344</v>
      </c>
      <c r="C85" s="190">
        <v>736.41018471642496</v>
      </c>
      <c r="D85" s="190">
        <v>642.71049257713344</v>
      </c>
      <c r="E85" s="190">
        <v>642.71049257713344</v>
      </c>
      <c r="F85" s="190">
        <v>792.63</v>
      </c>
    </row>
    <row r="86" spans="1:6" x14ac:dyDescent="0.25">
      <c r="A86" s="189" t="s">
        <v>676</v>
      </c>
      <c r="B86" s="190">
        <v>194.60845386624703</v>
      </c>
      <c r="C86" s="190">
        <v>278.25160769984262</v>
      </c>
      <c r="D86" s="190">
        <v>194.60845386624703</v>
      </c>
      <c r="E86" s="190">
        <v>194.60845386624703</v>
      </c>
      <c r="F86" s="191">
        <v>328.4375</v>
      </c>
    </row>
    <row r="87" spans="1:6" x14ac:dyDescent="0.25">
      <c r="A87" s="189" t="s">
        <v>677</v>
      </c>
      <c r="B87" s="190">
        <v>365.73113096238836</v>
      </c>
      <c r="C87" s="190">
        <v>595.88223502794631</v>
      </c>
      <c r="D87" s="190">
        <v>365.73113096238836</v>
      </c>
      <c r="E87" s="190">
        <v>365.73113096238836</v>
      </c>
      <c r="F87" s="191">
        <v>733.97289746728097</v>
      </c>
    </row>
    <row r="88" spans="1:6" x14ac:dyDescent="0.25">
      <c r="A88" s="189" t="s">
        <v>678</v>
      </c>
      <c r="B88" s="190">
        <v>359.7885936157781</v>
      </c>
      <c r="C88" s="190">
        <v>509.48845497345184</v>
      </c>
      <c r="D88" s="190">
        <v>359.7885936157781</v>
      </c>
      <c r="E88" s="190">
        <v>359.7885936157781</v>
      </c>
      <c r="F88" s="191">
        <v>599.30837178805609</v>
      </c>
    </row>
    <row r="89" spans="1:6" ht="30" x14ac:dyDescent="0.25">
      <c r="A89" s="189" t="s">
        <v>679</v>
      </c>
      <c r="B89" s="190">
        <v>398.05393622666304</v>
      </c>
      <c r="C89" s="190">
        <v>646.26364713763019</v>
      </c>
      <c r="D89" s="190">
        <v>398.05393622666304</v>
      </c>
      <c r="E89" s="190">
        <v>398.05393622666304</v>
      </c>
      <c r="F89" s="191">
        <v>795.1894736842105</v>
      </c>
    </row>
    <row r="90" spans="1:6" x14ac:dyDescent="0.25">
      <c r="A90" s="189" t="s">
        <v>680</v>
      </c>
      <c r="B90" s="190">
        <v>448.71586213607168</v>
      </c>
      <c r="C90" s="190">
        <v>610.96352633184551</v>
      </c>
      <c r="D90" s="190">
        <v>448.71586213607168</v>
      </c>
      <c r="E90" s="190">
        <v>448.71586213607168</v>
      </c>
      <c r="F90" s="191">
        <v>708.31212484930984</v>
      </c>
    </row>
    <row r="91" spans="1:6" ht="30" x14ac:dyDescent="0.25">
      <c r="A91" s="189" t="s">
        <v>681</v>
      </c>
      <c r="B91" s="190">
        <v>366.59020153010033</v>
      </c>
      <c r="C91" s="190">
        <v>632.86507557378764</v>
      </c>
      <c r="D91" s="190">
        <v>366.59020153010033</v>
      </c>
      <c r="E91" s="190">
        <v>366.59020153010033</v>
      </c>
      <c r="F91" s="190">
        <v>792.63</v>
      </c>
    </row>
    <row r="92" spans="1:6" x14ac:dyDescent="0.25">
      <c r="A92" s="189" t="s">
        <v>682</v>
      </c>
      <c r="B92" s="190">
        <v>556.91001669319189</v>
      </c>
      <c r="C92" s="190">
        <v>704.235006259947</v>
      </c>
      <c r="D92" s="190">
        <v>556.91001669319189</v>
      </c>
      <c r="E92" s="190">
        <v>556.91001669319189</v>
      </c>
      <c r="F92" s="190">
        <v>792.63</v>
      </c>
    </row>
    <row r="93" spans="1:6" ht="45" x14ac:dyDescent="0.25">
      <c r="A93" s="189" t="s">
        <v>683</v>
      </c>
      <c r="B93" s="190">
        <v>453.8128837501244</v>
      </c>
      <c r="C93" s="190">
        <v>665.57358140629663</v>
      </c>
      <c r="D93" s="190">
        <v>453.8128837501244</v>
      </c>
      <c r="E93" s="190">
        <v>453.8128837501244</v>
      </c>
      <c r="F93" s="190">
        <v>792.63</v>
      </c>
    </row>
    <row r="94" spans="1:6" x14ac:dyDescent="0.25">
      <c r="A94" s="189" t="s">
        <v>684</v>
      </c>
      <c r="B94" s="190">
        <v>446.85342096054035</v>
      </c>
      <c r="C94" s="190">
        <v>662.96378286020263</v>
      </c>
      <c r="D94" s="190">
        <v>446.85342096054035</v>
      </c>
      <c r="E94" s="190">
        <v>446.85342096054035</v>
      </c>
      <c r="F94" s="190">
        <v>792.63</v>
      </c>
    </row>
    <row r="95" spans="1:6" ht="30" x14ac:dyDescent="0.25">
      <c r="A95" s="189" t="s">
        <v>685</v>
      </c>
      <c r="B95" s="190">
        <v>402.28239861623757</v>
      </c>
      <c r="C95" s="190">
        <v>564.20946932953188</v>
      </c>
      <c r="D95" s="190">
        <v>402.28239861623757</v>
      </c>
      <c r="E95" s="190">
        <v>402.28239861623757</v>
      </c>
      <c r="F95" s="191">
        <v>661.36571175750851</v>
      </c>
    </row>
    <row r="96" spans="1:6" x14ac:dyDescent="0.25">
      <c r="A96" s="189" t="s">
        <v>686</v>
      </c>
      <c r="B96" s="190">
        <v>484.33562529589221</v>
      </c>
      <c r="C96" s="190">
        <v>677.01960948595956</v>
      </c>
      <c r="D96" s="190">
        <v>484.33562529589221</v>
      </c>
      <c r="E96" s="190">
        <v>484.33562529589221</v>
      </c>
      <c r="F96" s="190">
        <v>792.63</v>
      </c>
    </row>
    <row r="97" spans="1:6" ht="30" x14ac:dyDescent="0.25">
      <c r="A97" s="189" t="s">
        <v>687</v>
      </c>
      <c r="B97" s="190">
        <v>655.93151566122128</v>
      </c>
      <c r="C97" s="190">
        <v>741.36806837295796</v>
      </c>
      <c r="D97" s="190">
        <v>655.93151566122128</v>
      </c>
      <c r="E97" s="190">
        <v>655.93151566122128</v>
      </c>
      <c r="F97" s="190">
        <v>792.63</v>
      </c>
    </row>
    <row r="98" spans="1:6" x14ac:dyDescent="0.25">
      <c r="A98" s="189" t="s">
        <v>688</v>
      </c>
      <c r="B98" s="190">
        <v>607.34306138774264</v>
      </c>
      <c r="C98" s="190">
        <v>723.14739802040344</v>
      </c>
      <c r="D98" s="190">
        <v>607.34306138774264</v>
      </c>
      <c r="E98" s="190">
        <v>607.34306138774264</v>
      </c>
      <c r="F98" s="190">
        <v>792.63</v>
      </c>
    </row>
    <row r="99" spans="1:6" x14ac:dyDescent="0.25">
      <c r="A99" s="189" t="s">
        <v>689</v>
      </c>
      <c r="B99" s="190">
        <v>702.88923871772454</v>
      </c>
      <c r="C99" s="190">
        <v>829.21504346651523</v>
      </c>
      <c r="D99" s="190">
        <v>702.88923871772454</v>
      </c>
      <c r="E99" s="190">
        <v>702.88923871772454</v>
      </c>
      <c r="F99" s="191">
        <v>905.01052631578955</v>
      </c>
    </row>
    <row r="100" spans="1:6" ht="30" x14ac:dyDescent="0.25">
      <c r="A100" s="189" t="s">
        <v>690</v>
      </c>
      <c r="B100" s="190">
        <v>472.86282363084371</v>
      </c>
      <c r="C100" s="190">
        <v>654.35645359840862</v>
      </c>
      <c r="D100" s="190">
        <v>472.86282363084371</v>
      </c>
      <c r="E100" s="190">
        <v>472.86282363084371</v>
      </c>
      <c r="F100" s="191">
        <v>763.25263157894744</v>
      </c>
    </row>
    <row r="101" spans="1:6" ht="45" x14ac:dyDescent="0.25">
      <c r="A101" s="189" t="s">
        <v>691</v>
      </c>
      <c r="B101" s="190">
        <v>396.3813256544405</v>
      </c>
      <c r="C101" s="190">
        <v>576.28762016404869</v>
      </c>
      <c r="D101" s="190">
        <v>396.3813256544405</v>
      </c>
      <c r="E101" s="190">
        <v>396.3813256544405</v>
      </c>
      <c r="F101" s="191">
        <v>684.23139686981358</v>
      </c>
    </row>
    <row r="102" spans="1:6" x14ac:dyDescent="0.25">
      <c r="A102" s="189" t="s">
        <v>692</v>
      </c>
      <c r="B102" s="190">
        <v>247.9812932872594</v>
      </c>
      <c r="C102" s="190">
        <v>317.93371550221366</v>
      </c>
      <c r="D102" s="190">
        <v>247.9812932872594</v>
      </c>
      <c r="E102" s="190">
        <v>247.9812932872594</v>
      </c>
      <c r="F102" s="191">
        <v>359.90516883118619</v>
      </c>
    </row>
    <row r="103" spans="1:6" x14ac:dyDescent="0.25">
      <c r="A103" s="189" t="s">
        <v>693</v>
      </c>
      <c r="B103" s="190">
        <v>42.965869901360982</v>
      </c>
      <c r="C103" s="190">
        <v>16.112201213010369</v>
      </c>
      <c r="D103" s="190">
        <v>42.965869901360982</v>
      </c>
      <c r="E103" s="190">
        <v>42.965869901360982</v>
      </c>
      <c r="F103" s="191">
        <v>0</v>
      </c>
    </row>
    <row r="104" spans="1:6" x14ac:dyDescent="0.25">
      <c r="A104" s="189" t="s">
        <v>694</v>
      </c>
      <c r="B104" s="190">
        <v>672.68181972484808</v>
      </c>
      <c r="C104" s="190">
        <v>877.86762394448965</v>
      </c>
      <c r="D104" s="190">
        <v>672.68181972484808</v>
      </c>
      <c r="E104" s="190">
        <v>672.68181972484808</v>
      </c>
      <c r="F104" s="191">
        <v>1000.9791064762748</v>
      </c>
    </row>
    <row r="105" spans="1:6" ht="30" x14ac:dyDescent="0.25">
      <c r="A105" s="189" t="s">
        <v>695</v>
      </c>
      <c r="B105" s="190">
        <v>637.31060180548764</v>
      </c>
      <c r="C105" s="190">
        <v>677.01989137632268</v>
      </c>
      <c r="D105" s="190">
        <v>637.31060180548764</v>
      </c>
      <c r="E105" s="190">
        <v>637.31060180548764</v>
      </c>
      <c r="F105" s="191">
        <v>700.84546511882377</v>
      </c>
    </row>
    <row r="106" spans="1:6" x14ac:dyDescent="0.25">
      <c r="A106" s="189" t="s">
        <v>696</v>
      </c>
      <c r="B106" s="190">
        <v>470.30732404123421</v>
      </c>
      <c r="C106" s="190">
        <v>569.69573281258727</v>
      </c>
      <c r="D106" s="190">
        <v>470.30732404123421</v>
      </c>
      <c r="E106" s="190">
        <v>470.30732404123421</v>
      </c>
      <c r="F106" s="191">
        <v>629.32877807539899</v>
      </c>
    </row>
    <row r="107" spans="1:6" x14ac:dyDescent="0.25">
      <c r="A107" s="189" t="s">
        <v>697</v>
      </c>
      <c r="B107" s="190">
        <v>933.91015500615913</v>
      </c>
      <c r="C107" s="190">
        <v>1158.6889066900735</v>
      </c>
      <c r="D107" s="190">
        <v>933.91015500615913</v>
      </c>
      <c r="E107" s="190">
        <v>933.91015500615913</v>
      </c>
      <c r="F107" s="191">
        <v>1293.5561577004221</v>
      </c>
    </row>
    <row r="108" spans="1:6" x14ac:dyDescent="0.25">
      <c r="A108" s="189" t="s">
        <v>698</v>
      </c>
      <c r="B108" s="190">
        <v>225.59816807030859</v>
      </c>
      <c r="C108" s="190">
        <v>328.19654707452702</v>
      </c>
      <c r="D108" s="190">
        <v>225.59816807030859</v>
      </c>
      <c r="E108" s="190">
        <v>225.59816807030859</v>
      </c>
      <c r="F108" s="191">
        <v>389.75557447705802</v>
      </c>
    </row>
    <row r="109" spans="1:6" ht="30" x14ac:dyDescent="0.25">
      <c r="A109" s="189" t="s">
        <v>699</v>
      </c>
      <c r="B109" s="190">
        <v>303.07175771031791</v>
      </c>
      <c r="C109" s="190">
        <v>390.68342874763414</v>
      </c>
      <c r="D109" s="190">
        <v>303.07175771031791</v>
      </c>
      <c r="E109" s="190">
        <v>303.07175771031791</v>
      </c>
      <c r="F109" s="191">
        <v>443.25043137002382</v>
      </c>
    </row>
    <row r="110" spans="1:6" x14ac:dyDescent="0.25">
      <c r="A110" s="189" t="s">
        <v>700</v>
      </c>
      <c r="B110" s="190">
        <v>303.07175771031791</v>
      </c>
      <c r="C110" s="190">
        <v>390.68342874763414</v>
      </c>
      <c r="D110" s="190">
        <v>303.07175771031791</v>
      </c>
      <c r="E110" s="190">
        <v>303.07175771031791</v>
      </c>
      <c r="F110" s="191">
        <v>443.25043137002382</v>
      </c>
    </row>
    <row r="111" spans="1:6" x14ac:dyDescent="0.25">
      <c r="A111" s="189" t="s">
        <v>701</v>
      </c>
      <c r="B111" s="190">
        <v>251.58874271277699</v>
      </c>
      <c r="C111" s="190">
        <v>358.5688183661639</v>
      </c>
      <c r="D111" s="190">
        <v>251.58874271277699</v>
      </c>
      <c r="E111" s="190">
        <v>251.58874271277699</v>
      </c>
      <c r="F111" s="191">
        <v>422.756863758196</v>
      </c>
    </row>
    <row r="112" spans="1:6" x14ac:dyDescent="0.25">
      <c r="A112" s="189" t="s">
        <v>702</v>
      </c>
      <c r="B112" s="190">
        <v>542.61864422100905</v>
      </c>
      <c r="C112" s="190">
        <v>671.58725474077312</v>
      </c>
      <c r="D112" s="190">
        <v>542.61864422100905</v>
      </c>
      <c r="E112" s="190">
        <v>542.61864422100905</v>
      </c>
      <c r="F112" s="191">
        <v>748.96842105263158</v>
      </c>
    </row>
    <row r="113" spans="1:6" x14ac:dyDescent="0.25">
      <c r="A113" s="189" t="s">
        <v>703</v>
      </c>
      <c r="B113" s="190">
        <v>381.12993644471919</v>
      </c>
      <c r="C113" s="190">
        <v>455.78574562876543</v>
      </c>
      <c r="D113" s="190">
        <v>381.12993644471919</v>
      </c>
      <c r="E113" s="190">
        <v>381.12993644471919</v>
      </c>
      <c r="F113" s="191">
        <v>500.5792311391931</v>
      </c>
    </row>
    <row r="114" spans="1:6" x14ac:dyDescent="0.25">
      <c r="A114" s="189" t="s">
        <v>704</v>
      </c>
      <c r="B114" s="190">
        <v>515.78765939500045</v>
      </c>
      <c r="C114" s="190">
        <v>607.40377395501878</v>
      </c>
      <c r="D114" s="190">
        <v>515.78765939500045</v>
      </c>
      <c r="E114" s="190">
        <v>515.78765939500045</v>
      </c>
      <c r="F114" s="191">
        <v>662.37344269102982</v>
      </c>
    </row>
    <row r="115" spans="1:6" ht="30" x14ac:dyDescent="0.25">
      <c r="A115" s="189" t="s">
        <v>705</v>
      </c>
      <c r="B115" s="190">
        <v>653.37341343796311</v>
      </c>
      <c r="C115" s="190">
        <v>816.73682847426551</v>
      </c>
      <c r="D115" s="190">
        <v>653.37341343796311</v>
      </c>
      <c r="E115" s="190">
        <v>653.37341343796311</v>
      </c>
      <c r="F115" s="191">
        <v>914.7548774960469</v>
      </c>
    </row>
    <row r="116" spans="1:6" x14ac:dyDescent="0.25">
      <c r="A116" s="189" t="s">
        <v>706</v>
      </c>
      <c r="B116" s="190">
        <v>317.05608872116653</v>
      </c>
      <c r="C116" s="190">
        <v>477.83024379675322</v>
      </c>
      <c r="D116" s="190">
        <v>317.05608872116653</v>
      </c>
      <c r="E116" s="190">
        <v>317.05608872116653</v>
      </c>
      <c r="F116" s="191">
        <v>574.29473684210518</v>
      </c>
    </row>
    <row r="117" spans="1:6" x14ac:dyDescent="0.25">
      <c r="A117" s="189" t="s">
        <v>707</v>
      </c>
      <c r="B117" s="190">
        <v>602.3887337705728</v>
      </c>
      <c r="C117" s="190">
        <v>721.28952516396475</v>
      </c>
      <c r="D117" s="190">
        <v>602.3887337705728</v>
      </c>
      <c r="E117" s="190">
        <v>602.3887337705728</v>
      </c>
      <c r="F117" s="190">
        <v>792.63</v>
      </c>
    </row>
    <row r="118" spans="1:6" x14ac:dyDescent="0.25">
      <c r="A118" s="192" t="s">
        <v>708</v>
      </c>
      <c r="B118" s="190">
        <v>406.77030996088178</v>
      </c>
      <c r="C118" s="190">
        <v>621.69782737035632</v>
      </c>
      <c r="D118" s="190">
        <v>406.77030996088178</v>
      </c>
      <c r="E118" s="190">
        <v>406.77030996088178</v>
      </c>
      <c r="F118" s="191">
        <v>750.65433781604111</v>
      </c>
    </row>
    <row r="119" spans="1:6" ht="60" x14ac:dyDescent="0.25">
      <c r="A119" s="189" t="s">
        <v>709</v>
      </c>
      <c r="B119" s="190">
        <v>290.89868624880512</v>
      </c>
      <c r="C119" s="190">
        <v>441.99133214494128</v>
      </c>
      <c r="D119" s="190">
        <v>290.89868624880512</v>
      </c>
      <c r="E119" s="190">
        <v>290.89868624880512</v>
      </c>
      <c r="F119" s="191">
        <v>532.64691968262298</v>
      </c>
    </row>
    <row r="120" spans="1:6" x14ac:dyDescent="0.25">
      <c r="A120" s="189" t="s">
        <v>710</v>
      </c>
      <c r="B120" s="190">
        <v>832.28872817210117</v>
      </c>
      <c r="C120" s="190">
        <v>1005.0323114492963</v>
      </c>
      <c r="D120" s="190">
        <v>832.28872817210117</v>
      </c>
      <c r="E120" s="190">
        <v>832.28872817210117</v>
      </c>
      <c r="F120" s="191">
        <v>1108.6784614156134</v>
      </c>
    </row>
    <row r="121" spans="1:6" x14ac:dyDescent="0.25">
      <c r="A121" s="189" t="s">
        <v>711</v>
      </c>
      <c r="B121" s="190">
        <v>406.55552970303887</v>
      </c>
      <c r="C121" s="190">
        <v>577.99367694089551</v>
      </c>
      <c r="D121" s="190">
        <v>406.55552970303887</v>
      </c>
      <c r="E121" s="190">
        <v>406.55552970303887</v>
      </c>
      <c r="F121" s="191">
        <v>680.85656528360948</v>
      </c>
    </row>
    <row r="122" spans="1:6" ht="30" x14ac:dyDescent="0.25">
      <c r="A122" s="189" t="s">
        <v>712</v>
      </c>
      <c r="B122" s="190">
        <v>156.11526495919065</v>
      </c>
      <c r="C122" s="190">
        <v>218.27820901705331</v>
      </c>
      <c r="D122" s="190">
        <v>156.11526495919065</v>
      </c>
      <c r="E122" s="190">
        <v>156.11526495919065</v>
      </c>
      <c r="F122" s="191">
        <v>255.57597545177089</v>
      </c>
    </row>
    <row r="123" spans="1:6" x14ac:dyDescent="0.25">
      <c r="A123" s="189" t="s">
        <v>713</v>
      </c>
      <c r="B123" s="190">
        <v>365.59161814481297</v>
      </c>
      <c r="C123" s="190">
        <v>548.98998180430488</v>
      </c>
      <c r="D123" s="190">
        <v>365.59161814481297</v>
      </c>
      <c r="E123" s="190">
        <v>365.59161814481297</v>
      </c>
      <c r="F123" s="190">
        <v>659.029</v>
      </c>
    </row>
    <row r="124" spans="1:6" x14ac:dyDescent="0.25">
      <c r="A124" s="189" t="s">
        <v>714</v>
      </c>
      <c r="B124" s="190">
        <v>176.99648375642835</v>
      </c>
      <c r="C124" s="190">
        <v>244.96254859616062</v>
      </c>
      <c r="D124" s="190">
        <v>176.99648375642835</v>
      </c>
      <c r="E124" s="190">
        <v>176.99648375642835</v>
      </c>
      <c r="F124" s="191">
        <v>285.7421875</v>
      </c>
    </row>
    <row r="125" spans="1:6" x14ac:dyDescent="0.25">
      <c r="A125" s="189" t="s">
        <v>715</v>
      </c>
      <c r="B125" s="190">
        <v>552.14266711364291</v>
      </c>
      <c r="C125" s="190">
        <v>697.21139490445819</v>
      </c>
      <c r="D125" s="190">
        <v>552.14266711364291</v>
      </c>
      <c r="E125" s="190">
        <v>552.14266711364291</v>
      </c>
      <c r="F125" s="191">
        <v>784.25263157894733</v>
      </c>
    </row>
    <row r="126" spans="1:6" x14ac:dyDescent="0.25">
      <c r="A126" s="189" t="s">
        <v>716</v>
      </c>
      <c r="B126" s="190">
        <v>42.965859968044846</v>
      </c>
      <c r="C126" s="190">
        <v>16.112197488016818</v>
      </c>
      <c r="D126" s="190">
        <v>42.965859968044846</v>
      </c>
      <c r="E126" s="190">
        <v>42.965859968044846</v>
      </c>
      <c r="F126" s="190">
        <v>0</v>
      </c>
    </row>
    <row r="127" spans="1:6" x14ac:dyDescent="0.25">
      <c r="A127" s="189" t="s">
        <v>717</v>
      </c>
      <c r="B127" s="190">
        <v>407.0851819406389</v>
      </c>
      <c r="C127" s="190">
        <v>573.74163072773956</v>
      </c>
      <c r="D127" s="190">
        <v>407.0851819406389</v>
      </c>
      <c r="E127" s="190">
        <v>407.0851819406389</v>
      </c>
      <c r="F127" s="190">
        <v>673.7355</v>
      </c>
    </row>
    <row r="128" spans="1:6" x14ac:dyDescent="0.25">
      <c r="A128" s="189" t="s">
        <v>718</v>
      </c>
      <c r="B128" s="190">
        <v>537.8173225424141</v>
      </c>
      <c r="C128" s="190">
        <v>632.14521335470363</v>
      </c>
      <c r="D128" s="190">
        <v>537.8173225424141</v>
      </c>
      <c r="E128" s="190">
        <v>537.8173225424141</v>
      </c>
      <c r="F128" s="191">
        <v>688.74194784207725</v>
      </c>
    </row>
    <row r="129" spans="1:6" ht="30" x14ac:dyDescent="0.25">
      <c r="A129" s="189" t="s">
        <v>719</v>
      </c>
      <c r="B129" s="190">
        <v>97.093086602374683</v>
      </c>
      <c r="C129" s="190">
        <v>135.48865747589048</v>
      </c>
      <c r="D129" s="190">
        <v>97.093086602374683</v>
      </c>
      <c r="E129" s="190">
        <v>97.093086602374683</v>
      </c>
      <c r="F129" s="190">
        <v>158.52599999999995</v>
      </c>
    </row>
    <row r="130" spans="1:6" x14ac:dyDescent="0.25">
      <c r="A130" s="189" t="s">
        <v>720</v>
      </c>
      <c r="B130" s="190">
        <v>214.99322169879133</v>
      </c>
      <c r="C130" s="190">
        <v>302.29891248996665</v>
      </c>
      <c r="D130" s="190">
        <v>214.99322169879133</v>
      </c>
      <c r="E130" s="190">
        <v>214.99322169879133</v>
      </c>
      <c r="F130" s="191">
        <v>354.68232696467192</v>
      </c>
    </row>
    <row r="131" spans="1:6" ht="30" x14ac:dyDescent="0.25">
      <c r="A131" s="189" t="s">
        <v>721</v>
      </c>
      <c r="B131" s="190">
        <v>190.77316489488777</v>
      </c>
      <c r="C131" s="190">
        <v>301.01910350224961</v>
      </c>
      <c r="D131" s="190">
        <v>190.77316489488777</v>
      </c>
      <c r="E131" s="190">
        <v>190.77316489488777</v>
      </c>
      <c r="F131" s="191">
        <v>367.16666666666669</v>
      </c>
    </row>
    <row r="132" spans="1:6" ht="30" x14ac:dyDescent="0.25">
      <c r="A132" s="189" t="s">
        <v>722</v>
      </c>
      <c r="B132" s="190">
        <v>238.7980760832308</v>
      </c>
      <c r="C132" s="190">
        <v>370.01177853121158</v>
      </c>
      <c r="D132" s="190">
        <v>238.7980760832308</v>
      </c>
      <c r="E132" s="190">
        <v>238.7980760832308</v>
      </c>
      <c r="F132" s="190">
        <v>448.74</v>
      </c>
    </row>
    <row r="133" spans="1:6" ht="30" x14ac:dyDescent="0.25">
      <c r="A133" s="189" t="s">
        <v>723</v>
      </c>
      <c r="B133" s="190">
        <v>690.79323816859483</v>
      </c>
      <c r="C133" s="190">
        <v>920.58054469091962</v>
      </c>
      <c r="D133" s="190">
        <v>690.79323816859483</v>
      </c>
      <c r="E133" s="190">
        <v>690.79323816859483</v>
      </c>
      <c r="F133" s="191">
        <v>1058.4529286043144</v>
      </c>
    </row>
    <row r="134" spans="1:6" ht="30" x14ac:dyDescent="0.25">
      <c r="A134" s="189" t="s">
        <v>724</v>
      </c>
      <c r="B134" s="190">
        <v>377.48296437983203</v>
      </c>
      <c r="C134" s="190">
        <v>537.87111164243709</v>
      </c>
      <c r="D134" s="190">
        <v>377.48296437983203</v>
      </c>
      <c r="E134" s="190">
        <v>377.48296437983203</v>
      </c>
      <c r="F134" s="190">
        <v>634.10400000000004</v>
      </c>
    </row>
    <row r="135" spans="1:6" ht="45" x14ac:dyDescent="0.25">
      <c r="A135" s="189" t="s">
        <v>725</v>
      </c>
      <c r="B135" s="190">
        <v>473.57478708851443</v>
      </c>
      <c r="C135" s="190">
        <v>672.98429515819294</v>
      </c>
      <c r="D135" s="190">
        <v>473.57478708851443</v>
      </c>
      <c r="E135" s="190">
        <v>473.57478708851443</v>
      </c>
      <c r="F135" s="190">
        <v>792.63</v>
      </c>
    </row>
    <row r="136" spans="1:6" x14ac:dyDescent="0.25">
      <c r="A136" s="189" t="s">
        <v>726</v>
      </c>
      <c r="B136" s="190">
        <v>42.965859968044846</v>
      </c>
      <c r="C136" s="190">
        <v>16.112197488016818</v>
      </c>
      <c r="D136" s="190">
        <v>42.965859968044846</v>
      </c>
      <c r="E136" s="190">
        <v>42.965859968044846</v>
      </c>
      <c r="F136" s="190">
        <v>0</v>
      </c>
    </row>
    <row r="137" spans="1:6" x14ac:dyDescent="0.25">
      <c r="A137" s="189" t="s">
        <v>727</v>
      </c>
      <c r="B137" s="190">
        <v>470.4103840228521</v>
      </c>
      <c r="C137" s="190">
        <v>550.76215678230733</v>
      </c>
      <c r="D137" s="190">
        <v>470.4103840228521</v>
      </c>
      <c r="E137" s="190">
        <v>470.4103840228521</v>
      </c>
      <c r="F137" s="191">
        <v>598.97322043798044</v>
      </c>
    </row>
    <row r="138" spans="1:6" x14ac:dyDescent="0.25">
      <c r="A138" s="189" t="s">
        <v>728</v>
      </c>
      <c r="B138" s="190">
        <v>552.85139253270665</v>
      </c>
      <c r="C138" s="190">
        <v>702.71302219976496</v>
      </c>
      <c r="D138" s="190">
        <v>552.85139253270665</v>
      </c>
      <c r="E138" s="190">
        <v>552.85139253270665</v>
      </c>
      <c r="F138" s="190">
        <v>792.63</v>
      </c>
    </row>
    <row r="139" spans="1:6" x14ac:dyDescent="0.25">
      <c r="A139" s="189" t="s">
        <v>729</v>
      </c>
      <c r="B139" s="190">
        <v>549.94937359019173</v>
      </c>
      <c r="C139" s="190">
        <v>701.62476509632188</v>
      </c>
      <c r="D139" s="190">
        <v>549.94937359019173</v>
      </c>
      <c r="E139" s="190">
        <v>549.94937359019173</v>
      </c>
      <c r="F139" s="190">
        <v>792.63</v>
      </c>
    </row>
    <row r="140" spans="1:6" x14ac:dyDescent="0.25">
      <c r="A140" s="189" t="s">
        <v>730</v>
      </c>
      <c r="B140" s="190">
        <v>456.17127465574697</v>
      </c>
      <c r="C140" s="190">
        <v>652.13001746958935</v>
      </c>
      <c r="D140" s="190">
        <v>456.17127465574697</v>
      </c>
      <c r="E140" s="190">
        <v>456.17127465574697</v>
      </c>
      <c r="F140" s="191">
        <v>769.70526315789482</v>
      </c>
    </row>
    <row r="141" spans="1:6" ht="30" x14ac:dyDescent="0.25">
      <c r="A141" s="189" t="s">
        <v>731</v>
      </c>
      <c r="B141" s="190">
        <v>610.39513085488534</v>
      </c>
      <c r="C141" s="190">
        <v>724.29192407058201</v>
      </c>
      <c r="D141" s="190">
        <v>610.39513085488534</v>
      </c>
      <c r="E141" s="190">
        <v>610.39513085488534</v>
      </c>
      <c r="F141" s="190">
        <v>792.63</v>
      </c>
    </row>
    <row r="142" spans="1:6" ht="45" x14ac:dyDescent="0.25">
      <c r="A142" s="189" t="s">
        <v>732</v>
      </c>
      <c r="B142" s="190">
        <v>468.35996899366648</v>
      </c>
      <c r="C142" s="190">
        <v>671.02873837262496</v>
      </c>
      <c r="D142" s="190">
        <v>468.35996899366648</v>
      </c>
      <c r="E142" s="190">
        <v>468.35996899366648</v>
      </c>
      <c r="F142" s="190">
        <v>792.63</v>
      </c>
    </row>
    <row r="143" spans="1:6" ht="30" x14ac:dyDescent="0.25">
      <c r="A143" s="189" t="s">
        <v>733</v>
      </c>
      <c r="B143" s="190">
        <v>512.22904905073165</v>
      </c>
      <c r="C143" s="190">
        <v>687.47964339402438</v>
      </c>
      <c r="D143" s="190">
        <v>512.22904905073165</v>
      </c>
      <c r="E143" s="190">
        <v>512.22904905073165</v>
      </c>
      <c r="F143" s="190">
        <v>792.63</v>
      </c>
    </row>
    <row r="144" spans="1:6" ht="30" x14ac:dyDescent="0.25">
      <c r="A144" s="189" t="s">
        <v>734</v>
      </c>
      <c r="B144" s="190">
        <v>552.24520912655589</v>
      </c>
      <c r="C144" s="190">
        <v>651.30467593857998</v>
      </c>
      <c r="D144" s="190">
        <v>552.24520912655589</v>
      </c>
      <c r="E144" s="190">
        <v>552.24520912655589</v>
      </c>
      <c r="F144" s="191">
        <v>710.74035602579443</v>
      </c>
    </row>
    <row r="145" spans="1:6" ht="30" x14ac:dyDescent="0.25">
      <c r="A145" s="189" t="s">
        <v>735</v>
      </c>
      <c r="B145" s="190">
        <v>545.04175258599298</v>
      </c>
      <c r="C145" s="190">
        <v>699.78440721974732</v>
      </c>
      <c r="D145" s="190">
        <v>545.04175258599298</v>
      </c>
      <c r="E145" s="190">
        <v>545.04175258599298</v>
      </c>
      <c r="F145" s="190">
        <v>792.63</v>
      </c>
    </row>
    <row r="146" spans="1:6" x14ac:dyDescent="0.25">
      <c r="A146" s="189" t="s">
        <v>736</v>
      </c>
      <c r="B146" s="190">
        <v>319.62067261904485</v>
      </c>
      <c r="C146" s="190">
        <v>450.02295030811831</v>
      </c>
      <c r="D146" s="190">
        <v>319.62067261904485</v>
      </c>
      <c r="E146" s="190">
        <v>319.62067261904485</v>
      </c>
      <c r="F146" s="191">
        <v>528.26431692156234</v>
      </c>
    </row>
    <row r="147" spans="1:6" ht="30" x14ac:dyDescent="0.25">
      <c r="A147" s="189" t="s">
        <v>737</v>
      </c>
      <c r="B147" s="190">
        <v>609.9711046153302</v>
      </c>
      <c r="C147" s="190">
        <v>724.13291423074884</v>
      </c>
      <c r="D147" s="190">
        <v>609.9711046153302</v>
      </c>
      <c r="E147" s="190">
        <v>609.9711046153302</v>
      </c>
      <c r="F147" s="190">
        <v>792.63</v>
      </c>
    </row>
    <row r="148" spans="1:6" x14ac:dyDescent="0.25">
      <c r="A148" s="189" t="s">
        <v>738</v>
      </c>
      <c r="B148" s="190">
        <v>436.31223093635407</v>
      </c>
      <c r="C148" s="190">
        <v>502.57502223621697</v>
      </c>
      <c r="D148" s="190">
        <v>436.31223093635407</v>
      </c>
      <c r="E148" s="190">
        <v>436.31223093635407</v>
      </c>
      <c r="F148" s="191">
        <v>542.33269701613472</v>
      </c>
    </row>
    <row r="149" spans="1:6" x14ac:dyDescent="0.25">
      <c r="A149" s="189" t="s">
        <v>739</v>
      </c>
      <c r="B149" s="190">
        <v>42.965859968044846</v>
      </c>
      <c r="C149" s="190">
        <v>16.112197488016818</v>
      </c>
      <c r="D149" s="190">
        <v>42.965859968044846</v>
      </c>
      <c r="E149" s="190">
        <v>42.965859968044846</v>
      </c>
      <c r="F149" s="190">
        <v>0</v>
      </c>
    </row>
    <row r="150" spans="1:6" ht="30" x14ac:dyDescent="0.25">
      <c r="A150" s="189" t="s">
        <v>740</v>
      </c>
      <c r="B150" s="190">
        <v>1048.9569616965869</v>
      </c>
      <c r="C150" s="190">
        <v>1272.1786283493552</v>
      </c>
      <c r="D150" s="190">
        <v>1048.9569616965869</v>
      </c>
      <c r="E150" s="190">
        <v>1048.9569616965869</v>
      </c>
      <c r="F150" s="191">
        <v>1406.1116283410161</v>
      </c>
    </row>
    <row r="151" spans="1:6" ht="30" x14ac:dyDescent="0.25">
      <c r="A151" s="189" t="s">
        <v>741</v>
      </c>
      <c r="B151" s="190">
        <v>543.54549959398742</v>
      </c>
      <c r="C151" s="190">
        <v>830.30496128391565</v>
      </c>
      <c r="D151" s="190">
        <v>543.54549959398742</v>
      </c>
      <c r="E151" s="190">
        <v>543.54549959398742</v>
      </c>
      <c r="F151" s="191">
        <v>1002.3606382978725</v>
      </c>
    </row>
    <row r="152" spans="1:6" ht="30" x14ac:dyDescent="0.25">
      <c r="A152" s="189" t="s">
        <v>742</v>
      </c>
      <c r="B152" s="190">
        <v>542.20225130532958</v>
      </c>
      <c r="C152" s="190">
        <v>698.71959423949863</v>
      </c>
      <c r="D152" s="190">
        <v>542.20225130532958</v>
      </c>
      <c r="E152" s="190">
        <v>542.20225130532958</v>
      </c>
      <c r="F152" s="190">
        <v>792.63</v>
      </c>
    </row>
    <row r="153" spans="1:6" x14ac:dyDescent="0.25">
      <c r="A153" s="189" t="s">
        <v>743</v>
      </c>
      <c r="B153" s="190">
        <v>550.57909980594138</v>
      </c>
      <c r="C153" s="190">
        <v>611.84121010933666</v>
      </c>
      <c r="D153" s="190">
        <v>550.57909980594138</v>
      </c>
      <c r="E153" s="190">
        <v>550.57909980594138</v>
      </c>
      <c r="F153" s="191">
        <v>648.5984762913738</v>
      </c>
    </row>
    <row r="154" spans="1:6" ht="30" x14ac:dyDescent="0.25">
      <c r="A154" s="189" t="s">
        <v>744</v>
      </c>
      <c r="B154" s="190">
        <v>128.29770180321495</v>
      </c>
      <c r="C154" s="190">
        <v>171.88196776438059</v>
      </c>
      <c r="D154" s="190">
        <v>128.29770180321495</v>
      </c>
      <c r="E154" s="190">
        <v>128.29770180321495</v>
      </c>
      <c r="F154" s="191">
        <v>198.03252734107997</v>
      </c>
    </row>
    <row r="155" spans="1:6" ht="30" x14ac:dyDescent="0.25">
      <c r="A155" s="189" t="s">
        <v>745</v>
      </c>
      <c r="B155" s="190">
        <v>366.88304170287529</v>
      </c>
      <c r="C155" s="190">
        <v>517.56990728299058</v>
      </c>
      <c r="D155" s="190">
        <v>366.88304170287529</v>
      </c>
      <c r="E155" s="190">
        <v>366.88304170287529</v>
      </c>
      <c r="F155" s="191">
        <v>607.98202663105974</v>
      </c>
    </row>
    <row r="156" spans="1:6" x14ac:dyDescent="0.25">
      <c r="A156" s="189" t="s">
        <v>746</v>
      </c>
      <c r="B156" s="190">
        <v>133.52295647001529</v>
      </c>
      <c r="C156" s="190">
        <v>195.09742446572943</v>
      </c>
      <c r="D156" s="190">
        <v>133.52295647001529</v>
      </c>
      <c r="E156" s="190">
        <v>133.52295647001529</v>
      </c>
      <c r="F156" s="191">
        <v>232.04210526315788</v>
      </c>
    </row>
    <row r="157" spans="1:6" x14ac:dyDescent="0.25">
      <c r="A157" s="189" t="s">
        <v>747</v>
      </c>
      <c r="B157" s="190">
        <v>567.61420888426346</v>
      </c>
      <c r="C157" s="190">
        <v>708.24907833159875</v>
      </c>
      <c r="D157" s="190">
        <v>567.61420888426346</v>
      </c>
      <c r="E157" s="190">
        <v>567.61420888426346</v>
      </c>
      <c r="F157" s="190">
        <v>792.63</v>
      </c>
    </row>
    <row r="158" spans="1:6" x14ac:dyDescent="0.25">
      <c r="A158" s="189" t="s">
        <v>748</v>
      </c>
      <c r="B158" s="190">
        <v>42.965859968044846</v>
      </c>
      <c r="C158" s="190">
        <v>16.112197488016818</v>
      </c>
      <c r="D158" s="190">
        <v>42.965859968044846</v>
      </c>
      <c r="E158" s="190">
        <v>42.965859968044846</v>
      </c>
      <c r="F158" s="191">
        <v>0</v>
      </c>
    </row>
    <row r="159" spans="1:6" ht="30" x14ac:dyDescent="0.25">
      <c r="A159" s="189" t="s">
        <v>749</v>
      </c>
      <c r="B159" s="190">
        <v>221.28845924512046</v>
      </c>
      <c r="C159" s="190">
        <v>279.75387701308478</v>
      </c>
      <c r="D159" s="190">
        <v>221.28845924512046</v>
      </c>
      <c r="E159" s="190">
        <v>221.28845924512046</v>
      </c>
      <c r="F159" s="191">
        <v>314.83312767386337</v>
      </c>
    </row>
    <row r="160" spans="1:6" ht="45" x14ac:dyDescent="0.25">
      <c r="A160" s="189" t="s">
        <v>750</v>
      </c>
      <c r="B160" s="190">
        <v>485.2077815958487</v>
      </c>
      <c r="C160" s="190">
        <v>677.34666809844327</v>
      </c>
      <c r="D160" s="190">
        <v>485.2077815958487</v>
      </c>
      <c r="E160" s="190">
        <v>485.2077815958487</v>
      </c>
      <c r="F160" s="190">
        <v>792.63</v>
      </c>
    </row>
    <row r="161" spans="1:6" ht="60" x14ac:dyDescent="0.25">
      <c r="A161" s="189" t="s">
        <v>751</v>
      </c>
      <c r="B161" s="190">
        <v>417.38837582161949</v>
      </c>
      <c r="C161" s="190">
        <v>651.91439093310726</v>
      </c>
      <c r="D161" s="190">
        <v>417.38837582161949</v>
      </c>
      <c r="E161" s="190">
        <v>417.38837582161949</v>
      </c>
      <c r="F161" s="190">
        <v>792.63</v>
      </c>
    </row>
    <row r="162" spans="1:6" ht="30" x14ac:dyDescent="0.25">
      <c r="A162" s="189" t="s">
        <v>752</v>
      </c>
      <c r="B162" s="190">
        <v>159.87297380931327</v>
      </c>
      <c r="C162" s="190">
        <v>235.47775580349247</v>
      </c>
      <c r="D162" s="190">
        <v>159.87297380931327</v>
      </c>
      <c r="E162" s="190">
        <v>159.87297380931327</v>
      </c>
      <c r="F162" s="191">
        <v>280.84062499999999</v>
      </c>
    </row>
    <row r="163" spans="1:6" ht="30" x14ac:dyDescent="0.25">
      <c r="A163" s="189" t="s">
        <v>753</v>
      </c>
      <c r="B163" s="190">
        <v>428.92266249889906</v>
      </c>
      <c r="C163" s="190">
        <v>605.85224843708716</v>
      </c>
      <c r="D163" s="190">
        <v>428.92266249889906</v>
      </c>
      <c r="E163" s="190">
        <v>428.92266249889906</v>
      </c>
      <c r="F163" s="191">
        <v>712.01</v>
      </c>
    </row>
    <row r="164" spans="1:6" x14ac:dyDescent="0.25">
      <c r="A164" s="189" t="s">
        <v>754</v>
      </c>
      <c r="B164" s="190">
        <v>748.78051902220955</v>
      </c>
      <c r="C164" s="190">
        <v>761.19401042280231</v>
      </c>
      <c r="D164" s="190">
        <v>748.78051902220955</v>
      </c>
      <c r="E164" s="190">
        <v>748.78051902220955</v>
      </c>
      <c r="F164" s="191">
        <v>768.64210526315799</v>
      </c>
    </row>
    <row r="165" spans="1:6" x14ac:dyDescent="0.25">
      <c r="A165" s="189" t="s">
        <v>755</v>
      </c>
      <c r="B165" s="190">
        <v>395.31206159723234</v>
      </c>
      <c r="C165" s="190">
        <v>476.86181476562882</v>
      </c>
      <c r="D165" s="190">
        <v>395.31206159723234</v>
      </c>
      <c r="E165" s="190">
        <v>395.31206159723234</v>
      </c>
      <c r="F165" s="191">
        <v>525.79166666666663</v>
      </c>
    </row>
    <row r="166" spans="1:6" x14ac:dyDescent="0.25">
      <c r="A166" s="189" t="s">
        <v>756</v>
      </c>
      <c r="B166" s="190">
        <v>355.08443748956569</v>
      </c>
      <c r="C166" s="190">
        <v>529.47166405858718</v>
      </c>
      <c r="D166" s="190">
        <v>355.08443748956569</v>
      </c>
      <c r="E166" s="190">
        <v>355.08443748956569</v>
      </c>
      <c r="F166" s="190">
        <v>634.10400000000004</v>
      </c>
    </row>
    <row r="167" spans="1:6" ht="60" x14ac:dyDescent="0.25">
      <c r="A167" s="189" t="s">
        <v>757</v>
      </c>
      <c r="B167" s="190">
        <v>485.91369793032817</v>
      </c>
      <c r="C167" s="190">
        <v>677.61138672387301</v>
      </c>
      <c r="D167" s="190">
        <v>485.91369793032817</v>
      </c>
      <c r="E167" s="190">
        <v>485.91369793032817</v>
      </c>
      <c r="F167" s="190">
        <v>792.63</v>
      </c>
    </row>
    <row r="168" spans="1:6" x14ac:dyDescent="0.25">
      <c r="A168" s="189" t="s">
        <v>758</v>
      </c>
      <c r="B168" s="190">
        <v>61.151111598051607</v>
      </c>
      <c r="C168" s="190">
        <v>55.274467181085456</v>
      </c>
      <c r="D168" s="190">
        <v>61.151111598051607</v>
      </c>
      <c r="E168" s="190">
        <v>61.151111598051607</v>
      </c>
      <c r="F168" s="191">
        <v>51.748480530905759</v>
      </c>
    </row>
    <row r="169" spans="1:6" x14ac:dyDescent="0.25">
      <c r="A169" s="189" t="s">
        <v>759</v>
      </c>
      <c r="B169" s="190">
        <v>381.09352470399529</v>
      </c>
      <c r="C169" s="190">
        <v>494.48018291715778</v>
      </c>
      <c r="D169" s="190">
        <v>381.09352470399529</v>
      </c>
      <c r="E169" s="190">
        <v>381.09352470399529</v>
      </c>
      <c r="F169" s="191">
        <v>562.51217784505525</v>
      </c>
    </row>
    <row r="170" spans="1:6" x14ac:dyDescent="0.25">
      <c r="A170" s="189" t="s">
        <v>760</v>
      </c>
      <c r="B170" s="190">
        <v>453.482980660924</v>
      </c>
      <c r="C170" s="190">
        <v>594.04686058358811</v>
      </c>
      <c r="D170" s="190">
        <v>453.482980660924</v>
      </c>
      <c r="E170" s="190">
        <v>453.482980660924</v>
      </c>
      <c r="F170" s="191">
        <v>678.38518853718665</v>
      </c>
    </row>
    <row r="171" spans="1:6" x14ac:dyDescent="0.25">
      <c r="A171" s="189" t="s">
        <v>761</v>
      </c>
      <c r="B171" s="190">
        <v>530.36919913321867</v>
      </c>
      <c r="C171" s="190">
        <v>694.28219967495693</v>
      </c>
      <c r="D171" s="190">
        <v>530.36919913321867</v>
      </c>
      <c r="E171" s="190">
        <v>530.36919913321867</v>
      </c>
      <c r="F171" s="190">
        <v>792.63</v>
      </c>
    </row>
    <row r="172" spans="1:6" x14ac:dyDescent="0.25">
      <c r="A172" s="189" t="s">
        <v>762</v>
      </c>
      <c r="B172" s="190">
        <v>360.63981814283454</v>
      </c>
      <c r="C172" s="190">
        <v>550.61032654040503</v>
      </c>
      <c r="D172" s="190">
        <v>360.63981814283454</v>
      </c>
      <c r="E172" s="190">
        <v>360.63981814283454</v>
      </c>
      <c r="F172" s="191">
        <v>664.59263157894736</v>
      </c>
    </row>
    <row r="173" spans="1:6" ht="45" x14ac:dyDescent="0.25">
      <c r="A173" s="189" t="s">
        <v>763</v>
      </c>
      <c r="B173" s="190">
        <v>468.02356132562824</v>
      </c>
      <c r="C173" s="190">
        <v>670.90258549711052</v>
      </c>
      <c r="D173" s="190">
        <v>468.02356132562824</v>
      </c>
      <c r="E173" s="190">
        <v>468.02356132562824</v>
      </c>
      <c r="F173" s="190">
        <v>792.63</v>
      </c>
    </row>
    <row r="174" spans="1:6" x14ac:dyDescent="0.25">
      <c r="A174" s="189" t="s">
        <v>764</v>
      </c>
      <c r="B174" s="190">
        <v>42.971617965757858</v>
      </c>
      <c r="C174" s="190">
        <v>16.114356737159198</v>
      </c>
      <c r="D174" s="190">
        <v>42.971617965757858</v>
      </c>
      <c r="E174" s="190">
        <v>42.971617965757858</v>
      </c>
      <c r="F174" s="191">
        <v>0</v>
      </c>
    </row>
    <row r="175" spans="1:6" x14ac:dyDescent="0.25">
      <c r="A175" s="189" t="s">
        <v>765</v>
      </c>
      <c r="B175" s="190">
        <v>301.28063491656235</v>
      </c>
      <c r="C175" s="190">
        <v>424.019138300549</v>
      </c>
      <c r="D175" s="190">
        <v>301.28063491656235</v>
      </c>
      <c r="E175" s="190">
        <v>301.28063491656235</v>
      </c>
      <c r="F175" s="191">
        <v>497.66224033094102</v>
      </c>
    </row>
    <row r="176" spans="1:6" ht="30" x14ac:dyDescent="0.25">
      <c r="A176" s="189" t="s">
        <v>766</v>
      </c>
      <c r="B176" s="190">
        <v>488.87392070945378</v>
      </c>
      <c r="C176" s="190">
        <v>542.59703081833482</v>
      </c>
      <c r="D176" s="190">
        <v>488.87392070945378</v>
      </c>
      <c r="E176" s="190">
        <v>488.87392070945378</v>
      </c>
      <c r="F176" s="191">
        <v>574.8308968836634</v>
      </c>
    </row>
    <row r="177" spans="1:6" x14ac:dyDescent="0.25">
      <c r="A177" s="189" t="s">
        <v>767</v>
      </c>
      <c r="B177" s="190">
        <v>567.91010986603601</v>
      </c>
      <c r="C177" s="190">
        <v>764.91813700414184</v>
      </c>
      <c r="D177" s="190">
        <v>567.91010986603601</v>
      </c>
      <c r="E177" s="190">
        <v>567.91010986603601</v>
      </c>
      <c r="F177" s="191">
        <v>883.12295328700543</v>
      </c>
    </row>
    <row r="178" spans="1:6" x14ac:dyDescent="0.25">
      <c r="A178" s="189" t="s">
        <v>768</v>
      </c>
      <c r="B178" s="190">
        <v>262.71038942260128</v>
      </c>
      <c r="C178" s="190">
        <v>365.7776478491889</v>
      </c>
      <c r="D178" s="190">
        <v>262.71038942260128</v>
      </c>
      <c r="E178" s="190">
        <v>262.71038942260128</v>
      </c>
      <c r="F178" s="191">
        <v>427.61800290514151</v>
      </c>
    </row>
    <row r="179" spans="1:6" ht="45" x14ac:dyDescent="0.25">
      <c r="A179" s="189" t="s">
        <v>769</v>
      </c>
      <c r="B179" s="190">
        <v>389.8398096669905</v>
      </c>
      <c r="C179" s="190">
        <v>547.55125675012152</v>
      </c>
      <c r="D179" s="190">
        <v>389.8398096669905</v>
      </c>
      <c r="E179" s="190">
        <v>389.8398096669905</v>
      </c>
      <c r="F179" s="190">
        <v>642.17812500000002</v>
      </c>
    </row>
    <row r="180" spans="1:6" x14ac:dyDescent="0.25">
      <c r="A180" s="189" t="s">
        <v>770</v>
      </c>
      <c r="B180" s="190">
        <v>275.75832416256355</v>
      </c>
      <c r="C180" s="190">
        <v>424.39244447762803</v>
      </c>
      <c r="D180" s="190">
        <v>275.75832416256355</v>
      </c>
      <c r="E180" s="190">
        <v>275.75832416256355</v>
      </c>
      <c r="F180" s="191">
        <v>513.57291666666663</v>
      </c>
    </row>
    <row r="181" spans="1:6" ht="30" x14ac:dyDescent="0.25">
      <c r="A181" s="189" t="s">
        <v>771</v>
      </c>
      <c r="B181" s="190">
        <v>429.96008871177821</v>
      </c>
      <c r="C181" s="190">
        <v>658.05993711307065</v>
      </c>
      <c r="D181" s="190">
        <v>429.96008871177821</v>
      </c>
      <c r="E181" s="190">
        <v>429.96008871177821</v>
      </c>
      <c r="F181" s="190">
        <v>794.91984615384615</v>
      </c>
    </row>
    <row r="182" spans="1:6" x14ac:dyDescent="0.25">
      <c r="A182" s="189" t="s">
        <v>772</v>
      </c>
      <c r="B182" s="190">
        <v>332.20751309597529</v>
      </c>
      <c r="C182" s="190">
        <v>454.74373020215347</v>
      </c>
      <c r="D182" s="190">
        <v>332.20751309597529</v>
      </c>
      <c r="E182" s="190">
        <v>332.20751309597529</v>
      </c>
      <c r="F182" s="191">
        <v>528.26546046586043</v>
      </c>
    </row>
    <row r="183" spans="1:6" ht="45" x14ac:dyDescent="0.25">
      <c r="A183" s="189" t="s">
        <v>773</v>
      </c>
      <c r="B183" s="190">
        <v>352.37493213459089</v>
      </c>
      <c r="C183" s="190">
        <v>461.22915699195789</v>
      </c>
      <c r="D183" s="190">
        <v>352.37493213459089</v>
      </c>
      <c r="E183" s="190">
        <v>352.37493213459089</v>
      </c>
      <c r="F183" s="191">
        <v>526.54169190637811</v>
      </c>
    </row>
    <row r="184" spans="1:6" x14ac:dyDescent="0.25">
      <c r="A184" s="189" t="s">
        <v>774</v>
      </c>
      <c r="B184" s="190">
        <v>460.86984780242625</v>
      </c>
      <c r="C184" s="190">
        <v>643.45025542590986</v>
      </c>
      <c r="D184" s="190">
        <v>460.86984780242625</v>
      </c>
      <c r="E184" s="190">
        <v>460.86984780242625</v>
      </c>
      <c r="F184" s="190">
        <v>752.99849999999992</v>
      </c>
    </row>
    <row r="185" spans="1:6" ht="45" x14ac:dyDescent="0.25">
      <c r="A185" s="189" t="s">
        <v>775</v>
      </c>
      <c r="B185" s="190">
        <v>309.80307477631101</v>
      </c>
      <c r="C185" s="190">
        <v>487.72146554111663</v>
      </c>
      <c r="D185" s="190">
        <v>309.80307477631101</v>
      </c>
      <c r="E185" s="190">
        <v>309.80307477631101</v>
      </c>
      <c r="F185" s="190">
        <v>594.47249999999997</v>
      </c>
    </row>
    <row r="186" spans="1:6" ht="45" x14ac:dyDescent="0.25">
      <c r="A186" s="189" t="s">
        <v>776</v>
      </c>
      <c r="B186" s="190">
        <v>501.99619234507765</v>
      </c>
      <c r="C186" s="190">
        <v>683.64232212940408</v>
      </c>
      <c r="D186" s="190">
        <v>501.99619234507765</v>
      </c>
      <c r="E186" s="190">
        <v>501.99619234507765</v>
      </c>
      <c r="F186" s="190">
        <v>792.63</v>
      </c>
    </row>
    <row r="187" spans="1:6" ht="30" x14ac:dyDescent="0.25">
      <c r="A187" s="189" t="s">
        <v>777</v>
      </c>
      <c r="B187" s="190">
        <v>561.24028428165479</v>
      </c>
      <c r="C187" s="190">
        <v>705.85885660562053</v>
      </c>
      <c r="D187" s="190">
        <v>561.24028428165479</v>
      </c>
      <c r="E187" s="190">
        <v>561.24028428165479</v>
      </c>
      <c r="F187" s="190">
        <v>792.63</v>
      </c>
    </row>
    <row r="188" spans="1:6" ht="45" x14ac:dyDescent="0.25">
      <c r="A188" s="189" t="s">
        <v>778</v>
      </c>
      <c r="B188" s="190">
        <v>486.81167280756796</v>
      </c>
      <c r="C188" s="190">
        <v>677.94812730283797</v>
      </c>
      <c r="D188" s="190">
        <v>486.81167280756796</v>
      </c>
      <c r="E188" s="190">
        <v>486.81167280756796</v>
      </c>
      <c r="F188" s="190">
        <v>792.63</v>
      </c>
    </row>
    <row r="189" spans="1:6" ht="90" x14ac:dyDescent="0.25">
      <c r="A189" s="189" t="s">
        <v>779</v>
      </c>
      <c r="B189" s="190">
        <v>432.34137158548856</v>
      </c>
      <c r="C189" s="190">
        <v>657.52176434455816</v>
      </c>
      <c r="D189" s="190">
        <v>432.34137158548856</v>
      </c>
      <c r="E189" s="190">
        <v>432.34137158548856</v>
      </c>
      <c r="F189" s="190">
        <v>792.63</v>
      </c>
    </row>
    <row r="190" spans="1:6" ht="75" x14ac:dyDescent="0.25">
      <c r="A190" s="189" t="s">
        <v>780</v>
      </c>
      <c r="B190" s="190">
        <v>520.85110212606514</v>
      </c>
      <c r="C190" s="190">
        <v>690.71291329727444</v>
      </c>
      <c r="D190" s="190">
        <v>520.85110212606514</v>
      </c>
      <c r="E190" s="190">
        <v>520.85110212606514</v>
      </c>
      <c r="F190" s="190">
        <v>792.63</v>
      </c>
    </row>
    <row r="191" spans="1:6" x14ac:dyDescent="0.25">
      <c r="A191" s="189" t="s">
        <v>781</v>
      </c>
      <c r="B191" s="190">
        <v>458.67871502839898</v>
      </c>
      <c r="C191" s="190">
        <v>667.39826813564957</v>
      </c>
      <c r="D191" s="190">
        <v>458.67871502839898</v>
      </c>
      <c r="E191" s="190">
        <v>458.67871502839898</v>
      </c>
      <c r="F191" s="190">
        <v>792.63</v>
      </c>
    </row>
    <row r="192" spans="1:6" ht="30" x14ac:dyDescent="0.25">
      <c r="A192" s="189" t="s">
        <v>782</v>
      </c>
      <c r="B192" s="190">
        <v>42.965859968044846</v>
      </c>
      <c r="C192" s="190">
        <v>16.112197488016818</v>
      </c>
      <c r="D192" s="190">
        <v>42.965859968044846</v>
      </c>
      <c r="E192" s="190">
        <v>42.965859968044846</v>
      </c>
      <c r="F192" s="190">
        <v>0</v>
      </c>
    </row>
    <row r="193" spans="1:6" ht="45" x14ac:dyDescent="0.25">
      <c r="A193" s="189" t="s">
        <v>783</v>
      </c>
      <c r="B193" s="190">
        <v>530.17970925901341</v>
      </c>
      <c r="C193" s="190">
        <v>694.21114097213001</v>
      </c>
      <c r="D193" s="190">
        <v>530.17970925901341</v>
      </c>
      <c r="E193" s="190">
        <v>530.17970925901341</v>
      </c>
      <c r="F193" s="190">
        <v>792.63</v>
      </c>
    </row>
    <row r="194" spans="1:6" ht="30" x14ac:dyDescent="0.25">
      <c r="A194" s="189" t="s">
        <v>784</v>
      </c>
      <c r="B194" s="190">
        <v>474.52624970681001</v>
      </c>
      <c r="C194" s="190">
        <v>650.45335193546646</v>
      </c>
      <c r="D194" s="190">
        <v>474.52624970681001</v>
      </c>
      <c r="E194" s="190">
        <v>474.52624970681001</v>
      </c>
      <c r="F194" s="191">
        <v>756.00961327266032</v>
      </c>
    </row>
    <row r="195" spans="1:6" x14ac:dyDescent="0.25">
      <c r="A195" s="189" t="s">
        <v>785</v>
      </c>
      <c r="B195" s="190">
        <v>567.68599201093843</v>
      </c>
      <c r="C195" s="190">
        <v>674.29473100666166</v>
      </c>
      <c r="D195" s="190">
        <v>567.68599201093843</v>
      </c>
      <c r="E195" s="190">
        <v>567.68599201093843</v>
      </c>
      <c r="F195" s="191">
        <v>738.25997440409549</v>
      </c>
    </row>
    <row r="196" spans="1:6" x14ac:dyDescent="0.25">
      <c r="A196" s="189" t="s">
        <v>786</v>
      </c>
      <c r="B196" s="190">
        <v>690.32799387054433</v>
      </c>
      <c r="C196" s="190">
        <v>938.19403004825585</v>
      </c>
      <c r="D196" s="190">
        <v>690.32799387054433</v>
      </c>
      <c r="E196" s="190">
        <v>690.32799387054433</v>
      </c>
      <c r="F196" s="191">
        <v>1086.9136517548827</v>
      </c>
    </row>
    <row r="197" spans="1:6" ht="30" x14ac:dyDescent="0.25">
      <c r="A197" s="189" t="s">
        <v>787</v>
      </c>
      <c r="B197" s="190">
        <v>515.61380881780997</v>
      </c>
      <c r="C197" s="190">
        <v>688.74892830667864</v>
      </c>
      <c r="D197" s="190">
        <v>515.61380881780997</v>
      </c>
      <c r="E197" s="190">
        <v>515.61380881780997</v>
      </c>
      <c r="F197" s="190">
        <v>792.63</v>
      </c>
    </row>
    <row r="198" spans="1:6" ht="30" x14ac:dyDescent="0.25">
      <c r="A198" s="189" t="s">
        <v>788</v>
      </c>
      <c r="B198" s="190">
        <v>455.2639832050844</v>
      </c>
      <c r="C198" s="190">
        <v>641.34805620190673</v>
      </c>
      <c r="D198" s="190">
        <v>455.2639832050844</v>
      </c>
      <c r="E198" s="190">
        <v>455.2639832050844</v>
      </c>
      <c r="F198" s="190">
        <v>752.99849999999992</v>
      </c>
    </row>
    <row r="199" spans="1:6" ht="30" x14ac:dyDescent="0.25">
      <c r="A199" s="189" t="s">
        <v>789</v>
      </c>
      <c r="B199" s="190">
        <v>248.79955503585296</v>
      </c>
      <c r="C199" s="190">
        <v>366.12845961051505</v>
      </c>
      <c r="D199" s="190">
        <v>248.79955503585296</v>
      </c>
      <c r="E199" s="190">
        <v>248.79955503585296</v>
      </c>
      <c r="F199" s="191">
        <v>436.52580235531229</v>
      </c>
    </row>
    <row r="200" spans="1:6" ht="60" x14ac:dyDescent="0.25">
      <c r="A200" s="189" t="s">
        <v>790</v>
      </c>
      <c r="B200" s="190">
        <v>469.04048862110369</v>
      </c>
      <c r="C200" s="190">
        <v>671.28393323291391</v>
      </c>
      <c r="D200" s="190">
        <v>469.04048862110369</v>
      </c>
      <c r="E200" s="190">
        <v>469.04048862110369</v>
      </c>
      <c r="F200" s="190">
        <v>792.63</v>
      </c>
    </row>
    <row r="201" spans="1:6" ht="30" x14ac:dyDescent="0.25">
      <c r="A201" s="189" t="s">
        <v>791</v>
      </c>
      <c r="B201" s="190">
        <v>201.47457372193787</v>
      </c>
      <c r="C201" s="190">
        <v>285.40740223721048</v>
      </c>
      <c r="D201" s="190">
        <v>201.47457372193787</v>
      </c>
      <c r="E201" s="190">
        <v>201.47457372193787</v>
      </c>
      <c r="F201" s="191">
        <v>335.7670993463741</v>
      </c>
    </row>
    <row r="202" spans="1:6" x14ac:dyDescent="0.25">
      <c r="A202" s="189" t="s">
        <v>792</v>
      </c>
      <c r="B202" s="190">
        <v>328.6831016685752</v>
      </c>
      <c r="C202" s="190">
        <v>535.93136647953088</v>
      </c>
      <c r="D202" s="190">
        <v>328.6831016685752</v>
      </c>
      <c r="E202" s="190">
        <v>328.6831016685752</v>
      </c>
      <c r="F202" s="191">
        <v>660.28032536610431</v>
      </c>
    </row>
    <row r="203" spans="1:6" ht="30" x14ac:dyDescent="0.25">
      <c r="A203" s="189" t="s">
        <v>793</v>
      </c>
      <c r="B203" s="190">
        <v>630.67304426873557</v>
      </c>
      <c r="C203" s="190">
        <v>731.89614160077588</v>
      </c>
      <c r="D203" s="190">
        <v>630.67304426873557</v>
      </c>
      <c r="E203" s="190">
        <v>630.67304426873557</v>
      </c>
      <c r="F203" s="190">
        <v>792.63</v>
      </c>
    </row>
    <row r="204" spans="1:6" x14ac:dyDescent="0.25">
      <c r="A204" s="189" t="s">
        <v>794</v>
      </c>
      <c r="B204" s="190">
        <v>657.93217802499134</v>
      </c>
      <c r="C204" s="190">
        <v>742.11831675937174</v>
      </c>
      <c r="D204" s="190">
        <v>657.93217802499134</v>
      </c>
      <c r="E204" s="190">
        <v>657.93217802499134</v>
      </c>
      <c r="F204" s="190">
        <v>792.63</v>
      </c>
    </row>
    <row r="205" spans="1:6" ht="30" x14ac:dyDescent="0.25">
      <c r="A205" s="189" t="s">
        <v>795</v>
      </c>
      <c r="B205" s="190">
        <v>830.51803046233965</v>
      </c>
      <c r="C205" s="190">
        <v>1008.1649823600663</v>
      </c>
      <c r="D205" s="190">
        <v>830.51803046233965</v>
      </c>
      <c r="E205" s="190">
        <v>830.51803046233965</v>
      </c>
      <c r="F205" s="191">
        <v>1114.7531534987022</v>
      </c>
    </row>
    <row r="206" spans="1:6" ht="30" x14ac:dyDescent="0.25">
      <c r="A206" s="189" t="s">
        <v>796</v>
      </c>
      <c r="B206" s="190">
        <v>742.5288971809814</v>
      </c>
      <c r="C206" s="190">
        <v>843.72465223234178</v>
      </c>
      <c r="D206" s="190">
        <v>742.5288971809814</v>
      </c>
      <c r="E206" s="190">
        <v>742.5288971809814</v>
      </c>
      <c r="F206" s="191">
        <v>904.44210526315794</v>
      </c>
    </row>
    <row r="207" spans="1:6" x14ac:dyDescent="0.25">
      <c r="A207" s="189" t="s">
        <v>797</v>
      </c>
      <c r="B207" s="190">
        <v>236.03421644528112</v>
      </c>
      <c r="C207" s="190">
        <v>342.29821345861461</v>
      </c>
      <c r="D207" s="190">
        <v>236.03421644528112</v>
      </c>
      <c r="E207" s="190">
        <v>236.03421644528112</v>
      </c>
      <c r="F207" s="191">
        <v>406.05661166661469</v>
      </c>
    </row>
    <row r="208" spans="1:6" x14ac:dyDescent="0.25">
      <c r="A208" s="189" t="s">
        <v>798</v>
      </c>
      <c r="B208" s="190">
        <v>468.10625912218569</v>
      </c>
      <c r="C208" s="190">
        <v>614.9148471708196</v>
      </c>
      <c r="D208" s="190">
        <v>468.10625912218569</v>
      </c>
      <c r="E208" s="190">
        <v>468.10625912218569</v>
      </c>
      <c r="F208" s="191">
        <v>703</v>
      </c>
    </row>
    <row r="209" spans="1:6" x14ac:dyDescent="0.25">
      <c r="A209" s="189" t="s">
        <v>799</v>
      </c>
      <c r="B209" s="190">
        <v>352.17919526546427</v>
      </c>
      <c r="C209" s="190">
        <v>530.45009296139119</v>
      </c>
      <c r="D209" s="190">
        <v>352.17919526546427</v>
      </c>
      <c r="E209" s="190">
        <v>352.17919526546427</v>
      </c>
      <c r="F209" s="191">
        <v>637.4126315789473</v>
      </c>
    </row>
    <row r="210" spans="1:6" ht="30" x14ac:dyDescent="0.25">
      <c r="A210" s="189" t="s">
        <v>800</v>
      </c>
      <c r="B210" s="190">
        <v>485.00195073922913</v>
      </c>
      <c r="C210" s="190">
        <v>740.71717889563195</v>
      </c>
      <c r="D210" s="190">
        <v>485.00195073922913</v>
      </c>
      <c r="E210" s="190">
        <v>485.00195073922913</v>
      </c>
      <c r="F210" s="191">
        <v>894.14631578947365</v>
      </c>
    </row>
    <row r="211" spans="1:6" x14ac:dyDescent="0.25">
      <c r="A211" s="189" t="s">
        <v>801</v>
      </c>
      <c r="B211" s="190">
        <v>64.071662470732946</v>
      </c>
      <c r="C211" s="190">
        <v>60.470208913777128</v>
      </c>
      <c r="D211" s="190">
        <v>64.071662470732946</v>
      </c>
      <c r="E211" s="190">
        <v>64.071662470732946</v>
      </c>
      <c r="F211" s="191">
        <v>58.30933677960364</v>
      </c>
    </row>
    <row r="212" spans="1:6" ht="30" x14ac:dyDescent="0.25">
      <c r="A212" s="189" t="s">
        <v>802</v>
      </c>
      <c r="B212" s="190">
        <v>55.307841925272932</v>
      </c>
      <c r="C212" s="190">
        <v>39.466118182726142</v>
      </c>
      <c r="D212" s="190">
        <v>55.307841925272932</v>
      </c>
      <c r="E212" s="190">
        <v>55.307841925272932</v>
      </c>
      <c r="F212" s="191">
        <v>29.961083937198065</v>
      </c>
    </row>
    <row r="213" spans="1:6" ht="45" x14ac:dyDescent="0.25">
      <c r="A213" s="189" t="s">
        <v>803</v>
      </c>
      <c r="B213" s="190">
        <v>525.01955741959398</v>
      </c>
      <c r="C213" s="190">
        <v>609.34145902442265</v>
      </c>
      <c r="D213" s="190">
        <v>525.01955741959398</v>
      </c>
      <c r="E213" s="190">
        <v>525.01955741959398</v>
      </c>
      <c r="F213" s="191">
        <v>659.93459998731987</v>
      </c>
    </row>
    <row r="214" spans="1:6" ht="45" x14ac:dyDescent="0.25">
      <c r="A214" s="189" t="s">
        <v>804</v>
      </c>
      <c r="B214" s="190">
        <v>364.85940071517979</v>
      </c>
      <c r="C214" s="190">
        <v>482.45568244844145</v>
      </c>
      <c r="D214" s="190">
        <v>364.85940071517979</v>
      </c>
      <c r="E214" s="190">
        <v>364.85940071517979</v>
      </c>
      <c r="F214" s="191">
        <v>553.01345148839846</v>
      </c>
    </row>
    <row r="215" spans="1:6" ht="30" x14ac:dyDescent="0.25">
      <c r="A215" s="189" t="s">
        <v>805</v>
      </c>
      <c r="B215" s="190">
        <v>63.174214953683219</v>
      </c>
      <c r="C215" s="190">
        <v>57.405756139546099</v>
      </c>
      <c r="D215" s="190">
        <v>63.174214953683219</v>
      </c>
      <c r="E215" s="190">
        <v>63.174214953683219</v>
      </c>
      <c r="F215" s="191">
        <v>53.944680851063822</v>
      </c>
    </row>
    <row r="216" spans="1:6" x14ac:dyDescent="0.25">
      <c r="A216" s="189" t="s">
        <v>806</v>
      </c>
      <c r="B216" s="190">
        <v>476.95258142714368</v>
      </c>
      <c r="C216" s="190">
        <v>619.77578169365768</v>
      </c>
      <c r="D216" s="190">
        <v>476.95258142714368</v>
      </c>
      <c r="E216" s="190">
        <v>476.95258142714368</v>
      </c>
      <c r="F216" s="191">
        <v>705.46970185356611</v>
      </c>
    </row>
    <row r="217" spans="1:6" x14ac:dyDescent="0.25">
      <c r="A217" s="189" t="s">
        <v>807</v>
      </c>
      <c r="B217" s="190">
        <v>389.62460457155328</v>
      </c>
      <c r="C217" s="190">
        <v>427.86378710422332</v>
      </c>
      <c r="D217" s="190">
        <v>389.62460457155328</v>
      </c>
      <c r="E217" s="190">
        <v>389.62460457155328</v>
      </c>
      <c r="F217" s="191">
        <v>450.80729662382532</v>
      </c>
    </row>
    <row r="218" spans="1:6" ht="30" x14ac:dyDescent="0.25">
      <c r="A218" s="189" t="s">
        <v>808</v>
      </c>
      <c r="B218" s="190">
        <v>630.2074284154512</v>
      </c>
      <c r="C218" s="190">
        <v>731.72153565579424</v>
      </c>
      <c r="D218" s="190">
        <v>630.2074284154512</v>
      </c>
      <c r="E218" s="190">
        <v>630.2074284154512</v>
      </c>
      <c r="F218" s="190">
        <v>792.63</v>
      </c>
    </row>
    <row r="219" spans="1:6" x14ac:dyDescent="0.25">
      <c r="A219" s="189" t="s">
        <v>809</v>
      </c>
      <c r="B219" s="190">
        <v>341.12972017775724</v>
      </c>
      <c r="C219" s="190">
        <v>526.92364506665899</v>
      </c>
      <c r="D219" s="190">
        <v>341.12972017775724</v>
      </c>
      <c r="E219" s="190">
        <v>341.12972017775724</v>
      </c>
      <c r="F219" s="191">
        <v>638.4</v>
      </c>
    </row>
    <row r="220" spans="1:6" x14ac:dyDescent="0.25">
      <c r="A220" s="189" t="s">
        <v>810</v>
      </c>
      <c r="B220" s="190">
        <v>582.87643239646241</v>
      </c>
      <c r="C220" s="190">
        <v>713.97241214867336</v>
      </c>
      <c r="D220" s="190">
        <v>582.87643239646241</v>
      </c>
      <c r="E220" s="190">
        <v>582.87643239646241</v>
      </c>
      <c r="F220" s="190">
        <v>792.63</v>
      </c>
    </row>
    <row r="221" spans="1:6" ht="45" x14ac:dyDescent="0.25">
      <c r="A221" s="189" t="s">
        <v>811</v>
      </c>
      <c r="B221" s="190">
        <v>424.35050193453219</v>
      </c>
      <c r="C221" s="190">
        <v>561.04794817140032</v>
      </c>
      <c r="D221" s="190">
        <v>424.35050193453219</v>
      </c>
      <c r="E221" s="190">
        <v>424.35050193453219</v>
      </c>
      <c r="F221" s="191">
        <v>643.06641591352115</v>
      </c>
    </row>
    <row r="222" spans="1:6" x14ac:dyDescent="0.25">
      <c r="A222" s="189" t="s">
        <v>812</v>
      </c>
      <c r="B222" s="190">
        <v>404.06164852080531</v>
      </c>
      <c r="C222" s="190">
        <v>470.48429370209271</v>
      </c>
      <c r="D222" s="190">
        <v>404.06164852080531</v>
      </c>
      <c r="E222" s="190">
        <v>404.06164852080531</v>
      </c>
      <c r="F222" s="191">
        <v>510.3378808108651</v>
      </c>
    </row>
    <row r="223" spans="1:6" x14ac:dyDescent="0.25">
      <c r="A223" s="189" t="s">
        <v>813</v>
      </c>
      <c r="B223" s="190">
        <v>319.94850649083236</v>
      </c>
      <c r="C223" s="190">
        <v>359.8823211361838</v>
      </c>
      <c r="D223" s="190">
        <v>319.94850649083236</v>
      </c>
      <c r="E223" s="190">
        <v>319.94850649083236</v>
      </c>
      <c r="F223" s="191">
        <v>383.84260992339466</v>
      </c>
    </row>
    <row r="224" spans="1:6" ht="30" x14ac:dyDescent="0.25">
      <c r="A224" s="189" t="s">
        <v>814</v>
      </c>
      <c r="B224" s="190">
        <v>690.9696183087874</v>
      </c>
      <c r="C224" s="190">
        <v>850.07714853246193</v>
      </c>
      <c r="D224" s="190">
        <v>690.9696183087874</v>
      </c>
      <c r="E224" s="190">
        <v>690.9696183087874</v>
      </c>
      <c r="F224" s="191">
        <v>945.54166666666674</v>
      </c>
    </row>
    <row r="225" spans="1:6" ht="75" x14ac:dyDescent="0.25">
      <c r="A225" s="189" t="s">
        <v>815</v>
      </c>
      <c r="B225" s="190">
        <v>468.18905990410258</v>
      </c>
      <c r="C225" s="190">
        <v>670.96464746403842</v>
      </c>
      <c r="D225" s="190">
        <v>468.18905990410258</v>
      </c>
      <c r="E225" s="190">
        <v>468.18905990410258</v>
      </c>
      <c r="F225" s="190">
        <v>792.63</v>
      </c>
    </row>
    <row r="226" spans="1:6" x14ac:dyDescent="0.25">
      <c r="A226" s="189" t="s">
        <v>816</v>
      </c>
      <c r="B226" s="190">
        <v>528.19922610779724</v>
      </c>
      <c r="C226" s="190">
        <v>693.46845979042394</v>
      </c>
      <c r="D226" s="190">
        <v>528.19922610779724</v>
      </c>
      <c r="E226" s="190">
        <v>528.19922610779724</v>
      </c>
      <c r="F226" s="190">
        <v>792.63</v>
      </c>
    </row>
    <row r="227" spans="1:6" x14ac:dyDescent="0.25">
      <c r="A227" s="189" t="s">
        <v>817</v>
      </c>
      <c r="B227" s="190">
        <v>139.68866822655383</v>
      </c>
      <c r="C227" s="190">
        <v>201.00137558495774</v>
      </c>
      <c r="D227" s="190">
        <v>139.68866822655383</v>
      </c>
      <c r="E227" s="190">
        <v>139.68866822655383</v>
      </c>
      <c r="F227" s="190">
        <v>237.78900000000004</v>
      </c>
    </row>
    <row r="228" spans="1:6" x14ac:dyDescent="0.25">
      <c r="A228" s="189" t="s">
        <v>818</v>
      </c>
      <c r="B228" s="190">
        <v>525.11235776095111</v>
      </c>
      <c r="C228" s="190">
        <v>738.039633493515</v>
      </c>
      <c r="D228" s="190">
        <v>525.11235776095111</v>
      </c>
      <c r="E228" s="190">
        <v>525.11235776095111</v>
      </c>
      <c r="F228" s="191">
        <v>865.7959989330534</v>
      </c>
    </row>
    <row r="229" spans="1:6" ht="45" x14ac:dyDescent="0.25">
      <c r="A229" s="189" t="s">
        <v>819</v>
      </c>
      <c r="B229" s="190">
        <v>353.30936528937093</v>
      </c>
      <c r="C229" s="190">
        <v>521.93319055869495</v>
      </c>
      <c r="D229" s="190">
        <v>353.30936528937093</v>
      </c>
      <c r="E229" s="190">
        <v>353.30936528937093</v>
      </c>
      <c r="F229" s="191">
        <v>623.10748572028933</v>
      </c>
    </row>
    <row r="230" spans="1:6" ht="30" x14ac:dyDescent="0.25">
      <c r="A230" s="189" t="s">
        <v>820</v>
      </c>
      <c r="B230" s="190">
        <v>252.02231683116409</v>
      </c>
      <c r="C230" s="190">
        <v>357.60679263566448</v>
      </c>
      <c r="D230" s="190">
        <v>252.02231683116409</v>
      </c>
      <c r="E230" s="190">
        <v>252.02231683116409</v>
      </c>
      <c r="F230" s="191">
        <v>420.95747811836469</v>
      </c>
    </row>
    <row r="231" spans="1:6" ht="30" x14ac:dyDescent="0.25">
      <c r="A231" s="189" t="s">
        <v>821</v>
      </c>
      <c r="B231" s="190">
        <v>284.6859511801008</v>
      </c>
      <c r="C231" s="190">
        <v>417.62875612581718</v>
      </c>
      <c r="D231" s="190">
        <v>284.6859511801008</v>
      </c>
      <c r="E231" s="190">
        <v>284.6859511801008</v>
      </c>
      <c r="F231" s="191">
        <v>497.394439093247</v>
      </c>
    </row>
    <row r="232" spans="1:6" x14ac:dyDescent="0.25">
      <c r="A232" s="189" t="s">
        <v>822</v>
      </c>
      <c r="B232" s="190">
        <v>157.84367831134279</v>
      </c>
      <c r="C232" s="190">
        <v>237.44466884043777</v>
      </c>
      <c r="D232" s="190">
        <v>157.84367831134279</v>
      </c>
      <c r="E232" s="190">
        <v>157.84367831134279</v>
      </c>
      <c r="F232" s="191">
        <v>285.20526315789476</v>
      </c>
    </row>
    <row r="233" spans="1:6" ht="30" x14ac:dyDescent="0.25">
      <c r="A233" s="189" t="s">
        <v>823</v>
      </c>
      <c r="B233" s="190">
        <v>506.11107689055387</v>
      </c>
      <c r="C233" s="190">
        <v>610.41732053460998</v>
      </c>
      <c r="D233" s="190">
        <v>506.11107689055387</v>
      </c>
      <c r="E233" s="190">
        <v>506.11107689055387</v>
      </c>
      <c r="F233" s="191">
        <v>673.00106672104357</v>
      </c>
    </row>
    <row r="234" spans="1:6" x14ac:dyDescent="0.25">
      <c r="A234" s="189" t="s">
        <v>824</v>
      </c>
      <c r="B234" s="190">
        <v>370.62886250338823</v>
      </c>
      <c r="C234" s="190">
        <v>634.37957343877054</v>
      </c>
      <c r="D234" s="190">
        <v>370.62886250338823</v>
      </c>
      <c r="E234" s="190">
        <v>370.62886250338823</v>
      </c>
      <c r="F234" s="190">
        <v>792.63</v>
      </c>
    </row>
    <row r="235" spans="1:6" ht="30" x14ac:dyDescent="0.25">
      <c r="A235" s="189" t="s">
        <v>825</v>
      </c>
      <c r="B235" s="190">
        <v>344.68894854759276</v>
      </c>
      <c r="C235" s="190">
        <v>533.51356357009468</v>
      </c>
      <c r="D235" s="190">
        <v>344.68894854759276</v>
      </c>
      <c r="E235" s="190">
        <v>344.68894854759276</v>
      </c>
      <c r="F235" s="191">
        <v>646.80833258359587</v>
      </c>
    </row>
    <row r="236" spans="1:6" x14ac:dyDescent="0.25">
      <c r="A236" s="189" t="s">
        <v>826</v>
      </c>
      <c r="B236" s="190">
        <v>355.6238398896694</v>
      </c>
      <c r="C236" s="190">
        <v>384.94431475788627</v>
      </c>
      <c r="D236" s="190">
        <v>355.6238398896694</v>
      </c>
      <c r="E236" s="190">
        <v>355.6238398896694</v>
      </c>
      <c r="F236" s="191">
        <v>402.5365996788164</v>
      </c>
    </row>
    <row r="237" spans="1:6" ht="45" x14ac:dyDescent="0.25">
      <c r="A237" s="189" t="s">
        <v>827</v>
      </c>
      <c r="B237" s="190">
        <v>374.63743539349707</v>
      </c>
      <c r="C237" s="190">
        <v>559.67989054528869</v>
      </c>
      <c r="D237" s="190">
        <v>374.63743539349707</v>
      </c>
      <c r="E237" s="190">
        <v>374.63743539349707</v>
      </c>
      <c r="F237" s="190">
        <v>670.7053636363637</v>
      </c>
    </row>
    <row r="238" spans="1:6" ht="45" x14ac:dyDescent="0.25">
      <c r="A238" s="189" t="s">
        <v>828</v>
      </c>
      <c r="B238" s="190">
        <v>625.31392984748254</v>
      </c>
      <c r="C238" s="190">
        <v>729.88647369280591</v>
      </c>
      <c r="D238" s="190">
        <v>625.31392984748254</v>
      </c>
      <c r="E238" s="190">
        <v>625.31392984748254</v>
      </c>
      <c r="F238" s="190">
        <v>792.63</v>
      </c>
    </row>
    <row r="239" spans="1:6" x14ac:dyDescent="0.25">
      <c r="A239" s="189" t="s">
        <v>829</v>
      </c>
      <c r="B239" s="190">
        <v>636.42561380081031</v>
      </c>
      <c r="C239" s="190">
        <v>724.26115312688671</v>
      </c>
      <c r="D239" s="190">
        <v>636.42561380081031</v>
      </c>
      <c r="E239" s="190">
        <v>636.42561380081031</v>
      </c>
      <c r="F239" s="191">
        <v>776.96247672253253</v>
      </c>
    </row>
    <row r="240" spans="1:6" x14ac:dyDescent="0.25">
      <c r="A240" s="189" t="s">
        <v>830</v>
      </c>
      <c r="B240" s="190">
        <v>98.7247832634704</v>
      </c>
      <c r="C240" s="190">
        <v>129.49153056590663</v>
      </c>
      <c r="D240" s="190">
        <v>98.7247832634704</v>
      </c>
      <c r="E240" s="190">
        <v>98.7247832634704</v>
      </c>
      <c r="F240" s="191">
        <v>147.95157894736838</v>
      </c>
    </row>
    <row r="241" spans="1:6" ht="45" x14ac:dyDescent="0.25">
      <c r="A241" s="189" t="s">
        <v>831</v>
      </c>
      <c r="B241" s="190">
        <v>648.39278697323562</v>
      </c>
      <c r="C241" s="190">
        <v>738.54104511496325</v>
      </c>
      <c r="D241" s="190">
        <v>648.39278697323562</v>
      </c>
      <c r="E241" s="190">
        <v>648.39278697323562</v>
      </c>
      <c r="F241" s="190">
        <v>792.63</v>
      </c>
    </row>
    <row r="242" spans="1:6" ht="30" x14ac:dyDescent="0.25">
      <c r="A242" s="189" t="s">
        <v>832</v>
      </c>
      <c r="B242" s="190">
        <v>882.54353619972085</v>
      </c>
      <c r="C242" s="190">
        <v>1302.3041522883261</v>
      </c>
      <c r="D242" s="190">
        <v>882.54353619972085</v>
      </c>
      <c r="E242" s="190">
        <v>882.54353619972085</v>
      </c>
      <c r="F242" s="191">
        <v>1554.1605219414892</v>
      </c>
    </row>
  </sheetData>
  <mergeCells count="2">
    <mergeCell ref="B5:E5"/>
    <mergeCell ref="F5:F6"/>
  </mergeCells>
  <hyperlinks>
    <hyperlink ref="B3" r:id="rId1" display="https://unfccc.int/climate-action/sectoral-engagement/ifis-harmonization-of-standards-for-ghg-accounting/ifi-twg-list-of-methodologies"/>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C13"/>
  <sheetViews>
    <sheetView showGridLines="0" zoomScaleNormal="100" workbookViewId="0"/>
  </sheetViews>
  <sheetFormatPr baseColWidth="10" defaultColWidth="9.140625" defaultRowHeight="15" x14ac:dyDescent="0.25"/>
  <cols>
    <col min="2" max="2" width="12" customWidth="1"/>
    <col min="3" max="3" width="130.140625" customWidth="1"/>
  </cols>
  <sheetData>
    <row r="1" spans="1:3" x14ac:dyDescent="0.25">
      <c r="A1" s="146"/>
      <c r="B1" s="146"/>
      <c r="C1" s="146"/>
    </row>
    <row r="2" spans="1:3" x14ac:dyDescent="0.25">
      <c r="A2" s="146"/>
      <c r="B2" s="177" t="s">
        <v>408</v>
      </c>
      <c r="C2" s="177" t="s">
        <v>409</v>
      </c>
    </row>
    <row r="3" spans="1:3" x14ac:dyDescent="0.25">
      <c r="A3" s="146"/>
      <c r="B3" s="178" t="s">
        <v>1213</v>
      </c>
      <c r="C3" s="178" t="s">
        <v>1214</v>
      </c>
    </row>
    <row r="4" spans="1:3" x14ac:dyDescent="0.25">
      <c r="A4" s="146"/>
      <c r="B4" s="178" t="s">
        <v>398</v>
      </c>
      <c r="C4" s="178" t="s">
        <v>410</v>
      </c>
    </row>
    <row r="5" spans="1:3" x14ac:dyDescent="0.25">
      <c r="A5" s="146"/>
      <c r="B5" s="178" t="s">
        <v>399</v>
      </c>
      <c r="C5" s="178" t="s">
        <v>302</v>
      </c>
    </row>
    <row r="6" spans="1:3" x14ac:dyDescent="0.25">
      <c r="A6" s="146"/>
      <c r="B6" s="178" t="s">
        <v>400</v>
      </c>
      <c r="C6" s="178" t="s">
        <v>104</v>
      </c>
    </row>
    <row r="7" spans="1:3" x14ac:dyDescent="0.25">
      <c r="A7" s="146"/>
      <c r="B7" s="178" t="s">
        <v>401</v>
      </c>
      <c r="C7" s="178" t="s">
        <v>411</v>
      </c>
    </row>
    <row r="8" spans="1:3" x14ac:dyDescent="0.25">
      <c r="A8" s="146"/>
      <c r="B8" s="178" t="s">
        <v>402</v>
      </c>
      <c r="C8" s="178" t="s">
        <v>416</v>
      </c>
    </row>
    <row r="9" spans="1:3" x14ac:dyDescent="0.25">
      <c r="A9" s="146"/>
      <c r="B9" s="178" t="s">
        <v>403</v>
      </c>
      <c r="C9" s="178" t="s">
        <v>412</v>
      </c>
    </row>
    <row r="10" spans="1:3" x14ac:dyDescent="0.25">
      <c r="A10" s="146"/>
      <c r="B10" s="178" t="s">
        <v>404</v>
      </c>
      <c r="C10" s="178" t="s">
        <v>413</v>
      </c>
    </row>
    <row r="11" spans="1:3" x14ac:dyDescent="0.25">
      <c r="A11" s="146"/>
      <c r="B11" s="178" t="s">
        <v>405</v>
      </c>
      <c r="C11" s="178" t="s">
        <v>414</v>
      </c>
    </row>
    <row r="12" spans="1:3" x14ac:dyDescent="0.25">
      <c r="A12" s="146"/>
      <c r="B12" s="178" t="s">
        <v>406</v>
      </c>
      <c r="C12" s="179" t="s">
        <v>1215</v>
      </c>
    </row>
    <row r="13" spans="1:3" x14ac:dyDescent="0.25">
      <c r="A13" s="146"/>
      <c r="B13" s="178" t="s">
        <v>407</v>
      </c>
      <c r="C13" s="178" t="s">
        <v>1216</v>
      </c>
    </row>
  </sheetData>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C67D0E4811A80468D01DEF3B8D6DDC4" ma:contentTypeVersion="4" ma:contentTypeDescription="Create a new document." ma:contentTypeScope="" ma:versionID="792230426e42097a1194dadef06fa3cb">
  <xsd:schema xmlns:xsd="http://www.w3.org/2001/XMLSchema" xmlns:xs="http://www.w3.org/2001/XMLSchema" xmlns:p="http://schemas.microsoft.com/office/2006/metadata/properties" xmlns:ns2="82d4a041-61f3-4229-abb5-cf3da8ad580e" targetNamespace="http://schemas.microsoft.com/office/2006/metadata/properties" ma:root="true" ma:fieldsID="c9dd638d62ad3957c0cb6b84d9059166" ns2:_="">
    <xsd:import namespace="82d4a041-61f3-4229-abb5-cf3da8ad580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d4a041-61f3-4229-abb5-cf3da8ad58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1D15DB-3006-46B6-B069-E2BDB139D2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d4a041-61f3-4229-abb5-cf3da8ad58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453BD2E-28C0-41B0-8D2C-BA7C2DE1416F}">
  <ds:schemaRefs>
    <ds:schemaRef ds:uri="http://schemas.openxmlformats.org/package/2006/metadata/core-properties"/>
    <ds:schemaRef ds:uri="82d4a041-61f3-4229-abb5-cf3da8ad580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E5F7B0B8-3F45-460F-B60F-D55E4C8192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A LIRE</vt:lpstr>
      <vt:lpstr>Hypothèses_projet</vt:lpstr>
      <vt:lpstr>Resultats généraux</vt:lpstr>
      <vt:lpstr>Data_center</vt:lpstr>
      <vt:lpstr>Télétravail</vt:lpstr>
      <vt:lpstr>Fibre optique</vt:lpstr>
      <vt:lpstr>Terminaux_utilisateurs_IoT</vt:lpstr>
      <vt:lpstr>Extension 5G</vt:lpstr>
      <vt:lpstr>Pratiques agricoles</vt:lpstr>
      <vt:lpstr>Deforestation Imagerie Satellit</vt:lpstr>
      <vt:lpstr>Deforestation Drones</vt:lpstr>
      <vt:lpstr>BDD_sources</vt:lpstr>
      <vt:lpstr>FE_par_pays</vt:lpstr>
      <vt:lpstr>GLOSSAIRE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Thibaud Barnaud</dc:creator>
  <cp:lastModifiedBy>MILLERAT Jean</cp:lastModifiedBy>
  <cp:lastPrinted>2021-04-06T14:21:36Z</cp:lastPrinted>
  <dcterms:created xsi:type="dcterms:W3CDTF">2015-06-05T18:17:20Z</dcterms:created>
  <dcterms:modified xsi:type="dcterms:W3CDTF">2021-12-06T18:16:03Z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0x0101009C67D0E4811A80468D01DEF3B8D6DDC4</vt:lpwstr>
  </property>
</Properties>
</file>