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rian/workspace/Research/CO2_Capture_GNN/"/>
    </mc:Choice>
  </mc:AlternateContent>
  <xr:revisionPtr revIDLastSave="0" documentId="8_{B2E88A27-D9BD-3D42-B50C-6B8A42DA06F4}" xr6:coauthVersionLast="47" xr6:coauthVersionMax="47" xr10:uidLastSave="{00000000-0000-0000-0000-000000000000}"/>
  <bookViews>
    <workbookView xWindow="1080" yWindow="760" windowWidth="24880" windowHeight="18880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8" i="1"/>
  <c r="D28" i="1"/>
  <c r="C28" i="1"/>
  <c r="B28" i="1"/>
  <c r="E22" i="1"/>
  <c r="D22" i="1"/>
  <c r="C22" i="1"/>
  <c r="B22" i="1"/>
  <c r="E17" i="1"/>
  <c r="D17" i="1"/>
  <c r="C17" i="1"/>
  <c r="C18" i="1" s="1"/>
  <c r="C23" i="1" s="1"/>
  <c r="B17" i="1"/>
  <c r="B18" i="1" s="1"/>
  <c r="B23" i="1" s="1"/>
  <c r="D16" i="1"/>
  <c r="D18" i="1" s="1"/>
  <c r="D23" i="1" s="1"/>
  <c r="E11" i="1"/>
  <c r="D29" i="1" l="1"/>
  <c r="C29" i="1"/>
  <c r="C31" i="1" s="1"/>
  <c r="B29" i="1"/>
  <c r="B31" i="1" s="1"/>
  <c r="D30" i="1"/>
  <c r="D5" i="1"/>
  <c r="B5" i="1"/>
  <c r="B6" i="1" s="1"/>
  <c r="B30" i="1"/>
  <c r="C5" i="1"/>
  <c r="C30" i="1"/>
  <c r="E12" i="1"/>
  <c r="E16" i="1" s="1"/>
  <c r="E18" i="1" s="1"/>
  <c r="E23" i="1" s="1"/>
  <c r="E30" i="1" l="1"/>
  <c r="E29" i="1"/>
  <c r="E31" i="1" s="1"/>
  <c r="D31" i="1"/>
  <c r="D6" i="1" s="1"/>
  <c r="C6" i="1"/>
  <c r="E6" i="1" l="1"/>
</calcChain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<sst xmlns="http://schemas.openxmlformats.org/spreadsheetml/2006/main" count="44" uniqueCount="38">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</sst>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#,##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i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1" xfId="0" applyFont="1" applyFill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3" fontId="5" fillId="6" borderId="8" xfId="0" applyNumberFormat="1" applyFont="1" applyFill="1" applyBorder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3" fontId="5" fillId="3" borderId="8" xfId="0" applyNumberFormat="1" applyFont="1" applyFill="1" applyBorder="1" applyAlignment="1">
      <alignment wrapText="1"/>
    </xf>
    <xf numFmtId="166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7" fillId="3" borderId="8" xfId="0" applyNumberFormat="1" applyFont="1" applyFill="1" applyBorder="1"/>
    <xf numFmtId="0" fontId="1" fillId="0" borderId="0" xfId="0" applyFont="1"/>
    <xf numFmtId="165" fontId="2" fillId="0" borderId="0" xfId="0" applyNumberFormat="1" applyFont="1"/>
    <xf numFmtId="3" fontId="5" fillId="3" borderId="8" xfId="0" applyNumberFormat="1" applyFont="1" applyFill="1" applyBorder="1"/>
    <xf numFmtId="2" fontId="2" fillId="0" borderId="0" xfId="0" applyNumberFormat="1" applyFont="1"/>
    <xf numFmtId="0" fontId="5" fillId="3" borderId="8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7" fillId="3" borderId="8" xfId="0" applyFont="1" applyFill="1" applyBorder="1"/>
    <xf numFmtId="0" fontId="1" fillId="3" borderId="9" xfId="0" applyFont="1" applyFill="1" applyBorder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3" fontId="1" fillId="5" borderId="10" xfId="0" applyNumberFormat="1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3" borderId="7" xfId="0" applyFont="1" applyFill="1" applyBorder="1"/>
    <xf numFmtId="3" fontId="5" fillId="2" borderId="0" xfId="0" applyNumberFormat="1" applyFont="1" applyFill="1"/>
    <xf numFmtId="0" fontId="4" fillId="3" borderId="8" xfId="0" applyFont="1" applyFill="1" applyBorder="1" applyAlignment="1">
      <alignment wrapText="1"/>
    </xf>
    <xf numFmtId="164" fontId="1" fillId="5" borderId="0" xfId="0" applyNumberFormat="1" applyFont="1" applyFill="1"/>
    <xf numFmtId="1" fontId="1" fillId="5" borderId="0" xfId="0" applyNumberFormat="1" applyFont="1" applyFill="1"/>
    <xf numFmtId="0" fontId="2" fillId="3" borderId="8" xfId="0" applyFont="1" applyFill="1" applyBorder="1"/>
    <xf numFmtId="9" fontId="1" fillId="5" borderId="10" xfId="0" applyNumberFormat="1" applyFont="1" applyFill="1" applyBorder="1"/>
    <xf numFmtId="0" fontId="2" fillId="3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D8" sqref="D8"/>
    </sheetView>
  </sheetViews>
  <sheetFormatPr baseColWidth="10" defaultColWidth="12.6640625" defaultRowHeight="15.75" customHeight="1" x14ac:dyDescent="0.15"/>
  <cols>
    <col min="1" max="1" width="43.1640625" customWidth="1"/>
    <col min="2" max="2" width="15.1640625" customWidth="1"/>
    <col min="5" max="5" width="19.33203125" customWidth="1"/>
    <col min="6" max="6" width="33.83203125" customWidth="1"/>
  </cols>
  <sheetData>
    <row r="1" spans="1:26" ht="15.75" customHeight="1" x14ac:dyDescent="0.15">
      <c r="A1" s="54" t="s">
        <v>0</v>
      </c>
      <c r="B1" s="55"/>
      <c r="C1" s="55"/>
      <c r="D1" s="55"/>
      <c r="E1" s="55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/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6</v>
      </c>
      <c r="B4" s="7">
        <v>1522789</v>
      </c>
      <c r="C4" s="7">
        <v>0</v>
      </c>
      <c r="D4" s="7">
        <v>32904246</v>
      </c>
      <c r="E4" s="7">
        <v>126916</v>
      </c>
      <c r="F4" s="6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 x14ac:dyDescent="0.2">
      <c r="A5" s="2" t="s">
        <v>8</v>
      </c>
      <c r="B5" s="8">
        <f t="shared" ref="B5:E5" si="0">B4*B$23/1000</f>
        <v>3221.6001903277888</v>
      </c>
      <c r="C5" s="8">
        <f t="shared" si="0"/>
        <v>0</v>
      </c>
      <c r="D5" s="8">
        <f t="shared" si="0"/>
        <v>2868.7685195162676</v>
      </c>
      <c r="E5" s="9">
        <f t="shared" si="0"/>
        <v>27307.524458850097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10" t="s">
        <v>9</v>
      </c>
      <c r="B6" s="11">
        <f t="shared" ref="B6:E6" si="1">B5*B31</f>
        <v>5496.2248182078656</v>
      </c>
      <c r="C6" s="11">
        <f t="shared" si="1"/>
        <v>0</v>
      </c>
      <c r="D6" s="11">
        <f t="shared" si="1"/>
        <v>2868.7685195162676</v>
      </c>
      <c r="E6" s="12">
        <f t="shared" si="1"/>
        <v>27307.524458850097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13"/>
      <c r="C7" s="13"/>
      <c r="D7" s="13"/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56" t="s">
        <v>10</v>
      </c>
      <c r="B9" s="57"/>
      <c r="C9" s="57"/>
      <c r="D9" s="57"/>
      <c r="E9" s="57"/>
      <c r="F9" s="5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14"/>
      <c r="B10" s="4" t="s">
        <v>1</v>
      </c>
      <c r="C10" s="4" t="s">
        <v>2</v>
      </c>
      <c r="D10" s="15" t="s">
        <v>3</v>
      </c>
      <c r="E10" s="5" t="s">
        <v>4</v>
      </c>
      <c r="F10" s="16" t="s">
        <v>11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8" t="s">
        <v>12</v>
      </c>
      <c r="B11" s="59">
        <v>25</v>
      </c>
      <c r="C11" s="59">
        <v>25</v>
      </c>
      <c r="D11" s="19">
        <v>0</v>
      </c>
      <c r="E11" s="20">
        <f>2292*2</f>
        <v>4584</v>
      </c>
      <c r="F11" s="21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18" t="s">
        <v>13</v>
      </c>
      <c r="B12" s="55"/>
      <c r="C12" s="55"/>
      <c r="D12" s="19">
        <v>3</v>
      </c>
      <c r="E12" s="20">
        <f>E11</f>
        <v>4584</v>
      </c>
      <c r="F12" s="21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2" t="s">
        <v>14</v>
      </c>
      <c r="B13" s="55"/>
      <c r="C13" s="55"/>
      <c r="D13" s="23">
        <v>0.128</v>
      </c>
      <c r="E13" s="20">
        <v>1146</v>
      </c>
      <c r="F13" s="21">
        <v>3600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2" t="s">
        <v>15</v>
      </c>
      <c r="B14" s="55"/>
      <c r="C14" s="55"/>
      <c r="D14" s="23">
        <v>1.4999999999999999E-2</v>
      </c>
      <c r="E14" s="20">
        <v>0</v>
      </c>
      <c r="F14" s="21">
        <v>51000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2" t="s">
        <v>16</v>
      </c>
      <c r="B15" s="55"/>
      <c r="C15" s="55"/>
      <c r="D15" s="24">
        <v>0.15</v>
      </c>
      <c r="E15" s="20">
        <v>5</v>
      </c>
      <c r="F15" s="21">
        <v>3750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8" t="s">
        <v>17</v>
      </c>
      <c r="B16" s="55"/>
      <c r="C16" s="55"/>
      <c r="D16" s="20">
        <f t="shared" ref="D16:E16" si="2">SUMPRODUCT($F11:$F15,D11:D15)/1000</f>
        <v>1.8483000000000001</v>
      </c>
      <c r="E16" s="20">
        <f t="shared" si="2"/>
        <v>4327.71</v>
      </c>
      <c r="F16" s="25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8" t="s">
        <v>19</v>
      </c>
      <c r="B17" s="20">
        <f t="shared" ref="B17:C17" si="3">7*365*24/3</f>
        <v>20440</v>
      </c>
      <c r="C17" s="20">
        <f t="shared" si="3"/>
        <v>20440</v>
      </c>
      <c r="D17" s="20">
        <f>4*365*24/1.25</f>
        <v>28032</v>
      </c>
      <c r="E17" s="20">
        <f>7*365*24/1.25</f>
        <v>49056</v>
      </c>
      <c r="F17" s="25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4" t="s">
        <v>21</v>
      </c>
      <c r="B18" s="26">
        <f t="shared" ref="B18:C18" si="4">25/B17*1000</f>
        <v>1.2230919765166339</v>
      </c>
      <c r="C18" s="26">
        <f t="shared" si="4"/>
        <v>1.2230919765166339</v>
      </c>
      <c r="D18" s="27">
        <f t="shared" ref="D18:E18" si="5">D16/D17*1000</f>
        <v>6.5935359589041106E-2</v>
      </c>
      <c r="E18" s="28">
        <f t="shared" si="5"/>
        <v>88.219789628180038</v>
      </c>
      <c r="F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15">
      <c r="A19" s="18" t="s">
        <v>22</v>
      </c>
      <c r="B19" s="2">
        <v>3</v>
      </c>
      <c r="C19" s="2">
        <v>10</v>
      </c>
      <c r="D19" s="31">
        <v>0.2</v>
      </c>
      <c r="E19" s="20">
        <v>1436</v>
      </c>
      <c r="F19" s="3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8" t="s">
        <v>23</v>
      </c>
      <c r="B20" s="2">
        <v>3.5</v>
      </c>
      <c r="C20" s="2">
        <v>3.5</v>
      </c>
      <c r="D20" s="2">
        <v>1.25</v>
      </c>
      <c r="E20" s="33">
        <v>1.04</v>
      </c>
      <c r="F20" s="3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8" t="s">
        <v>24</v>
      </c>
      <c r="B21" s="2">
        <v>85</v>
      </c>
      <c r="C21" s="2">
        <v>85</v>
      </c>
      <c r="D21" s="2">
        <v>85</v>
      </c>
      <c r="E21" s="2">
        <v>85</v>
      </c>
      <c r="F21" s="34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4" t="s">
        <v>26</v>
      </c>
      <c r="B22" s="35">
        <f t="shared" ref="B22:E22" si="6">B19*B20*B21/1000</f>
        <v>0.89249999999999996</v>
      </c>
      <c r="C22" s="35">
        <f t="shared" si="6"/>
        <v>2.9750000000000001</v>
      </c>
      <c r="D22" s="36">
        <f t="shared" si="6"/>
        <v>2.1250000000000002E-2</v>
      </c>
      <c r="E22" s="37">
        <f t="shared" si="6"/>
        <v>126.94240000000001</v>
      </c>
      <c r="F22" s="38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15">
      <c r="A23" s="39" t="s">
        <v>27</v>
      </c>
      <c r="B23" s="40">
        <f t="shared" ref="B23:E23" si="7">B18+B22</f>
        <v>2.115591976516634</v>
      </c>
      <c r="C23" s="40">
        <f t="shared" si="7"/>
        <v>4.1980919765166345</v>
      </c>
      <c r="D23" s="41">
        <f t="shared" si="7"/>
        <v>8.7185359589041111E-2</v>
      </c>
      <c r="E23" s="42">
        <f t="shared" si="7"/>
        <v>215.16218962818004</v>
      </c>
      <c r="F23" s="38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15">
      <c r="A24" s="43" t="s">
        <v>28</v>
      </c>
      <c r="B24" s="44"/>
      <c r="C24" s="44"/>
      <c r="D24" s="44"/>
      <c r="E24" s="44"/>
      <c r="F24" s="45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15">
      <c r="A25" s="46" t="s">
        <v>29</v>
      </c>
      <c r="B25" s="47">
        <v>5000</v>
      </c>
      <c r="C25" s="47">
        <v>5000</v>
      </c>
      <c r="D25" s="47">
        <v>0</v>
      </c>
      <c r="E25" s="47">
        <v>0</v>
      </c>
      <c r="F25" s="48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46" t="s">
        <v>31</v>
      </c>
      <c r="B26" s="47">
        <v>500</v>
      </c>
      <c r="C26" s="47">
        <v>500</v>
      </c>
      <c r="D26" s="47"/>
      <c r="E26" s="47"/>
      <c r="F26" s="48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46" t="s">
        <v>6</v>
      </c>
      <c r="B27" s="47">
        <v>1000</v>
      </c>
      <c r="C27" s="47">
        <v>100</v>
      </c>
      <c r="D27" s="47">
        <v>100000</v>
      </c>
      <c r="E27" s="47">
        <v>100</v>
      </c>
      <c r="F27" s="48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6" t="s">
        <v>33</v>
      </c>
      <c r="B28" s="20">
        <f t="shared" ref="B28:E28" si="8">B26+B27</f>
        <v>1500</v>
      </c>
      <c r="C28" s="20">
        <f t="shared" si="8"/>
        <v>600</v>
      </c>
      <c r="D28" s="20">
        <f t="shared" si="8"/>
        <v>100000</v>
      </c>
      <c r="E28" s="20">
        <f t="shared" si="8"/>
        <v>100</v>
      </c>
      <c r="F28" s="4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43" t="s">
        <v>34</v>
      </c>
      <c r="B29" s="49">
        <f t="shared" ref="B29:E29" si="9">(B25*$D$23+B28*B$23)/1000</f>
        <v>3.6093147627201567</v>
      </c>
      <c r="C29" s="49">
        <f t="shared" si="9"/>
        <v>2.9547819838551863</v>
      </c>
      <c r="D29" s="49">
        <f t="shared" si="9"/>
        <v>8.7185359589041109</v>
      </c>
      <c r="E29" s="50">
        <f t="shared" si="9"/>
        <v>21.516218962818005</v>
      </c>
      <c r="F29" s="48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43" t="s">
        <v>36</v>
      </c>
      <c r="B30" s="8">
        <f t="shared" ref="B30:E30" si="10">B27*B$23/1000</f>
        <v>2.115591976516634</v>
      </c>
      <c r="C30" s="8">
        <f t="shared" si="10"/>
        <v>0.41980919765166347</v>
      </c>
      <c r="D30" s="8">
        <f t="shared" si="10"/>
        <v>8.7185359589041109</v>
      </c>
      <c r="E30" s="9">
        <f t="shared" si="10"/>
        <v>21.516218962818005</v>
      </c>
      <c r="F30" s="5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9" t="s">
        <v>37</v>
      </c>
      <c r="B31" s="52">
        <f t="shared" ref="B31:E31" si="11">B29/B30</f>
        <v>1.7060542877757403</v>
      </c>
      <c r="C31" s="52">
        <f t="shared" si="11"/>
        <v>7.0383926802549848</v>
      </c>
      <c r="D31" s="52">
        <f t="shared" si="11"/>
        <v>1</v>
      </c>
      <c r="E31" s="52">
        <f t="shared" si="11"/>
        <v>1</v>
      </c>
      <c r="F31" s="5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Ventura</cp:lastModifiedBy>
  <dcterms:created xsi:type="dcterms:W3CDTF">2023-11-07T16:10:39Z</dcterms:created>
  <dcterms:modified xsi:type="dcterms:W3CDTF">2023-11-07T16:11:04Z</dcterms:modified>
</cp:coreProperties>
</file>