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ZINCID</t>
        </is>
      </c>
      <c r="C1" s="1" t="inlineStr">
        <is>
          <t>Combi-Blocks</t>
        </is>
      </c>
      <c r="D1" s="1" t="inlineStr">
        <is>
          <t>Matrix Scientific</t>
        </is>
      </c>
      <c r="E1" s="1" t="inlineStr">
        <is>
          <t>AK Scientific</t>
        </is>
      </c>
      <c r="F1" s="1" t="inlineStr">
        <is>
          <t>Enamine</t>
        </is>
      </c>
      <c r="G1" s="1" t="inlineStr">
        <is>
          <t>AstaTech</t>
        </is>
      </c>
      <c r="H1" s="1" t="inlineStr">
        <is>
          <t>Sigma Aldrich</t>
        </is>
      </c>
      <c r="I1" s="1" t="inlineStr">
        <is>
          <t>Alfa Aesar</t>
        </is>
      </c>
      <c r="J1" s="1" t="inlineStr">
        <is>
          <t>AmBeed</t>
        </is>
      </c>
      <c r="K1" s="1" t="inlineStr">
        <is>
          <t>aaBlocks</t>
        </is>
      </c>
      <c r="L1" s="1" t="inlineStr">
        <is>
          <t>AChemBlock</t>
        </is>
      </c>
      <c r="M1" s="1" t="inlineStr">
        <is>
          <t>ChemImpex</t>
        </is>
      </c>
      <c r="N1" s="1" t="inlineStr">
        <is>
          <t>BioSynth</t>
        </is>
      </c>
    </row>
    <row r="2">
      <c r="A2" t="inlineStr">
        <is>
          <t>c1cncc(Nc2nnc[nH]2)c1</t>
        </is>
      </c>
      <c r="B2" t="inlineStr">
        <is>
          <t>ZINC000225807495</t>
        </is>
      </c>
      <c r="C2" t="inlineStr"/>
      <c r="D2" t="inlineStr"/>
      <c r="E2" t="inlineStr"/>
      <c r="F2">
        <f>HYPERLINK("https://www.enaminestore.com/catalog/EN300-207582","EN300-207582")</f>
        <v/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Fc1ccc(Nc2nnns2)cc1</t>
        </is>
      </c>
      <c r="B3" t="inlineStr">
        <is>
          <t>ZINC000000118243</t>
        </is>
      </c>
      <c r="C3" t="inlineStr"/>
      <c r="D3">
        <f>HYPERLINK("http://www.matrixscientific.com/162094.html","162094")</f>
        <v/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Fc1ccccc1Nc1nnco1</t>
        </is>
      </c>
      <c r="B4" t="inlineStr">
        <is>
          <t>ZINC000307581123</t>
        </is>
      </c>
      <c r="C4" t="inlineStr"/>
      <c r="D4">
        <f>HYPERLINK("http://www.matrixscientific.com/147376.html","147376")</f>
        <v/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c1ccc(Nc2nnns2)cc1</t>
        </is>
      </c>
      <c r="B5" t="inlineStr">
        <is>
          <t>ZINC000000401042</t>
        </is>
      </c>
      <c r="C5" t="inlineStr"/>
      <c r="D5" t="inlineStr"/>
      <c r="E5" t="inlineStr"/>
      <c r="F5">
        <f>HYPERLINK("https://www.enaminestore.com/catalog/EN300-18247","EN300-18247")</f>
        <v/>
      </c>
      <c r="G5" t="inlineStr"/>
      <c r="H5" t="inlineStr"/>
      <c r="I5" t="inlineStr"/>
      <c r="J5" t="inlineStr"/>
      <c r="K5">
        <f>HYPERLINK("http://aablocks.com/goods/Goods/detail?id=AA00A3L1","AA00A3L1")</f>
        <v/>
      </c>
      <c r="L5" t="inlineStr"/>
      <c r="M5" t="inlineStr"/>
      <c r="N5" t="inlineStr"/>
    </row>
    <row r="6">
      <c r="A6" t="inlineStr">
        <is>
          <t>c1ccc(Nc2nccs2)nc1</t>
        </is>
      </c>
      <c r="B6" t="inlineStr">
        <is>
          <t>ZINC000000563305</t>
        </is>
      </c>
      <c r="C6" t="inlineStr"/>
      <c r="D6" t="inlineStr"/>
      <c r="E6" t="inlineStr"/>
      <c r="F6">
        <f>HYPERLINK("https://www.enaminestore.com/catalog/EN300-176277","EN300-176277")</f>
        <v/>
      </c>
      <c r="G6" t="inlineStr"/>
      <c r="H6" t="inlineStr"/>
      <c r="I6" t="inlineStr"/>
      <c r="J6" t="inlineStr"/>
      <c r="K6">
        <f>HYPERLINK("http://aablocks.com/goods/Goods/detail?id=AA00E4AO","AA00E4AO")</f>
        <v/>
      </c>
      <c r="L6" t="inlineStr"/>
      <c r="M6" t="inlineStr"/>
      <c r="N6" t="inlineStr"/>
    </row>
    <row r="7">
      <c r="A7" t="inlineStr">
        <is>
          <t>Cc1cc(Nc2ccccc2)nn1C</t>
        </is>
      </c>
      <c r="B7" t="inlineStr">
        <is>
          <t>ZINC000003239313</t>
        </is>
      </c>
      <c r="C7" t="inlineStr"/>
      <c r="D7" t="inlineStr"/>
      <c r="E7" t="inlineStr"/>
      <c r="F7" t="inlineStr"/>
      <c r="G7" t="inlineStr"/>
      <c r="H7">
        <f>HYPERLINK("http://www.sigmaaldrich.com/catalog/search?term=T311626&amp;interface=All&amp;N=0&amp;mode=match%20partialmax&amp;lang=en&amp;region=US&amp;focus=product","T311626")</f>
        <v/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Fc1ccc(Nc2cn[nH]c2)cc1</t>
        </is>
      </c>
      <c r="B8" t="inlineStr">
        <is>
          <t>ZINC000536949894</t>
        </is>
      </c>
      <c r="C8" t="inlineStr"/>
      <c r="D8" t="inlineStr"/>
      <c r="E8" t="inlineStr"/>
      <c r="F8">
        <f>HYPERLINK("https://www.enaminestore.com/catalog/EN300-328633","EN300-328633")</f>
        <v/>
      </c>
      <c r="G8" t="inlineStr"/>
      <c r="H8" t="inlineStr"/>
      <c r="I8" t="inlineStr"/>
      <c r="J8" t="inlineStr"/>
      <c r="K8">
        <f>HYPERLINK("http://aablocks.com/goods/Goods/detail?id=AA01BY5X","AA01BY5X")</f>
        <v/>
      </c>
      <c r="L8" t="inlineStr"/>
      <c r="M8" t="inlineStr"/>
      <c r="N8" t="inlineStr"/>
    </row>
    <row r="9">
      <c r="A9" t="inlineStr">
        <is>
          <t>c1ccc(Nc2ncc[nH]2)cc1</t>
        </is>
      </c>
      <c r="B9" t="inlineStr">
        <is>
          <t>ZINC000034160005</t>
        </is>
      </c>
      <c r="C9" t="inlineStr"/>
      <c r="D9" t="inlineStr"/>
      <c r="E9" t="inlineStr"/>
      <c r="F9">
        <f>HYPERLINK("https://www.enaminestore.com/catalog/EN300-175117","EN300-175117")</f>
        <v/>
      </c>
      <c r="G9" t="inlineStr"/>
      <c r="H9" t="inlineStr"/>
      <c r="I9" t="inlineStr"/>
      <c r="J9" t="inlineStr"/>
      <c r="K9">
        <f>HYPERLINK("http://aablocks.com/goods/Goods/detail?id=AA00I9P4","AA00I9P4")</f>
        <v/>
      </c>
      <c r="L9" t="inlineStr"/>
      <c r="M9" t="inlineStr"/>
      <c r="N9" t="inlineStr"/>
    </row>
    <row r="10">
      <c r="A10" t="inlineStr">
        <is>
          <t>c1ccc(Nc2cnccn2)cc1</t>
        </is>
      </c>
      <c r="B10" t="inlineStr">
        <is>
          <t>ZINC000006665762</t>
        </is>
      </c>
      <c r="C10" t="inlineStr"/>
      <c r="D10" t="inlineStr"/>
      <c r="E10" t="inlineStr"/>
      <c r="F10">
        <f>HYPERLINK("https://www.enaminestore.com/catalog/EN300-1590629","EN300-1590629")</f>
        <v/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c1ccc(Nc2nncs2)cc1</t>
        </is>
      </c>
      <c r="B11" t="inlineStr">
        <is>
          <t>ZINC000000245038</t>
        </is>
      </c>
      <c r="C11" t="inlineStr"/>
      <c r="D11" t="inlineStr"/>
      <c r="E11" t="inlineStr"/>
      <c r="F11">
        <f>HYPERLINK("https://www.enaminestore.com/catalog/EN300-10169","EN300-10169")</f>
        <v/>
      </c>
      <c r="G11" t="inlineStr"/>
      <c r="H11">
        <f>HYPERLINK("http://www.sigmaaldrich.com/catalog/search?term=T322849&amp;interface=All&amp;N=0&amp;mode=match%20partialmax&amp;lang=en&amp;region=US&amp;focus=product","T322849")</f>
        <v/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c1ccc(Nc2ccccn2)nc1</t>
        </is>
      </c>
      <c r="B12" t="inlineStr">
        <is>
          <t>ZINC000005594560</t>
        </is>
      </c>
      <c r="C12">
        <f>HYPERLINK("http://www.combi-blocks.com/cgi-bin/find.cgi?QD-2350","QD-2350")</f>
        <v/>
      </c>
      <c r="D12" t="inlineStr"/>
      <c r="E12">
        <f>HYPERLINK("https://aksci.com/item_detail.php?cat=7787AJ","7787AJ")</f>
        <v/>
      </c>
      <c r="F12">
        <f>HYPERLINK("https://www.enaminestore.com/catalog/EN300-17492","EN300-17492")</f>
        <v/>
      </c>
      <c r="G12" t="inlineStr"/>
      <c r="H12">
        <f>HYPERLINK("http://www.sigmaaldrich.com/catalog/search?term=1123135&amp;interface=All&amp;N=0&amp;mode=match%20partialmax&amp;lang=en&amp;region=US&amp;focus=product","1123135")</f>
        <v/>
      </c>
      <c r="I12" t="inlineStr"/>
      <c r="J12" t="inlineStr"/>
      <c r="K12">
        <f>HYPERLINK("http://aablocks.com/goods/Goods/detail?id=AA000QHB","AA000QHB")</f>
        <v/>
      </c>
      <c r="L12" t="inlineStr"/>
      <c r="M12" t="inlineStr"/>
      <c r="N12" t="inlineStr"/>
    </row>
    <row r="13">
      <c r="A13" t="inlineStr">
        <is>
          <t>c1ccc(Nc2cccnc2)nc1</t>
        </is>
      </c>
      <c r="B13" t="inlineStr">
        <is>
          <t>ZINC000038875392</t>
        </is>
      </c>
      <c r="C13" t="inlineStr"/>
      <c r="D13">
        <f>HYPERLINK("http://www.matrixscientific.com/135182.html","135182")</f>
        <v/>
      </c>
      <c r="E13" t="inlineStr"/>
      <c r="F13">
        <f>HYPERLINK("https://www.enaminestore.com/catalog/EN300-1265926","EN300-1265926")</f>
        <v/>
      </c>
      <c r="G13" t="inlineStr"/>
      <c r="H13" t="inlineStr"/>
      <c r="I13" t="inlineStr"/>
      <c r="J13" t="inlineStr"/>
      <c r="K13" t="inlineStr"/>
      <c r="L13">
        <f>HYPERLINK("http://www.achemblock.com/catalogsearch/result/?q=L19594","L19594")</f>
        <v/>
      </c>
      <c r="M13" t="inlineStr"/>
      <c r="N13" t="inlineStr"/>
    </row>
    <row r="14">
      <c r="A14" t="inlineStr">
        <is>
          <t>c1ccc(Nc2ncccn2)cc1</t>
        </is>
      </c>
      <c r="B14" t="inlineStr">
        <is>
          <t>ZINC000006665770</t>
        </is>
      </c>
      <c r="C14">
        <f>HYPERLINK("http://www.combi-blocks.com/cgi-bin/find.cgi?SS-0021","SS-0021")</f>
        <v/>
      </c>
      <c r="D14">
        <f>HYPERLINK("http://www.matrixscientific.com/069648.html","069648")</f>
        <v/>
      </c>
      <c r="E14">
        <f>HYPERLINK("https://aksci.com/item_detail.php?cat=X0168","X0168")</f>
        <v/>
      </c>
      <c r="F14">
        <f>HYPERLINK("https://www.enaminestore.com/catalog/EN300-102811","EN300-102811")</f>
        <v/>
      </c>
      <c r="G14">
        <f>HYPERLINK("http://astatechinc.com/CPSResult.php?CRNO=AC6387","AC6387")</f>
        <v/>
      </c>
      <c r="H14">
        <f>HYPERLINK("http://www.sigmaaldrich.com/catalog/search?term=SYX00317&amp;interface=All&amp;N=0&amp;mode=match%20partialmax&amp;lang=en&amp;region=US&amp;focus=product","SYX00317")</f>
        <v/>
      </c>
      <c r="I14" t="inlineStr"/>
      <c r="J14" t="inlineStr"/>
      <c r="K14">
        <f>HYPERLINK("http://aablocks.com/goods/Goods/detail?id=AA00EJBW","AA00EJBW")</f>
        <v/>
      </c>
      <c r="L14" t="inlineStr"/>
      <c r="M14" t="inlineStr"/>
      <c r="N14" t="inlineStr"/>
    </row>
    <row r="15">
      <c r="A15" t="inlineStr">
        <is>
          <t>c1ccc(Nc2ccncn2)cc1</t>
        </is>
      </c>
      <c r="B15" t="inlineStr">
        <is>
          <t>ZINC000039233308</t>
        </is>
      </c>
      <c r="C15" t="inlineStr"/>
      <c r="D15" t="inlineStr"/>
      <c r="E15" t="inlineStr"/>
      <c r="F15">
        <f>HYPERLINK("https://www.enaminestore.com/catalog/EN300-687026","EN300-687026")</f>
        <v/>
      </c>
      <c r="G15" t="inlineStr"/>
      <c r="H15" t="inlineStr"/>
      <c r="I15" t="inlineStr"/>
      <c r="J15" t="inlineStr"/>
      <c r="K15">
        <f>HYPERLINK("http://aablocks.com/goods/Goods/detail?id=AA01BNAR","AA01BNAR")</f>
        <v/>
      </c>
      <c r="L15" t="inlineStr"/>
      <c r="M15" t="inlineStr"/>
      <c r="N15" t="inlineStr"/>
    </row>
    <row r="16">
      <c r="A16" t="inlineStr">
        <is>
          <t>N#Cc1ccc(Nc2cncnc2)cc1</t>
        </is>
      </c>
      <c r="B16" t="inlineStr">
        <is>
          <t>ZINC000038996603</t>
        </is>
      </c>
      <c r="C16" t="inlineStr"/>
      <c r="D16">
        <f>HYPERLINK("http://www.matrixscientific.com/084894.html","084894")</f>
        <v/>
      </c>
      <c r="E16">
        <f>HYPERLINK("https://aksci.com/item_detail.php?cat=4970AD","4970AD")</f>
        <v/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c1ccc(Nc2ccncc2)cc1</t>
        </is>
      </c>
      <c r="B17" t="inlineStr">
        <is>
          <t>ZINC000011535658</t>
        </is>
      </c>
      <c r="C17">
        <f>HYPERLINK("http://www.combi-blocks.com/cgi-bin/find.cgi?QF-6583","QF-6583")</f>
        <v/>
      </c>
      <c r="D17">
        <f>HYPERLINK("http://www.matrixscientific.com/063602.html","063602")</f>
        <v/>
      </c>
      <c r="E17">
        <f>HYPERLINK("https://aksci.com/item_detail.php?cat=7823AD","7823AD")</f>
        <v/>
      </c>
      <c r="F17" t="inlineStr"/>
      <c r="G17">
        <f>HYPERLINK("http://astatechinc.com/CPSResult.php?CRNO=T70602","T70602")</f>
        <v/>
      </c>
      <c r="H17">
        <f>HYPERLINK("http://www.sigmaaldrich.com/catalog/search?term=PH011175&amp;interface=All&amp;N=0&amp;mode=match%20partialmax&amp;lang=en&amp;region=US&amp;focus=product","PH011175")</f>
        <v/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c1ccc(Nc2cccnc2)cc1</t>
        </is>
      </c>
      <c r="B18" t="inlineStr">
        <is>
          <t>ZINC000008436194</t>
        </is>
      </c>
      <c r="C18" t="inlineStr"/>
      <c r="D18" t="inlineStr"/>
      <c r="E18" t="inlineStr"/>
      <c r="F18" t="inlineStr"/>
      <c r="G18">
        <f>HYPERLINK("http://astatechinc.com/CPSResult.php?CRNO=A11249","A11249")</f>
        <v/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Cc1cc(C)nc(Nc2ccccc2)n1</t>
        </is>
      </c>
      <c r="B19" t="inlineStr">
        <is>
          <t>ZINC000000967734</t>
        </is>
      </c>
      <c r="C19">
        <f>HYPERLINK("http://www.combi-blocks.com/cgi-bin/find.cgi?QA-1023","QA-1023")</f>
        <v/>
      </c>
      <c r="D19">
        <f>HYPERLINK("http://www.matrixscientific.com/074289.html","074289")</f>
        <v/>
      </c>
      <c r="E19">
        <f>HYPERLINK("https://aksci.com/item_detail.php?cat=O663","O663")</f>
        <v/>
      </c>
      <c r="F19" t="inlineStr"/>
      <c r="G19">
        <f>HYPERLINK("http://astatechinc.com/CPSResult.php?CRNO=O11144","O11144")</f>
        <v/>
      </c>
      <c r="H19">
        <f>HYPERLINK("http://www.sigmaaldrich.com/catalog/search?term=31577&amp;interface=All&amp;N=0&amp;mode=match%20partialmax&amp;lang=en&amp;region=US&amp;focus=product","31577")</f>
        <v/>
      </c>
      <c r="I19" t="inlineStr"/>
      <c r="J19">
        <f>HYPERLINK("http://www.ambeed.com/search/Search.html?keyword=A124899","A124899")</f>
        <v/>
      </c>
      <c r="K19">
        <f>HYPERLINK("http://aablocks.com/goods/Goods/detail?id=AA003KH0","AA003KH0")</f>
        <v/>
      </c>
      <c r="L19" t="inlineStr"/>
      <c r="M19" t="inlineStr"/>
      <c r="N19" t="inlineStr"/>
    </row>
    <row r="20">
      <c r="A20" t="inlineStr">
        <is>
          <t>c1ccc2c(c1)Nc1cnccc1O2</t>
        </is>
      </c>
      <c r="B20" t="inlineStr">
        <is>
          <t>ZINC000104684163</t>
        </is>
      </c>
      <c r="C20" t="inlineStr"/>
      <c r="D20" t="inlineStr"/>
      <c r="E20">
        <f>HYPERLINK("https://aksci.com/item_detail.php?cat=HTS028746","HTS028746")</f>
        <v/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c1ccc2c(c1)Nc1ccncc1O2</t>
        </is>
      </c>
      <c r="B21" t="inlineStr">
        <is>
          <t>ZINC000104684162</t>
        </is>
      </c>
      <c r="C21">
        <f>HYPERLINK("http://www.combi-blocks.com/cgi-bin/find.cgi?QW-4022","QW-4022")</f>
        <v/>
      </c>
      <c r="D21">
        <f>HYPERLINK("http://www.matrixscientific.com/161189.html","161189")</f>
        <v/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c1ccc(Nc2ccccn2)cc1</t>
        </is>
      </c>
      <c r="B22" t="inlineStr">
        <is>
          <t>ZINC000000343387</t>
        </is>
      </c>
      <c r="C22">
        <f>HYPERLINK("http://www.combi-blocks.com/cgi-bin/find.cgi?ST-6832","ST-6832")</f>
        <v/>
      </c>
      <c r="D22" t="inlineStr"/>
      <c r="E22">
        <f>HYPERLINK("https://aksci.com/item_detail.php?cat=V7180","V7180")</f>
        <v/>
      </c>
      <c r="F22">
        <f>HYPERLINK("https://www.enaminestore.com/catalog/EN300-16204","EN300-16204")</f>
        <v/>
      </c>
      <c r="G22">
        <f>HYPERLINK("http://astatechinc.com/CPSResult.php?CRNO=28911","28911")</f>
        <v/>
      </c>
      <c r="H22">
        <f>HYPERLINK("http://www.sigmaaldrich.com/catalog/search?term=PH006857&amp;interface=All&amp;N=0&amp;mode=match%20partialmax&amp;lang=en&amp;region=US&amp;focus=product","PH006857")</f>
        <v/>
      </c>
      <c r="I22">
        <f>HYPERLINK("https://www.alfa.com/en/catalog/H57909","H57909")</f>
        <v/>
      </c>
      <c r="J22">
        <f>HYPERLINK("http://www.ambeed.com/search/Search.html?keyword=A226990","A226990")</f>
        <v/>
      </c>
      <c r="K22">
        <f>HYPERLINK("http://aablocks.com/goods/Goods/detail?id=AA003GHL","AA003GHL")</f>
        <v/>
      </c>
      <c r="L22" t="inlineStr"/>
      <c r="M22" t="inlineStr"/>
      <c r="N22" t="inlineStr"/>
    </row>
    <row r="23">
      <c r="A23" t="inlineStr">
        <is>
          <t>Cc1ccc(Nc2cnns2)cc1</t>
        </is>
      </c>
      <c r="B23" t="inlineStr">
        <is>
          <t>ZINC000002532484</t>
        </is>
      </c>
      <c r="C23" t="inlineStr"/>
      <c r="D23" t="inlineStr"/>
      <c r="E23" t="inlineStr"/>
      <c r="F23" t="inlineStr"/>
      <c r="G23" t="inlineStr"/>
      <c r="H23">
        <f>HYPERLINK("http://www.sigmaaldrich.com/catalog/search?term=L308366&amp;interface=All&amp;N=0&amp;mode=match%20partialmax&amp;lang=en&amp;region=US&amp;focus=product","L308366")</f>
        <v/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OCc1ccccc1Nc1ccccc1</t>
        </is>
      </c>
      <c r="B24" t="inlineStr">
        <is>
          <t>ZINC000013346830</t>
        </is>
      </c>
      <c r="C24" t="inlineStr"/>
      <c r="D24">
        <f>HYPERLINK("http://www.matrixscientific.com/175858.html","175858")</f>
        <v/>
      </c>
      <c r="E24" t="inlineStr"/>
      <c r="F24">
        <f>HYPERLINK("https://www.enaminestore.com/catalog/EN300-7352826","EN300-7352826")</f>
        <v/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Cc1ccc(Nc2ncccn2)cc1</t>
        </is>
      </c>
      <c r="B25" t="inlineStr">
        <is>
          <t>ZINC000040161634</t>
        </is>
      </c>
      <c r="C25">
        <f>HYPERLINK("http://www.combi-blocks.com/cgi-bin/find.cgi?LD-1071","LD-1071")</f>
        <v/>
      </c>
      <c r="D25" t="inlineStr"/>
      <c r="E25">
        <f>HYPERLINK("https://aksci.com/item_detail.php?cat=V4130","V4130")</f>
        <v/>
      </c>
      <c r="F25" t="inlineStr"/>
      <c r="G25" t="inlineStr"/>
      <c r="H25" t="inlineStr"/>
      <c r="I25" t="inlineStr"/>
      <c r="J25" t="inlineStr"/>
      <c r="K25">
        <f>HYPERLINK("http://aablocks.com/goods/Goods/detail?id=AA00AQHQ","AA00AQHQ")</f>
        <v/>
      </c>
      <c r="L25" t="inlineStr"/>
      <c r="M25" t="inlineStr"/>
      <c r="N25" t="inlineStr"/>
    </row>
    <row r="26">
      <c r="A26" t="inlineStr">
        <is>
          <t>Cc1cccc(Nc2cccc(C)n2)n1</t>
        </is>
      </c>
      <c r="B26" t="inlineStr">
        <is>
          <t>ZINC000016697029</t>
        </is>
      </c>
      <c r="C26">
        <f>HYPERLINK("http://www.combi-blocks.com/cgi-bin/find.cgi?ST-7266","ST-7266")</f>
        <v/>
      </c>
      <c r="D26" t="inlineStr"/>
      <c r="E26" t="inlineStr"/>
      <c r="F26" t="inlineStr"/>
      <c r="G26">
        <f>HYPERLINK("http://astatechinc.com/CPSResult.php?CRNO=54053","54053")</f>
        <v/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Cc1cc(Nc2ccccc2)ncn1</t>
        </is>
      </c>
      <c r="B27" t="inlineStr">
        <is>
          <t>ZINC000011902752</t>
        </is>
      </c>
      <c r="C27" t="inlineStr"/>
      <c r="D27" t="inlineStr"/>
      <c r="E27" t="inlineStr"/>
      <c r="F27" t="inlineStr"/>
      <c r="G27" t="inlineStr"/>
      <c r="H27">
        <f>HYPERLINK("http://www.sigmaaldrich.com/catalog/search?term=T313785&amp;interface=All&amp;N=0&amp;mode=match%20partialmax&amp;lang=en&amp;region=US&amp;focus=product","T313785")</f>
        <v/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Cc1ccnc(Nc2cc(C)ccn2)c1</t>
        </is>
      </c>
      <c r="B28" t="inlineStr">
        <is>
          <t>ZINC000140370726</t>
        </is>
      </c>
      <c r="C28" t="inlineStr"/>
      <c r="D28" t="inlineStr"/>
      <c r="E28" t="inlineStr"/>
      <c r="F28" t="inlineStr"/>
      <c r="G28">
        <f>HYPERLINK("http://astatechinc.com/CPSResult.php?CRNO=W15894","W15894")</f>
        <v/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Fc1ccc(Nc2ccccn2)cc1</t>
        </is>
      </c>
      <c r="B29" t="inlineStr">
        <is>
          <t>ZINC000000401691</t>
        </is>
      </c>
      <c r="C29" t="inlineStr"/>
      <c r="D29" t="inlineStr"/>
      <c r="E29" t="inlineStr"/>
      <c r="F29" t="inlineStr"/>
      <c r="G29" t="inlineStr"/>
      <c r="H29">
        <f>HYPERLINK("http://www.sigmaaldrich.com/catalog/search?term=S898554&amp;interface=All&amp;N=0&amp;mode=match%20partialmax&amp;lang=en&amp;region=US&amp;focus=product","S898554")</f>
        <v/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c1ccc(Nc2nccs2)cc1</t>
        </is>
      </c>
      <c r="B30" t="inlineStr">
        <is>
          <t>ZINC000012394436</t>
        </is>
      </c>
      <c r="C30" t="inlineStr"/>
      <c r="D30" t="inlineStr"/>
      <c r="E30">
        <f>HYPERLINK("https://aksci.com/item_detail.php?cat=Q905","Q905")</f>
        <v/>
      </c>
      <c r="F30" t="inlineStr"/>
      <c r="G30">
        <f>HYPERLINK("http://astatechinc.com/CPSResult.php?CRNO=C15592","C15592")</f>
        <v/>
      </c>
      <c r="H30">
        <f>HYPERLINK("http://www.sigmaaldrich.com/catalog/search?term=PH010014&amp;interface=All&amp;N=0&amp;mode=match%20partialmax&amp;lang=en&amp;region=US&amp;focus=product","PH010014")</f>
        <v/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Cc1cccnc1Nc1ncccc1C</t>
        </is>
      </c>
      <c r="B31" t="inlineStr">
        <is>
          <t>ZINC000000394963</t>
        </is>
      </c>
      <c r="C31" t="inlineStr"/>
      <c r="D31" t="inlineStr"/>
      <c r="E31" t="inlineStr"/>
      <c r="F31" t="inlineStr"/>
      <c r="G31" t="inlineStr"/>
      <c r="H31">
        <f>HYPERLINK("http://www.sigmaaldrich.com/catalog/search?term=S570699&amp;interface=All&amp;N=0&amp;mode=match%20partialmax&amp;lang=en&amp;region=US&amp;focus=product","S570699")</f>
        <v/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N#Cc1ccc(Nc2ccncc2)cc1</t>
        </is>
      </c>
      <c r="B32" t="inlineStr">
        <is>
          <t>ZINC000140396757</t>
        </is>
      </c>
      <c r="C32" t="inlineStr"/>
      <c r="D32" t="inlineStr"/>
      <c r="E32" t="inlineStr"/>
      <c r="F32">
        <f>HYPERLINK("https://www.enaminestore.com/catalog/EN300-299812","EN300-299812")</f>
        <v/>
      </c>
      <c r="G32" t="inlineStr"/>
      <c r="H32" t="inlineStr"/>
      <c r="I32" t="inlineStr"/>
      <c r="J32" t="inlineStr"/>
      <c r="K32">
        <f>HYPERLINK("http://aablocks.com/goods/Goods/detail?id=AA01B55O","AA01B55O")</f>
        <v/>
      </c>
      <c r="L32" t="inlineStr"/>
      <c r="M32" t="inlineStr"/>
      <c r="N32" t="inlineStr"/>
    </row>
    <row r="33">
      <c r="A33" t="inlineStr">
        <is>
          <t>c1ccc(Nc2cccs2)cc1</t>
        </is>
      </c>
      <c r="B33" t="inlineStr">
        <is>
          <t>ZINC000039074562</t>
        </is>
      </c>
      <c r="C33" t="inlineStr"/>
      <c r="D33">
        <f>HYPERLINK("http://www.matrixscientific.com/104394.html","104394")</f>
        <v/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c1ccc(Nc2ccccc2)cc1</t>
        </is>
      </c>
      <c r="B34" t="inlineStr">
        <is>
          <t>ZINC000000967716</t>
        </is>
      </c>
      <c r="C34">
        <f>HYPERLINK("http://www.combi-blocks.com/cgi-bin/find.cgi?QC-8490","QC-8490")</f>
        <v/>
      </c>
      <c r="D34">
        <f>HYPERLINK("http://www.matrixscientific.com/112754.html","112754")</f>
        <v/>
      </c>
      <c r="E34">
        <f>HYPERLINK("https://aksci.com/item_detail.php?cat=J10950","J10950")</f>
        <v/>
      </c>
      <c r="F34">
        <f>HYPERLINK("https://www.enaminestore.com/catalog/EN300-18732","EN300-18732")</f>
        <v/>
      </c>
      <c r="G34">
        <f>HYPERLINK("http://astatechinc.com/CPSResult.php?CRNO=38185","38185")</f>
        <v/>
      </c>
      <c r="H34">
        <f>HYPERLINK("http://www.sigmaaldrich.com/catalog/search?term=112763&amp;interface=All&amp;N=0&amp;mode=match%20partialmax&amp;lang=en&amp;region=US&amp;focus=product","112763")</f>
        <v/>
      </c>
      <c r="I34">
        <f>HYPERLINK("https://www.alfa.com/en/catalog/36610","36610")</f>
        <v/>
      </c>
      <c r="J34" t="inlineStr"/>
      <c r="K34">
        <f>HYPERLINK("http://aablocks.com/goods/Goods/detail?id=AA0016GM","AA0016GM")</f>
        <v/>
      </c>
      <c r="L34" t="inlineStr"/>
      <c r="M34">
        <f>HYPERLINK("http://www.chemimpex.com/category/search/32013/2?filter=&amp;search=32013&amp;type=q&amp;keywordoption=ANY&amp;cid=2&amp;fltrdesc=","32013")</f>
        <v/>
      </c>
      <c r="N34" t="inlineStr"/>
    </row>
    <row r="35">
      <c r="A35" t="inlineStr">
        <is>
          <t>c1ccc2c(c1)Cc1ccccc1N2</t>
        </is>
      </c>
      <c r="B35" t="inlineStr">
        <is>
          <t>ZINC000001672534</t>
        </is>
      </c>
      <c r="C35" t="inlineStr"/>
      <c r="D35" t="inlineStr"/>
      <c r="E35" t="inlineStr"/>
      <c r="F35" t="inlineStr"/>
      <c r="G35" t="inlineStr"/>
      <c r="H35">
        <f>HYPERLINK("http://www.sigmaaldrich.com/catalog/search?term=CDS020367&amp;interface=All&amp;N=0&amp;mode=match%20partialmax&amp;lang=en&amp;region=US&amp;focus=product","CDS020367")</f>
        <v/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Cc1csc(Nc2ccccc2)n1</t>
        </is>
      </c>
      <c r="B36" t="inlineStr">
        <is>
          <t>ZINC000008306914</t>
        </is>
      </c>
      <c r="C36" t="inlineStr"/>
      <c r="D36" t="inlineStr"/>
      <c r="E36">
        <f>HYPERLINK("https://aksci.com/item_detail.php?cat=5156AC","5156AC")</f>
        <v/>
      </c>
      <c r="F36">
        <f>HYPERLINK("https://www.enaminestore.com/catalog/EN300-02907","EN300-02907")</f>
        <v/>
      </c>
      <c r="G36" t="inlineStr"/>
      <c r="H36">
        <f>HYPERLINK("http://www.sigmaaldrich.com/catalog/search?term=CDS011450&amp;interface=All&amp;N=0&amp;mode=match%20partialmax&amp;lang=en&amp;region=US&amp;focus=product","CDS011450")</f>
        <v/>
      </c>
      <c r="I36" t="inlineStr"/>
      <c r="J36" t="inlineStr"/>
      <c r="K36">
        <f>HYPERLINK("http://aablocks.com/goods/Goods/detail?id=AA00GUCH","AA00GUCH")</f>
        <v/>
      </c>
      <c r="L36" t="inlineStr"/>
      <c r="M36" t="inlineStr"/>
      <c r="N36">
        <f>HYPERLINK("https://www.biosynth.com/en/products/life-science/other-biochemicals/products/J-501448","J-501448")</f>
        <v/>
      </c>
    </row>
    <row r="37">
      <c r="A37" t="inlineStr">
        <is>
          <t>c1ccc2c(c1)COc1ccccc1N2</t>
        </is>
      </c>
      <c r="B37" t="inlineStr">
        <is>
          <t>ZINC000006277036</t>
        </is>
      </c>
      <c r="C37">
        <f>HYPERLINK("http://www.combi-blocks.com/cgi-bin/find.cgi?QC-1664","QC-1664")</f>
        <v/>
      </c>
      <c r="D37" t="inlineStr"/>
      <c r="E37">
        <f>HYPERLINK("https://aksci.com/item_detail.php?cat=4118AB","4118AB")</f>
        <v/>
      </c>
      <c r="F37" t="inlineStr"/>
      <c r="G37">
        <f>HYPERLINK("http://astatechinc.com/CPSResult.php?CRNO=80148","80148")</f>
        <v/>
      </c>
      <c r="H37" t="inlineStr"/>
      <c r="I37" t="inlineStr"/>
      <c r="J37">
        <f>HYPERLINK("http://www.ambeed.com/search/Search.html?keyword=A242457","A242457")</f>
        <v/>
      </c>
      <c r="K37" t="inlineStr"/>
      <c r="L37" t="inlineStr"/>
      <c r="M37" t="inlineStr"/>
      <c r="N37" t="inlineStr"/>
    </row>
    <row r="38">
      <c r="A38" t="inlineStr">
        <is>
          <t>Fc1cccc(Nc2nccs2)c1</t>
        </is>
      </c>
      <c r="B38" t="inlineStr">
        <is>
          <t>ZINC000002539890</t>
        </is>
      </c>
      <c r="C38" t="inlineStr"/>
      <c r="D38" t="inlineStr"/>
      <c r="E38" t="inlineStr"/>
      <c r="F38" t="inlineStr"/>
      <c r="G38" t="inlineStr"/>
      <c r="H38">
        <f>HYPERLINK("http://www.sigmaaldrich.com/catalog/search?term=CDS011161&amp;interface=All&amp;N=0&amp;mode=match%20partialmax&amp;lang=en&amp;region=US&amp;focus=product","CDS011161")</f>
        <v/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COc1ccc(Nc2ccccc2)cc1</t>
        </is>
      </c>
      <c r="B39" t="inlineStr">
        <is>
          <t>ZINC000016978792</t>
        </is>
      </c>
      <c r="C39">
        <f>HYPERLINK("http://www.combi-blocks.com/cgi-bin/find.cgi?QF-8220","QF-8220")</f>
        <v/>
      </c>
      <c r="D39" t="inlineStr"/>
      <c r="E39">
        <f>HYPERLINK("https://aksci.com/item_detail.php?cat=3648AA","3648AA")</f>
        <v/>
      </c>
      <c r="F39">
        <f>HYPERLINK("https://www.enaminestore.com/catalog/EN300-06439","EN300-06439")</f>
        <v/>
      </c>
      <c r="G39">
        <f>HYPERLINK("http://astatechinc.com/CPSResult.php?CRNO=76155","76155")</f>
        <v/>
      </c>
      <c r="H39">
        <f>HYPERLINK("http://www.sigmaaldrich.com/catalog/search?term=CDS011448&amp;interface=All&amp;N=0&amp;mode=match%20partialmax&amp;lang=en&amp;region=US&amp;focus=product","CDS011448")</f>
        <v/>
      </c>
      <c r="I39" t="inlineStr"/>
      <c r="J39">
        <f>HYPERLINK("http://www.ambeed.com/search/Search.html?keyword=A106645","A106645")</f>
        <v/>
      </c>
      <c r="K39">
        <f>HYPERLINK("http://aablocks.com/goods/Goods/detail?id=AA007PAF","AA007PAF")</f>
        <v/>
      </c>
      <c r="L39" t="inlineStr"/>
      <c r="M39" t="inlineStr"/>
      <c r="N39">
        <f>HYPERLINK("https://www.biosynth.com/en/products/life-science/other-biochemicals/products/J-501425","J-501425")</f>
        <v/>
      </c>
    </row>
    <row r="40">
      <c r="A40" t="inlineStr">
        <is>
          <t>COc1cccc(Nc2ccccc2)c1</t>
        </is>
      </c>
      <c r="B40" t="inlineStr">
        <is>
          <t>ZINC000000409234</t>
        </is>
      </c>
      <c r="C40">
        <f>HYPERLINK("http://www.combi-blocks.com/cgi-bin/find.cgi?QB-2032","QB-2032")</f>
        <v/>
      </c>
      <c r="D40" t="inlineStr"/>
      <c r="E40">
        <f>HYPERLINK("https://aksci.com/item_detail.php?cat=S641","S641")</f>
        <v/>
      </c>
      <c r="F40">
        <f>HYPERLINK("https://www.enaminestore.com/catalog/EN300-21118","EN300-21118")</f>
        <v/>
      </c>
      <c r="G40">
        <f>HYPERLINK("http://astatechinc.com/CPSResult.php?CRNO=75867","75867")</f>
        <v/>
      </c>
      <c r="H40">
        <f>HYPERLINK("http://www.sigmaaldrich.com/catalog/search?term=275980&amp;interface=All&amp;N=0&amp;mode=match%20partialmax&amp;lang=en&amp;region=US&amp;focus=product","275980")</f>
        <v/>
      </c>
      <c r="I40">
        <f>HYPERLINK("https://www.alfa.com/en/catalog/H55673","H55673")</f>
        <v/>
      </c>
      <c r="J40">
        <f>HYPERLINK("http://www.ambeed.com/search/Search.html?keyword=A109248","A109248")</f>
        <v/>
      </c>
      <c r="K40">
        <f>HYPERLINK("http://aablocks.com/goods/Goods/detail?id=AA0003C4","AA0003C4")</f>
        <v/>
      </c>
      <c r="L40" t="inlineStr"/>
      <c r="M40">
        <f>HYPERLINK("http://www.chemimpex.com/category/search/27169/2?filter=&amp;search=27169&amp;type=q&amp;keywordoption=ANY&amp;cid=2&amp;fltrdesc=","27169")</f>
        <v/>
      </c>
      <c r="N40">
        <f>HYPERLINK("https://www.biosynth.com/en/products/life-science/other-biochemicals/products/W-108925","W-108925")</f>
        <v/>
      </c>
    </row>
    <row r="41">
      <c r="A41" t="inlineStr">
        <is>
          <t>N#Cc1ccc(Nc2ccccc2)cc1</t>
        </is>
      </c>
      <c r="B41" t="inlineStr">
        <is>
          <t>ZINC000019867408</t>
        </is>
      </c>
      <c r="C41" t="inlineStr"/>
      <c r="D41" t="inlineStr"/>
      <c r="E41" t="inlineStr"/>
      <c r="F41" t="inlineStr"/>
      <c r="G41">
        <f>HYPERLINK("http://astatechinc.com/CPSResult.php?CRNO=W13057","W13057")</f>
        <v/>
      </c>
      <c r="H41" t="inlineStr"/>
      <c r="I41" t="inlineStr"/>
      <c r="J41" t="inlineStr"/>
      <c r="K41">
        <f>HYPERLINK("http://aablocks.com/goods/Goods/detail?id=AA00C6NY","AA00C6NY")</f>
        <v/>
      </c>
      <c r="L41" t="inlineStr"/>
      <c r="M41" t="inlineStr"/>
      <c r="N41" t="inlineStr"/>
    </row>
    <row r="42">
      <c r="A42" t="inlineStr">
        <is>
          <t>Fc1cccc(Nc2ccccc2)c1</t>
        </is>
      </c>
      <c r="B42" t="inlineStr">
        <is>
          <t>ZINC000002243137</t>
        </is>
      </c>
      <c r="C42">
        <f>HYPERLINK("http://www.combi-blocks.com/cgi-bin/find.cgi?ST-0870","ST-0870")</f>
        <v/>
      </c>
      <c r="D42" t="inlineStr"/>
      <c r="E42">
        <f>HYPERLINK("https://aksci.com/item_detail.php?cat=2429AL","2429AL")</f>
        <v/>
      </c>
      <c r="F42">
        <f>HYPERLINK("https://www.enaminestore.com/catalog/EN300-112823","EN300-112823")</f>
        <v/>
      </c>
      <c r="G42">
        <f>HYPERLINK("http://astatechinc.com/CPSResult.php?CRNO=61202","61202")</f>
        <v/>
      </c>
      <c r="H42" t="inlineStr"/>
      <c r="I42" t="inlineStr"/>
      <c r="J42" t="inlineStr"/>
      <c r="K42">
        <f>HYPERLINK("http://aablocks.com/goods/Goods/detail?id=AA006WAL","AA006WAL")</f>
        <v/>
      </c>
      <c r="L42" t="inlineStr"/>
      <c r="M42" t="inlineStr"/>
      <c r="N42" t="inlineStr"/>
    </row>
    <row r="43">
      <c r="A43" t="inlineStr">
        <is>
          <t>c1ccc2c(c1)Nc1ccccc1O2</t>
        </is>
      </c>
      <c r="B43" t="inlineStr">
        <is>
          <t>ZINC000000120208</t>
        </is>
      </c>
      <c r="C43">
        <f>HYPERLINK("http://www.combi-blocks.com/cgi-bin/find.cgi?QA-3487","QA-3487")</f>
        <v/>
      </c>
      <c r="D43">
        <f>HYPERLINK("http://www.matrixscientific.com/155410.html","155410")</f>
        <v/>
      </c>
      <c r="E43">
        <f>HYPERLINK("https://aksci.com/item_detail.php?cat=U373","U373")</f>
        <v/>
      </c>
      <c r="F43">
        <f>HYPERLINK("https://www.enaminestore.com/catalog/EN300-218834","EN300-218834")</f>
        <v/>
      </c>
      <c r="G43">
        <f>HYPERLINK("http://astatechinc.com/CPSResult.php?CRNO=F14936","F14936")</f>
        <v/>
      </c>
      <c r="H43">
        <f>HYPERLINK("http://www.sigmaaldrich.com/catalog/search?term=S839523&amp;interface=All&amp;N=0&amp;mode=match%20partialmax&amp;lang=en&amp;region=US&amp;focus=product","S839523")</f>
        <v/>
      </c>
      <c r="I43">
        <f>HYPERLINK("https://www.alfa.com/en/catalog/L01969","L01969")</f>
        <v/>
      </c>
      <c r="J43">
        <f>HYPERLINK("http://www.ambeed.com/search/Search.html?keyword=A129838","A129838")</f>
        <v/>
      </c>
      <c r="K43">
        <f>HYPERLINK("http://aablocks.com/goods/Goods/detail?id=AA0035E4","AA0035E4")</f>
        <v/>
      </c>
      <c r="L43" t="inlineStr"/>
      <c r="M43" t="inlineStr"/>
      <c r="N43">
        <f>HYPERLINK("https://www.biosynth.com/en/products/life-science/other-biochemicals/products/J-610038","J-610038")</f>
        <v/>
      </c>
    </row>
    <row r="44">
      <c r="A44" t="inlineStr">
        <is>
          <t>Cc1ccc(Nc2ccccc2)cc1</t>
        </is>
      </c>
      <c r="B44" t="inlineStr">
        <is>
          <t>ZINC000000968704</t>
        </is>
      </c>
      <c r="C44">
        <f>HYPERLINK("http://www.combi-blocks.com/cgi-bin/find.cgi?OR-3709","OR-3709")</f>
        <v/>
      </c>
      <c r="D44">
        <f>HYPERLINK("http://www.matrixscientific.com/075390.html","075390")</f>
        <v/>
      </c>
      <c r="E44">
        <f>HYPERLINK("https://aksci.com/item_detail.php?cat=X4106","X4106")</f>
        <v/>
      </c>
      <c r="F44" t="inlineStr"/>
      <c r="G44" t="inlineStr"/>
      <c r="H44">
        <f>HYPERLINK("http://www.sigmaaldrich.com/catalog/search?term=TMT00625&amp;interface=All&amp;N=0&amp;mode=match%20partialmax&amp;lang=en&amp;region=US&amp;focus=product","TMT00625")</f>
        <v/>
      </c>
      <c r="I44">
        <f>HYPERLINK("https://www.alfa.com/en/catalog/44560","44560")</f>
        <v/>
      </c>
      <c r="J44">
        <f>HYPERLINK("http://www.ambeed.com/search/Search.html?keyword=A140855","A140855")</f>
        <v/>
      </c>
      <c r="K44">
        <f>HYPERLINK("http://aablocks.com/goods/Goods/detail?id=AA0036VK","AA0036VK")</f>
        <v/>
      </c>
      <c r="L44" t="inlineStr"/>
      <c r="M44" t="inlineStr"/>
      <c r="N44">
        <f>HYPERLINK("https://www.biosynth.com/en/products/life-science/other-biochemicals/products/W-105050","W-105050")</f>
        <v/>
      </c>
    </row>
    <row r="45">
      <c r="A45" t="inlineStr">
        <is>
          <t>N#[N+]c1ccc(Nc2ccccc2)cc1</t>
        </is>
      </c>
      <c r="B45" t="inlineStr">
        <is>
          <t>ZINC000003954158</t>
        </is>
      </c>
      <c r="C45">
        <f>HYPERLINK("http://www.combi-blocks.com/cgi-bin/find.cgi?QN-4104","QN-4104")</f>
        <v/>
      </c>
      <c r="D45" t="inlineStr"/>
      <c r="E45">
        <f>HYPERLINK("https://aksci.com/item_detail.php?cat=J10273","J10273")</f>
        <v/>
      </c>
      <c r="F45" t="inlineStr"/>
      <c r="G45" t="inlineStr"/>
      <c r="H45">
        <f>HYPERLINK("http://www.sigmaaldrich.com/catalog/search?term=201464&amp;interface=All&amp;N=0&amp;mode=match%20partialmax&amp;lang=en&amp;region=US&amp;focus=product","201464")</f>
        <v/>
      </c>
      <c r="I45" t="inlineStr"/>
      <c r="J45" t="inlineStr"/>
      <c r="K45" t="inlineStr"/>
      <c r="L45" t="inlineStr"/>
      <c r="M45" t="inlineStr"/>
      <c r="N45">
        <f>HYPERLINK("https://www.biosynth.com/en/products/life-science/other-biochemicals/products/W-106175","W-106175")</f>
        <v/>
      </c>
    </row>
    <row r="46">
      <c r="A46" t="inlineStr">
        <is>
          <t>c1ccc2c(c1)CCc1ccccc1N2</t>
        </is>
      </c>
      <c r="B46" t="inlineStr">
        <is>
          <t>ZINC000001470731</t>
        </is>
      </c>
      <c r="C46" t="inlineStr"/>
      <c r="D46">
        <f>HYPERLINK("http://www.matrixscientific.com/058281.html","058281")</f>
        <v/>
      </c>
      <c r="E46">
        <f>HYPERLINK("https://aksci.com/item_detail.php?cat=J10553","J10553")</f>
        <v/>
      </c>
      <c r="F46">
        <f>HYPERLINK("https://www.enaminestore.com/catalog/EN300-19086","EN300-19086")</f>
        <v/>
      </c>
      <c r="G46">
        <f>HYPERLINK("http://astatechinc.com/CPSResult.php?CRNO=43858","43858")</f>
        <v/>
      </c>
      <c r="H46">
        <f>HYPERLINK("http://www.sigmaaldrich.com/catalog/search?term=1337004&amp;interface=All&amp;N=0&amp;mode=match%20partialmax&amp;lang=en&amp;region=US&amp;focus=product","1337004")</f>
        <v/>
      </c>
      <c r="I46">
        <f>HYPERLINK("https://www.alfa.com/en/catalog/A19204","A19204")</f>
        <v/>
      </c>
      <c r="J46" t="inlineStr"/>
      <c r="K46">
        <f>HYPERLINK("http://aablocks.com/goods/Goods/detail?id=AA0034XV","AA0034XV")</f>
        <v/>
      </c>
      <c r="L46" t="inlineStr"/>
      <c r="M46" t="inlineStr"/>
      <c r="N46">
        <f>HYPERLINK("https://www.biosynth.com/en/products/life-science/other-biochemicals/products/J-650002","J-650002")</f>
        <v/>
      </c>
    </row>
    <row r="47">
      <c r="A47" t="inlineStr">
        <is>
          <t>O=Nc1ccc(Nc2ccccc2)cc1</t>
        </is>
      </c>
      <c r="B47" t="inlineStr">
        <is>
          <t>ZINC000003861649</t>
        </is>
      </c>
      <c r="C47" t="inlineStr"/>
      <c r="D47" t="inlineStr"/>
      <c r="E47">
        <f>HYPERLINK("https://aksci.com/item_detail.php?cat=5941AF","5941AF")</f>
        <v/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Fc1ccccc1Nc1ccccc1</t>
        </is>
      </c>
      <c r="B48" t="inlineStr">
        <is>
          <t>ZINC000002243136</t>
        </is>
      </c>
      <c r="C48">
        <f>HYPERLINK("http://www.combi-blocks.com/cgi-bin/find.cgi?SS-5374","SS-5374")</f>
        <v/>
      </c>
      <c r="D48" t="inlineStr"/>
      <c r="E48" t="inlineStr"/>
      <c r="F48">
        <f>HYPERLINK("https://www.enaminestore.com/catalog/EN300-233627","EN300-233627")</f>
        <v/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C1=Cc2ccccc2Nc2ccccc21</t>
        </is>
      </c>
      <c r="B49" t="inlineStr">
        <is>
          <t>ZINC000001036792</t>
        </is>
      </c>
      <c r="C49">
        <f>HYPERLINK("http://www.combi-blocks.com/cgi-bin/find.cgi?SS-7267","SS-7267")</f>
        <v/>
      </c>
      <c r="D49">
        <f>HYPERLINK("http://www.matrixscientific.com/127644.html","127644")</f>
        <v/>
      </c>
      <c r="E49">
        <f>HYPERLINK("https://aksci.com/item_detail.php?cat=F539","F539")</f>
        <v/>
      </c>
      <c r="F49">
        <f>HYPERLINK("https://www.enaminestore.com/catalog/EN300-176476","EN300-176476")</f>
        <v/>
      </c>
      <c r="G49">
        <f>HYPERLINK("http://astatechinc.com/CPSResult.php?CRNO=F15408","F15408")</f>
        <v/>
      </c>
      <c r="H49">
        <f>HYPERLINK("http://www.sigmaaldrich.com/catalog/search?term=1093023&amp;interface=All&amp;N=0&amp;mode=match%20partialmax&amp;lang=en&amp;region=US&amp;focus=product","1093023")</f>
        <v/>
      </c>
      <c r="I49">
        <f>HYPERLINK("https://www.alfa.com/en/catalog/B21323","B21323")</f>
        <v/>
      </c>
      <c r="J49">
        <f>HYPERLINK("http://www.ambeed.com/search/Search.html?keyword=A175184","A175184")</f>
        <v/>
      </c>
      <c r="K49">
        <f>HYPERLINK("http://aablocks.com/goods/Goods/detail?id=AA003MPB","AA003MPB")</f>
        <v/>
      </c>
      <c r="L49" t="inlineStr"/>
      <c r="M49" t="inlineStr"/>
      <c r="N49">
        <f>HYPERLINK("https://www.biosynth.com/en/products/life-science/other-biochemicals/products/W-107225","W-107225")</f>
        <v/>
      </c>
    </row>
    <row r="50">
      <c r="A50" t="inlineStr">
        <is>
          <t>c1ccc2c(c1)Nc1ccccc1S2</t>
        </is>
      </c>
      <c r="B50" t="inlineStr">
        <is>
          <t>ZINC000100009616</t>
        </is>
      </c>
      <c r="C50">
        <f>HYPERLINK("http://www.combi-blocks.com/cgi-bin/find.cgi?QE-0355","QE-0355")</f>
        <v/>
      </c>
      <c r="D50" t="inlineStr"/>
      <c r="E50">
        <f>HYPERLINK("https://aksci.com/item_detail.php?cat=J10398","J10398")</f>
        <v/>
      </c>
      <c r="F50">
        <f>HYPERLINK("https://www.enaminestore.com/catalog/EN300-19084","EN300-19084")</f>
        <v/>
      </c>
      <c r="G50">
        <f>HYPERLINK("http://astatechinc.com/CPSResult.php?CRNO=C16735","C16735")</f>
        <v/>
      </c>
      <c r="H50">
        <f>HYPERLINK("http://www.sigmaaldrich.com/catalog/search?term=1525707&amp;interface=All&amp;N=0&amp;mode=match%20partialmax&amp;lang=en&amp;region=US&amp;focus=product","1525707")</f>
        <v/>
      </c>
      <c r="I50">
        <f>HYPERLINK("https://www.alfa.com/en/catalog/A12517","A12517")</f>
        <v/>
      </c>
      <c r="J50" t="inlineStr"/>
      <c r="K50">
        <f>HYPERLINK("http://aablocks.com/goods/Goods/detail?id=AA0039HQ","AA0039HQ")</f>
        <v/>
      </c>
      <c r="L50" t="inlineStr"/>
      <c r="M50">
        <f>HYPERLINK("http://www.chemimpex.com/category/search/24482/2?filter=&amp;search=24482&amp;type=q&amp;keywordoption=ANY&amp;cid=2&amp;fltrdesc=","24482")</f>
        <v/>
      </c>
      <c r="N50">
        <f>HYPERLINK("https://www.biosynth.com/en/products/life-science/other-biochemicals/products/W-100270","W-100270")</f>
        <v/>
      </c>
    </row>
    <row r="51">
      <c r="A51" t="inlineStr">
        <is>
          <t>Fc1ccc(Nc2ccccc2)cc1</t>
        </is>
      </c>
      <c r="B51" t="inlineStr">
        <is>
          <t>ZINC000002244271</t>
        </is>
      </c>
      <c r="C51">
        <f>HYPERLINK("http://www.combi-blocks.com/cgi-bin/find.cgi?SS-4992","SS-4992")</f>
        <v/>
      </c>
      <c r="D51" t="inlineStr"/>
      <c r="E51">
        <f>HYPERLINK("https://aksci.com/item_detail.php?cat=6503AL","6503AL")</f>
        <v/>
      </c>
      <c r="F51" t="inlineStr"/>
      <c r="G51">
        <f>HYPERLINK("http://astatechinc.com/CPSResult.php?CRNO=T72312","T72312")</f>
        <v/>
      </c>
      <c r="H51">
        <f>HYPERLINK("http://www.sigmaaldrich.com/catalog/search?term=PH000345&amp;interface=All&amp;N=0&amp;mode=match%20partialmax&amp;lang=en&amp;region=US&amp;focus=product","PH000345")</f>
        <v/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Cc1ccccc1Nc1ccccc1</t>
        </is>
      </c>
      <c r="B52" t="inlineStr">
        <is>
          <t>ZINC000034589521</t>
        </is>
      </c>
      <c r="C52">
        <f>HYPERLINK("http://www.combi-blocks.com/cgi-bin/find.cgi?QP-2078","QP-2078")</f>
        <v/>
      </c>
      <c r="D52" t="inlineStr"/>
      <c r="E52" t="inlineStr"/>
      <c r="F52" t="inlineStr"/>
      <c r="G52">
        <f>HYPERLINK("http://astatechinc.com/CPSResult.php?CRNO=S12003","S12003")</f>
        <v/>
      </c>
      <c r="H52" t="inlineStr"/>
      <c r="I52" t="inlineStr"/>
      <c r="J52">
        <f>HYPERLINK("http://www.ambeed.com/search/Search.html?keyword=A150258","A150258")</f>
        <v/>
      </c>
      <c r="K52" t="inlineStr"/>
      <c r="L52">
        <f>HYPERLINK("http://www.achemblock.com/catalogsearch/result/?q=P42310","P42310")</f>
        <v/>
      </c>
      <c r="M52" t="inlineStr"/>
      <c r="N52" t="inlineStr"/>
    </row>
    <row r="53">
      <c r="A53" t="inlineStr">
        <is>
          <t>Cc1cccc(Nc2ccccc2)c1</t>
        </is>
      </c>
      <c r="B53" t="inlineStr">
        <is>
          <t>ZINC000002039769</t>
        </is>
      </c>
      <c r="C53">
        <f>HYPERLINK("http://www.combi-blocks.com/cgi-bin/find.cgi?QA-0387","QA-0387")</f>
        <v/>
      </c>
      <c r="D53">
        <f>HYPERLINK("http://www.matrixscientific.com/075291.html","075291")</f>
        <v/>
      </c>
      <c r="E53">
        <f>HYPERLINK("https://aksci.com/item_detail.php?cat=P810","P810")</f>
        <v/>
      </c>
      <c r="F53">
        <f>HYPERLINK("https://www.enaminestore.com/catalog/EN300-17640","EN300-17640")</f>
        <v/>
      </c>
      <c r="G53">
        <f>HYPERLINK("http://astatechinc.com/CPSResult.php?CRNO=I10224","I10224")</f>
        <v/>
      </c>
      <c r="H53">
        <f>HYPERLINK("http://www.sigmaaldrich.com/catalog/search?term=183512&amp;interface=All&amp;N=0&amp;mode=match%20partialmax&amp;lang=en&amp;region=US&amp;focus=product","183512")</f>
        <v/>
      </c>
      <c r="I53">
        <f>HYPERLINK("https://www.alfa.com/en/catalog/B25441","B25441")</f>
        <v/>
      </c>
      <c r="J53">
        <f>HYPERLINK("http://www.ambeed.com/search/Search.html?keyword=A280803","A280803")</f>
        <v/>
      </c>
      <c r="K53">
        <f>HYPERLINK("http://aablocks.com/goods/Goods/detail?id=AA003JOF","AA003JOF")</f>
        <v/>
      </c>
      <c r="L53" t="inlineStr"/>
      <c r="M53">
        <f>HYPERLINK("http://www.chemimpex.com/category/search/27182/2?filter=&amp;search=27182&amp;type=q&amp;keywordoption=ANY&amp;cid=2&amp;fltrdesc=","27182")</f>
        <v/>
      </c>
      <c r="N53">
        <f>HYPERLINK("https://www.biosynth.com/en/products/life-science/other-biochemicals/products/W-108473","W-108473")</f>
        <v/>
      </c>
    </row>
    <row r="54">
      <c r="A54" t="inlineStr">
        <is>
          <t>Cc1cccc(Nc2cccc(C)c2)c1</t>
        </is>
      </c>
      <c r="B54" t="inlineStr">
        <is>
          <t>ZINC000002522777</t>
        </is>
      </c>
      <c r="C54">
        <f>HYPERLINK("http://www.combi-blocks.com/cgi-bin/find.cgi?OR-3284","OR-3284")</f>
        <v/>
      </c>
      <c r="D54" t="inlineStr"/>
      <c r="E54">
        <f>HYPERLINK("https://aksci.com/item_detail.php?cat=X1026","X1026")</f>
        <v/>
      </c>
      <c r="F54" t="inlineStr"/>
      <c r="G54">
        <f>HYPERLINK("http://astatechinc.com/CPSResult.php?CRNO=60502","60502")</f>
        <v/>
      </c>
      <c r="H54" t="inlineStr"/>
      <c r="I54">
        <f>HYPERLINK("https://www.alfa.com/en/catalog/B21765","B21765")</f>
        <v/>
      </c>
      <c r="J54" t="inlineStr"/>
      <c r="K54" t="inlineStr"/>
      <c r="L54" t="inlineStr"/>
      <c r="M54" t="inlineStr"/>
      <c r="N54" t="inlineStr"/>
    </row>
    <row r="55">
      <c r="A55" t="inlineStr">
        <is>
          <t>Cc1ccc(Nc2ccc(C)cc2)cc1</t>
        </is>
      </c>
      <c r="B55" t="inlineStr">
        <is>
          <t>ZINC000001845945</t>
        </is>
      </c>
      <c r="C55">
        <f>HYPERLINK("http://www.combi-blocks.com/cgi-bin/find.cgi?ST-6033","ST-6033")</f>
        <v/>
      </c>
      <c r="D55">
        <f>HYPERLINK("http://www.matrixscientific.com/075391.html","075391")</f>
        <v/>
      </c>
      <c r="E55">
        <f>HYPERLINK("https://aksci.com/item_detail.php?cat=J10915","J10915")</f>
        <v/>
      </c>
      <c r="F55" t="inlineStr"/>
      <c r="G55">
        <f>HYPERLINK("http://astatechinc.com/CPSResult.php?CRNO=28461","28461")</f>
        <v/>
      </c>
      <c r="H55">
        <f>HYPERLINK("http://www.sigmaaldrich.com/catalog/search?term=461083&amp;interface=All&amp;N=0&amp;mode=match%20partialmax&amp;lang=en&amp;region=US&amp;focus=product","461083")</f>
        <v/>
      </c>
      <c r="I55" t="inlineStr"/>
      <c r="J55">
        <f>HYPERLINK("http://www.ambeed.com/search/Search.html?keyword=A173472","A173472")</f>
        <v/>
      </c>
      <c r="K55">
        <f>HYPERLINK("http://aablocks.com/goods/Goods/detail?id=AA0033S8","AA0033S8")</f>
        <v/>
      </c>
      <c r="L55" t="inlineStr"/>
      <c r="M55">
        <f>HYPERLINK("http://www.chemimpex.com/category/search/27741/2?filter=&amp;search=27741&amp;type=q&amp;keywordoption=ANY&amp;cid=2&amp;fltrdesc=","27741")</f>
        <v/>
      </c>
      <c r="N55">
        <f>HYPERLINK("https://www.biosynth.com/en/products/life-science/other-biochemicals/products/W-105049","W-105049")</f>
        <v/>
      </c>
    </row>
    <row r="56">
      <c r="A56" t="inlineStr">
        <is>
          <t>Cc1ccc(Nc2ccccc2)cc1C</t>
        </is>
      </c>
      <c r="B56" t="inlineStr">
        <is>
          <t>ZINC000022007829</t>
        </is>
      </c>
      <c r="C56">
        <f>HYPERLINK("http://www.combi-blocks.com/cgi-bin/find.cgi?ST-0355","ST-0355")</f>
        <v/>
      </c>
      <c r="D56">
        <f>HYPERLINK("http://www.matrixscientific.com/075340.html","075340")</f>
        <v/>
      </c>
      <c r="E56">
        <f>HYPERLINK("https://aksci.com/item_detail.php?cat=P721","P721")</f>
        <v/>
      </c>
      <c r="F56" t="inlineStr"/>
      <c r="G56" t="inlineStr"/>
      <c r="H56" t="inlineStr"/>
      <c r="I56" t="inlineStr"/>
      <c r="J56">
        <f>HYPERLINK("http://www.ambeed.com/search/Search.html?keyword=A147929","A147929")</f>
        <v/>
      </c>
      <c r="K56">
        <f>HYPERLINK("http://aablocks.com/goods/Goods/detail?id=AA00HZOT","AA00HZOT")</f>
        <v/>
      </c>
      <c r="L56" t="inlineStr"/>
      <c r="M56" t="inlineStr"/>
      <c r="N56" t="inlineStr"/>
    </row>
    <row r="57">
      <c r="A57" t="inlineStr">
        <is>
          <t>Cc1ccc(Nc2ccccc2)c(C)c1</t>
        </is>
      </c>
      <c r="B57" t="inlineStr">
        <is>
          <t>ZINC000044069371</t>
        </is>
      </c>
      <c r="C57">
        <f>HYPERLINK("http://www.combi-blocks.com/cgi-bin/find.cgi?QJ-0790","QJ-0790")</f>
        <v/>
      </c>
      <c r="D57" t="inlineStr"/>
      <c r="E57">
        <f>HYPERLINK("https://aksci.com/item_detail.php?cat=P338","P338")</f>
        <v/>
      </c>
      <c r="F57" t="inlineStr"/>
      <c r="G57" t="inlineStr"/>
      <c r="H57" t="inlineStr"/>
      <c r="I57" t="inlineStr"/>
      <c r="J57">
        <f>HYPERLINK("http://www.ambeed.com/search/Search.html?keyword=A229273","A229273")</f>
        <v/>
      </c>
      <c r="K57" t="inlineStr"/>
      <c r="L57" t="inlineStr"/>
      <c r="M57" t="inlineStr"/>
      <c r="N57" t="inlineStr"/>
    </row>
    <row r="58">
      <c r="A58" t="inlineStr">
        <is>
          <t>O=c1[nH]cc(Nc2ccccc2)c(=O)[nH]1</t>
        </is>
      </c>
      <c r="B58" t="inlineStr">
        <is>
          <t>ZINC000100486590</t>
        </is>
      </c>
      <c r="C58" t="inlineStr"/>
      <c r="D58">
        <f>HYPERLINK("http://www.matrixscientific.com/135541.html","135541")</f>
        <v/>
      </c>
      <c r="E58" t="inlineStr"/>
      <c r="F58">
        <f>HYPERLINK("https://www.enaminestore.com/catalog/EN300-234893","EN300-234893")</f>
        <v/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Cn1cc(Nc2ccc(=O)n(C)c2)ccc1=O</t>
        </is>
      </c>
      <c r="B59" t="inlineStr">
        <is>
          <t>ZINC000039947549</t>
        </is>
      </c>
      <c r="C59" t="inlineStr"/>
      <c r="D59" t="inlineStr"/>
      <c r="E59" t="inlineStr"/>
      <c r="F59">
        <f>HYPERLINK("https://www.enaminestore.com/catalog/EN300-57254","EN300-57254")</f>
        <v/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Cc1cc(=O)[nH]c(Nc2ccc(F)cc2)n1</t>
        </is>
      </c>
      <c r="B60" t="inlineStr">
        <is>
          <t>ZINC000005183700</t>
        </is>
      </c>
      <c r="C60" t="inlineStr"/>
      <c r="D60" t="inlineStr"/>
      <c r="E60">
        <f>HYPERLINK("https://aksci.com/item_detail.php?cat=HTS009135","HTS009135")</f>
        <v/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CC(C)(C)n1nccc1Nc1cncc(CO)n1</t>
        </is>
      </c>
      <c r="B61" t="inlineStr">
        <is>
          <t>ZINC000091301735</t>
        </is>
      </c>
      <c r="C61" t="inlineStr"/>
      <c r="D61" t="inlineStr"/>
      <c r="E61" t="inlineStr"/>
      <c r="F61" t="inlineStr"/>
      <c r="G61">
        <f>HYPERLINK("http://astatechinc.com/CPSResult.php?CRNO=W13392","W13392")</f>
        <v/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O=C1Cc2ccncc2Nc2ncccc21</t>
        </is>
      </c>
      <c r="B62" t="inlineStr">
        <is>
          <t>ZINC000074937706</t>
        </is>
      </c>
      <c r="C62" t="inlineStr"/>
      <c r="D62">
        <f>HYPERLINK("http://www.matrixscientific.com/066842.html","066842")</f>
        <v/>
      </c>
      <c r="E62">
        <f>HYPERLINK("https://aksci.com/item_detail.php?cat=3601AF","3601AF")</f>
        <v/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Cn1ccc(Nc2ccc(C(=O)O)cc2)n1</t>
        </is>
      </c>
      <c r="B63" t="inlineStr">
        <is>
          <t>ZINC000086780027</t>
        </is>
      </c>
      <c r="C63" t="inlineStr"/>
      <c r="D63" t="inlineStr"/>
      <c r="E63" t="inlineStr"/>
      <c r="F63">
        <f>HYPERLINK("https://www.enaminestore.com/catalog/EN300-305141","EN300-305141")</f>
        <v/>
      </c>
      <c r="G63" t="inlineStr"/>
      <c r="H63" t="inlineStr"/>
      <c r="I63" t="inlineStr"/>
      <c r="J63" t="inlineStr"/>
      <c r="K63">
        <f>HYPERLINK("http://aablocks.com/goods/Goods/detail?id=AA01B6D7","AA01B6D7")</f>
        <v/>
      </c>
      <c r="L63" t="inlineStr"/>
      <c r="M63" t="inlineStr"/>
      <c r="N63" t="inlineStr"/>
    </row>
    <row r="64">
      <c r="A64" t="inlineStr">
        <is>
          <t>Cn1ccc(Nc2ccccc2C(=O)O)n1</t>
        </is>
      </c>
      <c r="B64" t="inlineStr">
        <is>
          <t>ZINC000086780211</t>
        </is>
      </c>
      <c r="C64" t="inlineStr"/>
      <c r="D64" t="inlineStr"/>
      <c r="E64" t="inlineStr"/>
      <c r="F64">
        <f>HYPERLINK("https://www.enaminestore.com/catalog/EN300-383811","EN300-383811")</f>
        <v/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Cn1cc(Nc2ccccc2)c(C(=O)O)n1</t>
        </is>
      </c>
      <c r="B65" t="inlineStr">
        <is>
          <t>ZINC000075627469</t>
        </is>
      </c>
      <c r="C65" t="inlineStr"/>
      <c r="D65" t="inlineStr"/>
      <c r="E65" t="inlineStr"/>
      <c r="F65">
        <f>HYPERLINK("https://www.enaminestore.com/catalog/EN300-247579","EN300-247579")</f>
        <v/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Cc1cc(=O)[nH]c(Nc2nc3ccccc3[nH]2)n1</t>
        </is>
      </c>
      <c r="B66" t="inlineStr">
        <is>
          <t>ZINC000008652428</t>
        </is>
      </c>
      <c r="C66" t="inlineStr"/>
      <c r="D66" t="inlineStr"/>
      <c r="E66">
        <f>HYPERLINK("https://aksci.com/item_detail.php?cat=5180AJ","5180AJ")</f>
        <v/>
      </c>
      <c r="F66" t="inlineStr"/>
      <c r="G66">
        <f>HYPERLINK("http://astatechinc.com/CPSResult.php?CRNO=AC6121","AC6121")</f>
        <v/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Cc1cc(=O)[nH]c(Nc2ccccc2)n1</t>
        </is>
      </c>
      <c r="B67" t="inlineStr">
        <is>
          <t>ZINC000017782157</t>
        </is>
      </c>
      <c r="C67">
        <f>HYPERLINK("http://www.combi-blocks.com/cgi-bin/find.cgi?QV-4379","QV-4379")</f>
        <v/>
      </c>
      <c r="D67" t="inlineStr"/>
      <c r="E67">
        <f>HYPERLINK("https://aksci.com/item_detail.php?cat=HTS004356","HTS004356")</f>
        <v/>
      </c>
      <c r="F67" t="inlineStr"/>
      <c r="G67" t="inlineStr"/>
      <c r="H67">
        <f>HYPERLINK("http://www.sigmaaldrich.com/catalog/search?term=R685666&amp;interface=All&amp;N=0&amp;mode=match%20partialmax&amp;lang=en&amp;region=US&amp;focus=product","R685666")</f>
        <v/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Cc1cc(=O)[nH]c(Nc2nc3ccccc3o2)n1</t>
        </is>
      </c>
      <c r="B68" t="inlineStr">
        <is>
          <t>ZINC000017747472</t>
        </is>
      </c>
      <c r="C68">
        <f>HYPERLINK("http://www.combi-blocks.com/cgi-bin/find.cgi?QY-3617","QY-3617")</f>
        <v/>
      </c>
      <c r="D68">
        <f>HYPERLINK("http://www.matrixscientific.com/080769.html","080769")</f>
        <v/>
      </c>
      <c r="E68">
        <f>HYPERLINK("https://aksci.com/item_detail.php?cat=5181AJ","5181AJ")</f>
        <v/>
      </c>
      <c r="F68" t="inlineStr"/>
      <c r="G68">
        <f>HYPERLINK("http://astatechinc.com/CPSResult.php?CRNO=AC6998","AC6998")</f>
        <v/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Cn1cc(Nc2ccc(C(=O)O)cc2)cn1</t>
        </is>
      </c>
      <c r="B69" t="inlineStr">
        <is>
          <t>ZINC000050913113</t>
        </is>
      </c>
      <c r="C69" t="inlineStr"/>
      <c r="D69" t="inlineStr"/>
      <c r="E69" t="inlineStr"/>
      <c r="F69">
        <f>HYPERLINK("https://www.enaminestore.com/catalog/EN300-321554","EN300-321554")</f>
        <v/>
      </c>
      <c r="G69" t="inlineStr"/>
      <c r="H69" t="inlineStr"/>
      <c r="I69" t="inlineStr"/>
      <c r="J69" t="inlineStr"/>
      <c r="K69">
        <f>HYPERLINK("http://aablocks.com/goods/Goods/detail?id=AA01BXHT","AA01BXHT")</f>
        <v/>
      </c>
      <c r="L69" t="inlineStr"/>
      <c r="M69" t="inlineStr"/>
      <c r="N69" t="inlineStr"/>
    </row>
    <row r="70">
      <c r="A70" t="inlineStr">
        <is>
          <t>Cc1cc(C)nc(Nc2nc(C)n[nH]2)n1</t>
        </is>
      </c>
      <c r="B70" t="inlineStr">
        <is>
          <t>ZINC000018244288</t>
        </is>
      </c>
      <c r="C70" t="inlineStr"/>
      <c r="D70">
        <f>HYPERLINK("http://www.matrixscientific.com/063185.html","063185")</f>
        <v/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Cn1cc(Nc2ccncc2C(=O)O)cn1</t>
        </is>
      </c>
      <c r="B71" t="inlineStr">
        <is>
          <t>ZINC000088109739</t>
        </is>
      </c>
      <c r="C71" t="inlineStr"/>
      <c r="D71" t="inlineStr"/>
      <c r="E71" t="inlineStr"/>
      <c r="F71">
        <f>HYPERLINK("https://www.enaminestore.com/catalog/EN300-311925","EN300-311925")</f>
        <v/>
      </c>
      <c r="G71" t="inlineStr"/>
      <c r="H71" t="inlineStr"/>
      <c r="I71" t="inlineStr"/>
      <c r="J71" t="inlineStr"/>
      <c r="K71">
        <f>HYPERLINK("http://aablocks.com/goods/Goods/detail?id=AA01BUNL","AA01BUNL")</f>
        <v/>
      </c>
      <c r="L71" t="inlineStr"/>
      <c r="M71" t="inlineStr"/>
      <c r="N71" t="inlineStr"/>
    </row>
    <row r="72">
      <c r="A72" t="inlineStr">
        <is>
          <t>Cc1nnc(Nc2ccc(C(=O)O)cc2)nc1O</t>
        </is>
      </c>
      <c r="B72" t="inlineStr">
        <is>
          <t>ZINC000008739835</t>
        </is>
      </c>
      <c r="C72" t="inlineStr"/>
      <c r="D72">
        <f>HYPERLINK("http://www.matrixscientific.com/033020.html","033020")</f>
        <v/>
      </c>
      <c r="E72">
        <f>HYPERLINK("https://aksci.com/item_detail.php?cat=3954AE","3954AE")</f>
        <v/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Cn1cc(Nc2cccc(C(=O)O)c2)cn1</t>
        </is>
      </c>
      <c r="B73" t="inlineStr">
        <is>
          <t>ZINC000071790270</t>
        </is>
      </c>
      <c r="C73" t="inlineStr"/>
      <c r="D73" t="inlineStr"/>
      <c r="E73" t="inlineStr"/>
      <c r="F73">
        <f>HYPERLINK("https://www.enaminestore.com/catalog/EN300-87369","EN300-87369")</f>
        <v/>
      </c>
      <c r="G73" t="inlineStr"/>
      <c r="H73" t="inlineStr"/>
      <c r="I73" t="inlineStr"/>
      <c r="J73" t="inlineStr"/>
      <c r="K73">
        <f>HYPERLINK("http://aablocks.com/goods/Goods/detail?id=AA019Q8G","AA019Q8G")</f>
        <v/>
      </c>
      <c r="L73" t="inlineStr"/>
      <c r="M73" t="inlineStr"/>
      <c r="N73" t="inlineStr"/>
    </row>
    <row r="74">
      <c r="A74" t="inlineStr">
        <is>
          <t>COC(=O)c1n[nH]nc1Nc1ccc(C)cc1</t>
        </is>
      </c>
      <c r="B74" t="inlineStr">
        <is>
          <t>ZINC000045918770</t>
        </is>
      </c>
      <c r="C74" t="inlineStr"/>
      <c r="D74" t="inlineStr"/>
      <c r="E74">
        <f>HYPERLINK("https://aksci.com/item_detail.php?cat=HTS015112","HTS015112")</f>
        <v/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N#Cc1ccc(Nc2nccc(CO)n2)cc1</t>
        </is>
      </c>
      <c r="B75" t="inlineStr">
        <is>
          <t>ZINC000076818183</t>
        </is>
      </c>
      <c r="C75" t="inlineStr"/>
      <c r="D75">
        <f>HYPERLINK("http://www.matrixscientific.com/077033.html","077033")</f>
        <v/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N#Cc1ccc(Nc2nccc(=O)[nH]2)cc1</t>
        </is>
      </c>
      <c r="B76" t="inlineStr">
        <is>
          <t>ZINC000008700471</t>
        </is>
      </c>
      <c r="C76" t="inlineStr"/>
      <c r="D76" t="inlineStr"/>
      <c r="E76">
        <f>HYPERLINK("https://aksci.com/item_detail.php?cat=X6038","X6038")</f>
        <v/>
      </c>
      <c r="F76" t="inlineStr"/>
      <c r="G76">
        <f>HYPERLINK("http://astatechinc.com/CPSResult.php?CRNO=F11766","F11766")</f>
        <v/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N#Cc1ccc(Nc2nccc(C(=O)O)n2)cc1</t>
        </is>
      </c>
      <c r="B77" t="inlineStr">
        <is>
          <t>ZINC000076818174</t>
        </is>
      </c>
      <c r="C77" t="inlineStr"/>
      <c r="D77">
        <f>HYPERLINK("http://www.matrixscientific.com/077015.html","077015")</f>
        <v/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N#Cc1ccc(Nc2nc(O)cc(=O)[nH]2)cc1</t>
        </is>
      </c>
      <c r="B78" t="inlineStr">
        <is>
          <t>ZINC000044136219</t>
        </is>
      </c>
      <c r="C78" t="inlineStr"/>
      <c r="D78">
        <f>HYPERLINK("http://www.matrixscientific.com/144030.html","144030")</f>
        <v/>
      </c>
      <c r="E78">
        <f>HYPERLINK("https://aksci.com/item_detail.php?cat=4772AB","4772AB")</f>
        <v/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Cc1ccnc(Nc2nc(CC(=O)O)cs2)c1</t>
        </is>
      </c>
      <c r="B79" t="inlineStr">
        <is>
          <t>ZINC000031935597</t>
        </is>
      </c>
      <c r="C79" t="inlineStr"/>
      <c r="D79" t="inlineStr"/>
      <c r="E79" t="inlineStr"/>
      <c r="F79">
        <f>HYPERLINK("https://www.enaminestore.com/catalog/EN300-237538","EN300-237538")</f>
        <v/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CCOC(=O)c1csc(Nc2ccccn2)n1</t>
        </is>
      </c>
      <c r="B80" t="inlineStr">
        <is>
          <t>ZINC000004842574</t>
        </is>
      </c>
      <c r="C80" t="inlineStr"/>
      <c r="D80" t="inlineStr"/>
      <c r="E80" t="inlineStr"/>
      <c r="F80">
        <f>HYPERLINK("https://www.enaminestore.com/catalog/EN300-6511153","EN300-6511153")</f>
        <v/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CCOC(=O)c1ncsc1Nc1cccnc1</t>
        </is>
      </c>
      <c r="B81" t="inlineStr">
        <is>
          <t>ZINC000071201675</t>
        </is>
      </c>
      <c r="C81" t="inlineStr"/>
      <c r="D81" t="inlineStr"/>
      <c r="E81" t="inlineStr"/>
      <c r="F81">
        <f>HYPERLINK("https://www.enaminestore.com/catalog/EN300-218505","EN300-218505")</f>
        <v/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Cc1ccc(Nc2cccc(C(=O)O)c2)nn1</t>
        </is>
      </c>
      <c r="B82" t="inlineStr">
        <is>
          <t>ZINC000041074681</t>
        </is>
      </c>
      <c r="C82" t="inlineStr"/>
      <c r="D82" t="inlineStr"/>
      <c r="E82" t="inlineStr"/>
      <c r="F82">
        <f>HYPERLINK("https://www.enaminestore.com/catalog/EN300-80018","EN300-80018")</f>
        <v/>
      </c>
      <c r="G82" t="inlineStr"/>
      <c r="H82" t="inlineStr"/>
      <c r="I82" t="inlineStr"/>
      <c r="J82" t="inlineStr"/>
      <c r="K82">
        <f>HYPERLINK("http://aablocks.com/goods/Goods/detail?id=AA01AJ5K","AA01AJ5K")</f>
        <v/>
      </c>
      <c r="L82" t="inlineStr"/>
      <c r="M82" t="inlineStr"/>
      <c r="N82" t="inlineStr"/>
    </row>
    <row r="83">
      <c r="A83" t="inlineStr">
        <is>
          <t>Cc1cc(Nc2cc(C)[nH]n2)nc(Cl)n1</t>
        </is>
      </c>
      <c r="B83" t="inlineStr">
        <is>
          <t>ZINC000091364267</t>
        </is>
      </c>
      <c r="C83" t="inlineStr"/>
      <c r="D83" t="inlineStr"/>
      <c r="E83">
        <f>HYPERLINK("https://aksci.com/item_detail.php?cat=0151AP","0151AP")</f>
        <v/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COc1nsc(Nc2ccccc2)n1</t>
        </is>
      </c>
      <c r="B84" t="inlineStr">
        <is>
          <t>ZINC000004773255</t>
        </is>
      </c>
      <c r="C84" t="inlineStr"/>
      <c r="D84" t="inlineStr"/>
      <c r="E84" t="inlineStr"/>
      <c r="F84" t="inlineStr"/>
      <c r="G84" t="inlineStr"/>
      <c r="H84">
        <f>HYPERLINK("http://www.sigmaaldrich.com/catalog/search?term=S862401&amp;interface=All&amp;N=0&amp;mode=match%20partialmax&amp;lang=en&amp;region=US&amp;focus=product","S862401")</f>
        <v/>
      </c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Cc1nc(Nc2ccc(F)cc2)[nH]c(=O)c1C</t>
        </is>
      </c>
      <c r="B85" t="inlineStr">
        <is>
          <t>ZINC000013637071</t>
        </is>
      </c>
      <c r="C85">
        <f>HYPERLINK("http://www.combi-blocks.com/cgi-bin/find.cgi?QY-6203","QY-6203")</f>
        <v/>
      </c>
      <c r="D85">
        <f>HYPERLINK("http://www.matrixscientific.com/066120.html","066120")</f>
        <v/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CC(=O)c1cnc(Nc2cccnc2)s1</t>
        </is>
      </c>
      <c r="B86" t="inlineStr">
        <is>
          <t>ZINC000012336564</t>
        </is>
      </c>
      <c r="C86" t="inlineStr"/>
      <c r="D86">
        <f>HYPERLINK("http://www.matrixscientific.com/046747.html","046747")</f>
        <v/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Cc1n[nH]c(Nc2ccccc2)c1C(=O)O</t>
        </is>
      </c>
      <c r="B87" t="inlineStr">
        <is>
          <t>ZINC000039648396</t>
        </is>
      </c>
      <c r="C87" t="inlineStr"/>
      <c r="D87" t="inlineStr"/>
      <c r="E87" t="inlineStr"/>
      <c r="F87" t="inlineStr"/>
      <c r="G87" t="inlineStr"/>
      <c r="H87">
        <f>HYPERLINK("http://www.sigmaaldrich.com/catalog/search?term=S934631&amp;interface=All&amp;N=0&amp;mode=match%20partialmax&amp;lang=en&amp;region=US&amp;focus=product","S934631")</f>
        <v/>
      </c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CC(C)c1ccc(Nc2nncc(O)n2)cc1</t>
        </is>
      </c>
      <c r="B88" t="inlineStr">
        <is>
          <t>ZINC000016806910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>
        <f>HYPERLINK("http://www.achemblock.com/catalogsearch/result/?q=L19005","L19005")</f>
        <v/>
      </c>
      <c r="M88" t="inlineStr"/>
      <c r="N88" t="inlineStr"/>
    </row>
    <row r="89">
      <c r="A89" t="inlineStr">
        <is>
          <t>Fc1ccc(Nc2ncnc3[nH]cnc23)cc1</t>
        </is>
      </c>
      <c r="B89" t="inlineStr">
        <is>
          <t>ZINC000004692584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>
        <f>HYPERLINK("https://www.biosynth.com/en/products/life-science/other-biochemicals/products/W-203680","W-203680")</f>
        <v/>
      </c>
    </row>
    <row r="90">
      <c r="A90" t="inlineStr">
        <is>
          <t>COC(=O)c1cc(Nc2ccccc2)ncn1</t>
        </is>
      </c>
      <c r="B90" t="inlineStr">
        <is>
          <t>ZINC000027986033</t>
        </is>
      </c>
      <c r="C90" t="inlineStr"/>
      <c r="D90" t="inlineStr"/>
      <c r="E90" t="inlineStr"/>
      <c r="F90">
        <f>HYPERLINK("https://www.enaminestore.com/catalog/EN300-6510385","EN300-6510385")</f>
        <v/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Cn1cnc(Nc2cc(Cl)nc(Cl)n2)c1</t>
        </is>
      </c>
      <c r="B91" t="inlineStr">
        <is>
          <t>ZINC000091302205</t>
        </is>
      </c>
      <c r="C91" t="inlineStr"/>
      <c r="D91">
        <f>HYPERLINK("http://www.matrixscientific.com/090041.html","090041")</f>
        <v/>
      </c>
      <c r="E91">
        <f>HYPERLINK("https://aksci.com/item_detail.php?cat=3650AA","3650AA")</f>
        <v/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Clc1cc(Nc2cccnc2)ncn1</t>
        </is>
      </c>
      <c r="B92" t="inlineStr">
        <is>
          <t>ZINC000036294479</t>
        </is>
      </c>
      <c r="C92" t="inlineStr"/>
      <c r="D92">
        <f>HYPERLINK("http://www.matrixscientific.com/175871.html","175871")</f>
        <v/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CC(=O)Cc1nsc(Nc2ccccc2)n1</t>
        </is>
      </c>
      <c r="B93" t="inlineStr">
        <is>
          <t>ZINC000000107807</t>
        </is>
      </c>
      <c r="C93" t="inlineStr"/>
      <c r="D93">
        <f>HYPERLINK("http://www.matrixscientific.com/170939.html","170939")</f>
        <v/>
      </c>
      <c r="E93">
        <f>HYPERLINK("https://aksci.com/item_detail.php?cat=HTS027918","HTS027918")</f>
        <v/>
      </c>
      <c r="F93">
        <f>HYPERLINK("https://www.enaminestore.com/catalog/EN300-265629","EN300-265629")</f>
        <v/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COc1ccc(Nc2cnccn2)cc1</t>
        </is>
      </c>
      <c r="B94" t="inlineStr">
        <is>
          <t>ZINC000021367699</t>
        </is>
      </c>
      <c r="C94">
        <f>HYPERLINK("http://www.combi-blocks.com/cgi-bin/find.cgi?ST-4596","ST-4596")</f>
        <v/>
      </c>
      <c r="D94" t="inlineStr"/>
      <c r="E94">
        <f>HYPERLINK("https://aksci.com/item_detail.php?cat=7182AJ","7182AJ")</f>
        <v/>
      </c>
      <c r="F94" t="inlineStr"/>
      <c r="G94">
        <f>HYPERLINK("http://astatechinc.com/CPSResult.php?CRNO=30432","30432")</f>
        <v/>
      </c>
      <c r="H94">
        <f>HYPERLINK("http://www.sigmaaldrich.com/catalog/search?term=CDS014240&amp;interface=All&amp;N=0&amp;mode=match%20partialmax&amp;lang=en&amp;region=US&amp;focus=product","CDS014240")</f>
        <v/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Cc1cc(Nc2ccccc2C(=O)O)n(C)n1</t>
        </is>
      </c>
      <c r="B95" t="inlineStr">
        <is>
          <t>ZINC000000396676</t>
        </is>
      </c>
      <c r="C95" t="inlineStr"/>
      <c r="D95" t="inlineStr"/>
      <c r="E95" t="inlineStr"/>
      <c r="F95" t="inlineStr"/>
      <c r="G95" t="inlineStr"/>
      <c r="H95">
        <f>HYPERLINK("http://www.sigmaaldrich.com/catalog/search?term=S645648&amp;interface=All&amp;N=0&amp;mode=match%20partialmax&amp;lang=en&amp;region=US&amp;focus=product","S645648")</f>
        <v/>
      </c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Cc1cnc(Nc2cccc(C(=O)O)c2)nc1</t>
        </is>
      </c>
      <c r="B96" t="inlineStr">
        <is>
          <t>ZINC000063048197</t>
        </is>
      </c>
      <c r="C96" t="inlineStr"/>
      <c r="D96" t="inlineStr"/>
      <c r="E96" t="inlineStr"/>
      <c r="F96" t="inlineStr"/>
      <c r="G96">
        <f>HYPERLINK("http://astatechinc.com/CPSResult.php?CRNO=W18081","W18081")</f>
        <v/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CC(=O)c1sc(Nc2ncccn2)nc1C</t>
        </is>
      </c>
      <c r="B97" t="inlineStr">
        <is>
          <t>ZINC000006500438</t>
        </is>
      </c>
      <c r="C97" t="inlineStr"/>
      <c r="D97">
        <f>HYPERLINK("http://www.matrixscientific.com/168793.html","168793")</f>
        <v/>
      </c>
      <c r="E97" t="inlineStr"/>
      <c r="F97" t="inlineStr"/>
      <c r="G97" t="inlineStr"/>
      <c r="H97">
        <f>HYPERLINK("http://www.sigmaaldrich.com/catalog/search?term=CDS013178&amp;interface=All&amp;N=0&amp;mode=match%20partialmax&amp;lang=en&amp;region=US&amp;focus=product","CDS013178")</f>
        <v/>
      </c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c1ccc(Nc2ncnc3[nH]cnc23)cc1</t>
        </is>
      </c>
      <c r="B98" t="inlineStr">
        <is>
          <t>ZINC000004059871</t>
        </is>
      </c>
      <c r="C98">
        <f>HYPERLINK("http://www.combi-blocks.com/cgi-bin/find.cgi?QY-8655","QY-8655")</f>
        <v/>
      </c>
      <c r="D98">
        <f>HYPERLINK("http://www.matrixscientific.com/080683.html","080683")</f>
        <v/>
      </c>
      <c r="E98">
        <f>HYPERLINK("https://aksci.com/item_detail.php?cat=1025AD","1025AD")</f>
        <v/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COc1ccccc1Nc1nc(C)c(C)c(=O)[nH]1</t>
        </is>
      </c>
      <c r="B99" t="inlineStr">
        <is>
          <t>ZINC000072406645</t>
        </is>
      </c>
      <c r="C99">
        <f>HYPERLINK("http://www.combi-blocks.com/cgi-bin/find.cgi?QY-9663","QY-9663")</f>
        <v/>
      </c>
      <c r="D99">
        <f>HYPERLINK("http://www.matrixscientific.com/080507.html","080507")</f>
        <v/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Cc1cccc(Nc2nc(CC(=O)O)cs2)n1</t>
        </is>
      </c>
      <c r="B100" t="inlineStr">
        <is>
          <t>ZINC000061957859</t>
        </is>
      </c>
      <c r="C100" t="inlineStr"/>
      <c r="D100">
        <f>HYPERLINK("http://www.matrixscientific.com/137066.html","137066")</f>
        <v/>
      </c>
      <c r="E100" t="inlineStr"/>
      <c r="F100">
        <f>HYPERLINK("https://www.enaminestore.com/catalog/EN300-235294","EN300-235294")</f>
        <v/>
      </c>
      <c r="G100" t="inlineStr"/>
      <c r="H100" t="inlineStr"/>
      <c r="I100" t="inlineStr"/>
      <c r="J100" t="inlineStr"/>
      <c r="K100" t="inlineStr"/>
      <c r="L100">
        <f>HYPERLINK("http://www.achemblock.com/catalogsearch/result/?q=L18557","L18557")</f>
        <v/>
      </c>
      <c r="M100" t="inlineStr"/>
      <c r="N100" t="inlineStr"/>
    </row>
    <row r="101">
      <c r="A101" t="inlineStr">
        <is>
          <t>Cc1cc(Nc2ccccc2)cc(=O)n1C</t>
        </is>
      </c>
      <c r="B101" t="inlineStr">
        <is>
          <t>ZINC000000344196</t>
        </is>
      </c>
      <c r="C101" t="inlineStr"/>
      <c r="D101" t="inlineStr"/>
      <c r="E101" t="inlineStr"/>
      <c r="F101" t="inlineStr"/>
      <c r="G101" t="inlineStr"/>
      <c r="H101">
        <f>HYPERLINK("http://www.sigmaaldrich.com/catalog/search?term=T316482&amp;interface=All&amp;N=0&amp;mode=match%20partialmax&amp;lang=en&amp;region=US&amp;focus=product","T316482")</f>
        <v/>
      </c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Cc1ccc(Nc2nc(C)c(C)c(=O)[nH]2)cc1</t>
        </is>
      </c>
      <c r="B102" t="inlineStr">
        <is>
          <t>ZINC000057330729</t>
        </is>
      </c>
      <c r="C102">
        <f>HYPERLINK("http://www.combi-blocks.com/cgi-bin/find.cgi?QY-9545","QY-9545")</f>
        <v/>
      </c>
      <c r="D102">
        <f>HYPERLINK("http://www.matrixscientific.com/066116.html","066116")</f>
        <v/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CC(=O)c1cnc(Nc2ccco2)nc1C</t>
        </is>
      </c>
      <c r="B103" t="inlineStr">
        <is>
          <t>ZINC000066324817</t>
        </is>
      </c>
      <c r="C103">
        <f>HYPERLINK("http://www.combi-blocks.com/cgi-bin/find.cgi?QY-8860","QY-8860")</f>
        <v/>
      </c>
      <c r="D103">
        <f>HYPERLINK("http://www.matrixscientific.com/066337.html","066337")</f>
        <v/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CC(=O)c1c(Nc2ccccn2)oc(C)cc1=O</t>
        </is>
      </c>
      <c r="B104" t="inlineStr">
        <is>
          <t>ZINC000002581688</t>
        </is>
      </c>
      <c r="C104" t="inlineStr"/>
      <c r="D104" t="inlineStr"/>
      <c r="E104" t="inlineStr"/>
      <c r="F104" t="inlineStr"/>
      <c r="G104" t="inlineStr"/>
      <c r="H104">
        <f>HYPERLINK("http://www.sigmaaldrich.com/catalog/search?term=L124702&amp;interface=All&amp;N=0&amp;mode=match%20partialmax&amp;lang=en&amp;region=US&amp;focus=product","L124702")</f>
        <v/>
      </c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Clc1nccc(Nc2cc(C3CC3)[nH]n2)n1</t>
        </is>
      </c>
      <c r="B105" t="inlineStr">
        <is>
          <t>ZINC000115372333</t>
        </is>
      </c>
      <c r="C105" t="inlineStr"/>
      <c r="D105" t="inlineStr"/>
      <c r="E105" t="inlineStr"/>
      <c r="F105" t="inlineStr"/>
      <c r="G105">
        <f>HYPERLINK("http://astatechinc.com/CPSResult.php?CRNO=W19261","W19261")</f>
        <v/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Cc1nc(Nc2ccccc2)[nH]c(=O)c1C</t>
        </is>
      </c>
      <c r="B106" t="inlineStr">
        <is>
          <t>ZINC000009264672</t>
        </is>
      </c>
      <c r="C106">
        <f>HYPERLINK("http://www.combi-blocks.com/cgi-bin/find.cgi?QZ-9031","QZ-9031")</f>
        <v/>
      </c>
      <c r="D106">
        <f>HYPERLINK("http://www.matrixscientific.com/066115.html","066115")</f>
        <v/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COc1ccc(Nc2nc(C)c(C)c(=O)[nH]2)cc1</t>
        </is>
      </c>
      <c r="B107" t="inlineStr">
        <is>
          <t>ZINC000057330759</t>
        </is>
      </c>
      <c r="C107">
        <f>HYPERLINK("http://www.combi-blocks.com/cgi-bin/find.cgi?QY-1425","QY-1425")</f>
        <v/>
      </c>
      <c r="D107">
        <f>HYPERLINK("http://www.matrixscientific.com/080509.html","080509")</f>
        <v/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Cc1ccnc(Nc2cccc(C(=O)O)c2)n1</t>
        </is>
      </c>
      <c r="B108" t="inlineStr">
        <is>
          <t>ZINC000061858439</t>
        </is>
      </c>
      <c r="C108" t="inlineStr"/>
      <c r="D108" t="inlineStr"/>
      <c r="E108" t="inlineStr"/>
      <c r="F108">
        <f>HYPERLINK("https://www.enaminestore.com/catalog/EN300-313367","EN300-313367")</f>
        <v/>
      </c>
      <c r="G108" t="inlineStr"/>
      <c r="H108" t="inlineStr"/>
      <c r="I108" t="inlineStr"/>
      <c r="J108" t="inlineStr"/>
      <c r="K108">
        <f>HYPERLINK("http://aablocks.com/goods/Goods/detail?id=AA01BUZG","AA01BUZG")</f>
        <v/>
      </c>
      <c r="L108" t="inlineStr"/>
      <c r="M108" t="inlineStr"/>
      <c r="N108" t="inlineStr"/>
    </row>
    <row r="109">
      <c r="A109" t="inlineStr">
        <is>
          <t>Cc1cc(=O)[nH]c(Nc2cccc(C)c2C)n1</t>
        </is>
      </c>
      <c r="B109" t="inlineStr">
        <is>
          <t>ZINC000001280913</t>
        </is>
      </c>
      <c r="C109">
        <f>HYPERLINK("http://www.combi-blocks.com/cgi-bin/find.cgi?QZ-1246","QZ-1246")</f>
        <v/>
      </c>
      <c r="D109">
        <f>HYPERLINK("http://www.matrixscientific.com/080520.html","080520")</f>
        <v/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Cc1cccc(Nc2nc(C(=O)O)cs2)n1</t>
        </is>
      </c>
      <c r="B110" t="inlineStr">
        <is>
          <t>ZINC000061957857</t>
        </is>
      </c>
      <c r="C110" t="inlineStr"/>
      <c r="D110" t="inlineStr"/>
      <c r="E110" t="inlineStr"/>
      <c r="F110">
        <f>HYPERLINK("https://www.enaminestore.com/catalog/EN300-235293","EN300-235293")</f>
        <v/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OCc1csc(Nc2ccccc2)n1</t>
        </is>
      </c>
      <c r="B111" t="inlineStr">
        <is>
          <t>ZINC000034447495</t>
        </is>
      </c>
      <c r="C111" t="inlineStr"/>
      <c r="D111" t="inlineStr"/>
      <c r="E111">
        <f>HYPERLINK("https://aksci.com/item_detail.php?cat=8532AH","8532AH")</f>
        <v/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N#Cc1ccc(Nc2cccc(C(=O)O)c2)nc1</t>
        </is>
      </c>
      <c r="B112" t="inlineStr">
        <is>
          <t>ZINC000036968746</t>
        </is>
      </c>
      <c r="C112" t="inlineStr"/>
      <c r="D112" t="inlineStr"/>
      <c r="E112" t="inlineStr"/>
      <c r="F112" t="inlineStr"/>
      <c r="G112">
        <f>HYPERLINK("http://astatechinc.com/CPSResult.php?CRNO=W18082","W18082")</f>
        <v/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Cc1ccc(Nc2cccc(C#N)n2)nc1</t>
        </is>
      </c>
      <c r="B113" t="inlineStr">
        <is>
          <t>ZINC000238851095</t>
        </is>
      </c>
      <c r="C113" t="inlineStr"/>
      <c r="D113" t="inlineStr"/>
      <c r="E113" t="inlineStr"/>
      <c r="F113">
        <f>HYPERLINK("https://www.enaminestore.com/catalog/EN300-217542","EN300-217542")</f>
        <v/>
      </c>
      <c r="G113" t="inlineStr"/>
      <c r="H113" t="inlineStr"/>
      <c r="I113" t="inlineStr"/>
      <c r="J113" t="inlineStr"/>
      <c r="K113">
        <f>HYPERLINK("http://aablocks.com/goods/Goods/detail?id=AA01BC9N","AA01BC9N")</f>
        <v/>
      </c>
      <c r="L113" t="inlineStr"/>
      <c r="M113" t="inlineStr"/>
      <c r="N113" t="inlineStr"/>
    </row>
    <row r="114">
      <c r="A114" t="inlineStr">
        <is>
          <t>N#Cc1ccnc(Nc2ccc3c(c2)OCO3)c1</t>
        </is>
      </c>
      <c r="B114" t="inlineStr">
        <is>
          <t>ZINC000019966708</t>
        </is>
      </c>
      <c r="C114" t="inlineStr"/>
      <c r="D114" t="inlineStr"/>
      <c r="E114" t="inlineStr"/>
      <c r="F114">
        <f>HYPERLINK("https://www.enaminestore.com/catalog/EN300-221668","EN300-221668")</f>
        <v/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N#Cc1ccc(Nc2nc(C(=O)O)cs2)cc1</t>
        </is>
      </c>
      <c r="B115" t="inlineStr">
        <is>
          <t>ZINC000155814734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>
        <f>HYPERLINK("http://www.achemblock.com/catalogsearch/result/?q=K12050","K12050")</f>
        <v/>
      </c>
      <c r="M115" t="inlineStr"/>
      <c r="N115" t="inlineStr"/>
    </row>
    <row r="116">
      <c r="A116" t="inlineStr">
        <is>
          <t>ClCc1csc(Nc2ncccn2)n1</t>
        </is>
      </c>
      <c r="B116" t="inlineStr">
        <is>
          <t>ZINC000070697654</t>
        </is>
      </c>
      <c r="C116" t="inlineStr"/>
      <c r="D116">
        <f>HYPERLINK("http://www.matrixscientific.com/137162.html","137162")</f>
        <v/>
      </c>
      <c r="E116" t="inlineStr"/>
      <c r="F116">
        <f>HYPERLINK("https://www.enaminestore.com/catalog/EN300-235089","EN300-235089")</f>
        <v/>
      </c>
      <c r="G116" t="inlineStr"/>
      <c r="H116" t="inlineStr"/>
      <c r="I116" t="inlineStr"/>
      <c r="J116" t="inlineStr"/>
      <c r="K116" t="inlineStr"/>
      <c r="L116">
        <f>HYPERLINK("http://www.achemblock.com/catalogsearch/result/?q=L18634","L18634")</f>
        <v/>
      </c>
      <c r="M116" t="inlineStr"/>
      <c r="N116" t="inlineStr"/>
    </row>
    <row r="117">
      <c r="A117" t="inlineStr">
        <is>
          <t>Clc1cccc(Nc2cccnc2)n1</t>
        </is>
      </c>
      <c r="B117" t="inlineStr">
        <is>
          <t>ZINC000032299853</t>
        </is>
      </c>
      <c r="C117">
        <f>HYPERLINK("http://www.combi-blocks.com/cgi-bin/find.cgi?QK-5758","QK-5758")</f>
        <v/>
      </c>
      <c r="D117" t="inlineStr"/>
      <c r="E117" t="inlineStr"/>
      <c r="F117" t="inlineStr"/>
      <c r="G117">
        <f>HYPERLINK("http://astatechinc.com/CPSResult.php?CRNO=79406","79406")</f>
        <v/>
      </c>
      <c r="H117" t="inlineStr"/>
      <c r="I117" t="inlineStr"/>
      <c r="J117" t="inlineStr"/>
      <c r="K117" t="inlineStr"/>
      <c r="L117">
        <f>HYPERLINK("http://www.achemblock.com/catalogsearch/result/?q=O30978","O30978")</f>
        <v/>
      </c>
      <c r="M117" t="inlineStr"/>
      <c r="N117" t="inlineStr"/>
    </row>
    <row r="118">
      <c r="A118" t="inlineStr">
        <is>
          <t>Fc1cccc(Nc2nnc(S)s2)c1</t>
        </is>
      </c>
      <c r="B118" t="inlineStr">
        <is>
          <t>ZINC000004205865</t>
        </is>
      </c>
      <c r="C118" t="inlineStr"/>
      <c r="D118" t="inlineStr"/>
      <c r="E118" t="inlineStr"/>
      <c r="F118">
        <f>HYPERLINK("https://www.enaminestore.com/catalog/EN300-12828","EN300-12828")</f>
        <v/>
      </c>
      <c r="G118" t="inlineStr"/>
      <c r="H118">
        <f>HYPERLINK("http://www.sigmaaldrich.com/catalog/search?term=CDS012269&amp;interface=All&amp;N=0&amp;mode=match%20partialmax&amp;lang=en&amp;region=US&amp;focus=product","CDS012269")</f>
        <v/>
      </c>
      <c r="I118" t="inlineStr"/>
      <c r="J118" t="inlineStr"/>
      <c r="K118">
        <f>HYPERLINK("http://aablocks.com/goods/Goods/detail?id=AA00IDJ1","AA00IDJ1")</f>
        <v/>
      </c>
      <c r="L118" t="inlineStr"/>
      <c r="M118" t="inlineStr"/>
      <c r="N118" t="inlineStr"/>
    </row>
    <row r="119">
      <c r="A119" t="inlineStr">
        <is>
          <t>Cc1nc(Nc2ccccc2)nc(C)c1O</t>
        </is>
      </c>
      <c r="B119" t="inlineStr">
        <is>
          <t>ZINC000039109653</t>
        </is>
      </c>
      <c r="C119" t="inlineStr"/>
      <c r="D119" t="inlineStr"/>
      <c r="E119" t="inlineStr"/>
      <c r="F119" t="inlineStr"/>
      <c r="G119">
        <f>HYPERLINK("http://astatechinc.com/CPSResult.php?CRNO=W18309","W18309")</f>
        <v/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COC(=O)c1cccnc1Nc1cccc(F)c1</t>
        </is>
      </c>
      <c r="B120" t="inlineStr">
        <is>
          <t>ZINC000042648863</t>
        </is>
      </c>
      <c r="C120" t="inlineStr"/>
      <c r="D120" t="inlineStr"/>
      <c r="E120" t="inlineStr"/>
      <c r="F120">
        <f>HYPERLINK("https://www.enaminestore.com/catalog/EN300-6509685","EN300-6509685")</f>
        <v/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COC(=O)c1cccc(Nc2nccs2)c1</t>
        </is>
      </c>
      <c r="B121" t="inlineStr">
        <is>
          <t>ZINC000096761311</t>
        </is>
      </c>
      <c r="C121" t="inlineStr"/>
      <c r="D121" t="inlineStr"/>
      <c r="E121" t="inlineStr"/>
      <c r="F121">
        <f>HYPERLINK("https://www.enaminestore.com/catalog/EN300-6509689","EN300-6509689")</f>
        <v/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Cc1ccc(Nc2nnc(S)s2)cc1</t>
        </is>
      </c>
      <c r="B122" t="inlineStr">
        <is>
          <t>ZINC000003063361</t>
        </is>
      </c>
      <c r="C122" t="inlineStr"/>
      <c r="D122" t="inlineStr"/>
      <c r="E122" t="inlineStr"/>
      <c r="F122">
        <f>HYPERLINK("https://www.enaminestore.com/catalog/EN300-03056","EN300-03056")</f>
        <v/>
      </c>
      <c r="G122" t="inlineStr"/>
      <c r="H122">
        <f>HYPERLINK("http://www.sigmaaldrich.com/catalog/search?term=S525081&amp;interface=All&amp;N=0&amp;mode=match%20partialmax&amp;lang=en&amp;region=US&amp;focus=product","S525081")</f>
        <v/>
      </c>
      <c r="I122" t="inlineStr"/>
      <c r="J122" t="inlineStr"/>
      <c r="K122">
        <f>HYPERLINK("http://aablocks.com/goods/Goods/detail?id=AA001EPK","AA001EPK")</f>
        <v/>
      </c>
      <c r="L122" t="inlineStr"/>
      <c r="M122" t="inlineStr"/>
      <c r="N122" t="inlineStr"/>
    </row>
    <row r="123">
      <c r="A123" t="inlineStr">
        <is>
          <t>Cc1cc(Nc2cccc(C(=O)O)c2)nc(C)n1</t>
        </is>
      </c>
      <c r="B123" t="inlineStr">
        <is>
          <t>ZINC000004945062</t>
        </is>
      </c>
      <c r="C123" t="inlineStr"/>
      <c r="D123">
        <f>HYPERLINK("http://www.matrixscientific.com/034039.html","034039")</f>
        <v/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Cc1csc(Nc2ccc(C(N)=S)cc2)n1</t>
        </is>
      </c>
      <c r="B124" t="inlineStr">
        <is>
          <t>ZINC000019867029</t>
        </is>
      </c>
      <c r="C124" t="inlineStr"/>
      <c r="D124" t="inlineStr"/>
      <c r="E124" t="inlineStr"/>
      <c r="F124">
        <f>HYPERLINK("https://www.enaminestore.com/catalog/EN300-61711","EN300-61711")</f>
        <v/>
      </c>
      <c r="G124" t="inlineStr"/>
      <c r="H124">
        <f>HYPERLINK("http://www.sigmaaldrich.com/catalog/search?term=CDS012190&amp;interface=All&amp;N=0&amp;mode=match%20partialmax&amp;lang=en&amp;region=US&amp;focus=product","CDS012190")</f>
        <v/>
      </c>
      <c r="I124" t="inlineStr"/>
      <c r="J124" t="inlineStr"/>
      <c r="K124">
        <f>HYPERLINK("http://aablocks.com/goods/Goods/detail?id=AA01A8FV","AA01A8FV")</f>
        <v/>
      </c>
      <c r="L124" t="inlineStr"/>
      <c r="M124" t="inlineStr"/>
      <c r="N124" t="inlineStr"/>
    </row>
    <row r="125">
      <c r="A125" t="inlineStr">
        <is>
          <t>Cc1csc(Nc2ccc(C(=O)O)cc2)n1</t>
        </is>
      </c>
      <c r="B125" t="inlineStr">
        <is>
          <t>ZINC000003218377</t>
        </is>
      </c>
      <c r="C125" t="inlineStr"/>
      <c r="D125" t="inlineStr"/>
      <c r="E125" t="inlineStr"/>
      <c r="F125">
        <f>HYPERLINK("https://www.enaminestore.com/catalog/EN300-89468","EN300-89468")</f>
        <v/>
      </c>
      <c r="G125" t="inlineStr"/>
      <c r="H125" t="inlineStr"/>
      <c r="I125" t="inlineStr"/>
      <c r="J125" t="inlineStr"/>
      <c r="K125">
        <f>HYPERLINK("http://aablocks.com/goods/Goods/detail?id=AA019R9E","AA019R9E")</f>
        <v/>
      </c>
      <c r="L125" t="inlineStr"/>
      <c r="M125" t="inlineStr"/>
      <c r="N125" t="inlineStr"/>
    </row>
    <row r="126">
      <c r="A126" t="inlineStr">
        <is>
          <t>CCOC(=O)c1c(C)n[nH]c1Nc1ccccc1</t>
        </is>
      </c>
      <c r="B126" t="inlineStr">
        <is>
          <t>ZINC000000595780</t>
        </is>
      </c>
      <c r="C126" t="inlineStr"/>
      <c r="D126" t="inlineStr"/>
      <c r="E126" t="inlineStr"/>
      <c r="F126" t="inlineStr"/>
      <c r="G126" t="inlineStr"/>
      <c r="H126">
        <f>HYPERLINK("http://www.sigmaaldrich.com/catalog/search?term=S934658&amp;interface=All&amp;N=0&amp;mode=match%20partialmax&amp;lang=en&amp;region=US&amp;focus=product","S934658")</f>
        <v/>
      </c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Cc1cccc(Nc2nc(CC(=O)O)cs2)c1</t>
        </is>
      </c>
      <c r="B127" t="inlineStr">
        <is>
          <t>ZINC000000874098</t>
        </is>
      </c>
      <c r="C127" t="inlineStr"/>
      <c r="D127">
        <f>HYPERLINK("http://www.matrixscientific.com/032798.html","032798")</f>
        <v/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Cc1cc(C)nc(Nc2ccc(C(=O)O)cc2)n1</t>
        </is>
      </c>
      <c r="B128" t="inlineStr">
        <is>
          <t>ZINC000000150077</t>
        </is>
      </c>
      <c r="C128" t="inlineStr"/>
      <c r="D128">
        <f>HYPERLINK("http://www.matrixscientific.com/006921.html","006921")</f>
        <v/>
      </c>
      <c r="E128">
        <f>HYPERLINK("https://aksci.com/item_detail.php?cat=0055AF","0055AF")</f>
        <v/>
      </c>
      <c r="F128" t="inlineStr"/>
      <c r="G128" t="inlineStr"/>
      <c r="H128">
        <f>HYPERLINK("http://www.sigmaaldrich.com/catalog/search?term=CDS006782&amp;interface=All&amp;N=0&amp;mode=match%20partialmax&amp;lang=en&amp;region=US&amp;focus=product","CDS006782")</f>
        <v/>
      </c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Fc1ccccc1Nc1nnc(S)s1</t>
        </is>
      </c>
      <c r="B129" t="inlineStr">
        <is>
          <t>ZINC000001722139</t>
        </is>
      </c>
      <c r="C129" t="inlineStr"/>
      <c r="D129" t="inlineStr"/>
      <c r="E129" t="inlineStr"/>
      <c r="F129">
        <f>HYPERLINK("https://www.enaminestore.com/catalog/EN300-03052","EN300-03052")</f>
        <v/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Cc1csc(Nc2cccc(C(=O)O)c2)n1</t>
        </is>
      </c>
      <c r="B130" t="inlineStr">
        <is>
          <t>ZINC000009265992</t>
        </is>
      </c>
      <c r="C130" t="inlineStr"/>
      <c r="D130">
        <f>HYPERLINK("http://www.matrixscientific.com/034506.html","034506")</f>
        <v/>
      </c>
      <c r="E130">
        <f>HYPERLINK("https://aksci.com/item_detail.php?cat=0898AF","0898AF")</f>
        <v/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Sc1nnc(Nc2ccccc2)s1</t>
        </is>
      </c>
      <c r="B131" t="inlineStr">
        <is>
          <t>ZINC000013114103</t>
        </is>
      </c>
      <c r="C131" t="inlineStr"/>
      <c r="D131" t="inlineStr"/>
      <c r="E131" t="inlineStr"/>
      <c r="F131">
        <f>HYPERLINK("https://www.enaminestore.com/catalog/EN300-06433","EN300-06433")</f>
        <v/>
      </c>
      <c r="G131" t="inlineStr"/>
      <c r="H131" t="inlineStr"/>
      <c r="I131" t="inlineStr"/>
      <c r="J131" t="inlineStr"/>
      <c r="K131">
        <f>HYPERLINK("http://aablocks.com/goods/Goods/detail?id=AA0007KO","AA0007KO")</f>
        <v/>
      </c>
      <c r="L131" t="inlineStr"/>
      <c r="M131" t="inlineStr"/>
      <c r="N131" t="inlineStr"/>
    </row>
    <row r="132">
      <c r="A132" t="inlineStr">
        <is>
          <t>CCOc1ccccc1Nc1n[nH]c(=S)[nH]1</t>
        </is>
      </c>
      <c r="B132" t="inlineStr">
        <is>
          <t>ZINC000006247020</t>
        </is>
      </c>
      <c r="C132" t="inlineStr"/>
      <c r="D132" t="inlineStr"/>
      <c r="E132" t="inlineStr"/>
      <c r="F132" t="inlineStr"/>
      <c r="G132" t="inlineStr"/>
      <c r="H132">
        <f>HYPERLINK("http://www.sigmaaldrich.com/catalog/search?term=S728853&amp;interface=All&amp;N=0&amp;mode=match%20partialmax&amp;lang=en&amp;region=US&amp;focus=product","S728853")</f>
        <v/>
      </c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CC(=O)c1sc(Nc2ccccn2)nc1C</t>
        </is>
      </c>
      <c r="B133" t="inlineStr">
        <is>
          <t>ZINC000006389850</t>
        </is>
      </c>
      <c r="C133" t="inlineStr"/>
      <c r="D133" t="inlineStr"/>
      <c r="E133" t="inlineStr"/>
      <c r="F133" t="inlineStr"/>
      <c r="G133" t="inlineStr"/>
      <c r="H133">
        <f>HYPERLINK("http://www.sigmaaldrich.com/catalog/search?term=CDS012496&amp;interface=All&amp;N=0&amp;mode=match%20partialmax&amp;lang=en&amp;region=US&amp;focus=product","CDS012496")</f>
        <v/>
      </c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Cc1ccc(Nc2scnc2C(=O)O)cc1</t>
        </is>
      </c>
      <c r="B134" t="inlineStr">
        <is>
          <t>ZINC000082744045</t>
        </is>
      </c>
      <c r="C134" t="inlineStr"/>
      <c r="D134" t="inlineStr"/>
      <c r="E134" t="inlineStr"/>
      <c r="F134">
        <f>HYPERLINK("https://www.enaminestore.com/catalog/EN300-298911","EN300-298911")</f>
        <v/>
      </c>
      <c r="G134" t="inlineStr"/>
      <c r="H134" t="inlineStr"/>
      <c r="I134" t="inlineStr"/>
      <c r="J134" t="inlineStr"/>
      <c r="K134">
        <f>HYPERLINK("http://aablocks.com/goods/Goods/detail?id=AA01B5KX","AA01B5KX")</f>
        <v/>
      </c>
      <c r="L134" t="inlineStr"/>
      <c r="M134" t="inlineStr"/>
      <c r="N134" t="inlineStr"/>
    </row>
    <row r="135">
      <c r="A135" t="inlineStr">
        <is>
          <t>O=c1[nH]c(Nc2cccnc2)cc2ccccc12</t>
        </is>
      </c>
      <c r="B135" t="inlineStr">
        <is>
          <t>ZINC000096034423</t>
        </is>
      </c>
      <c r="C135" t="inlineStr"/>
      <c r="D135" t="inlineStr"/>
      <c r="E135" t="inlineStr"/>
      <c r="F135">
        <f>HYPERLINK("https://www.enaminestore.com/catalog/EN300-172434","EN300-172434")</f>
        <v/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Cc1ccccc1Nc1cc(C(=O)O)ccn1</t>
        </is>
      </c>
      <c r="B136" t="inlineStr">
        <is>
          <t>ZINC000019845332</t>
        </is>
      </c>
      <c r="C136" t="inlineStr"/>
      <c r="D136">
        <f>HYPERLINK("http://www.matrixscientific.com/053308.html","053308")</f>
        <v/>
      </c>
      <c r="E136">
        <f>HYPERLINK("https://aksci.com/item_detail.php?cat=7493AC","7493AC")</f>
        <v/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COc1cccc(Nc2ncccc2C(=O)O)c1</t>
        </is>
      </c>
      <c r="B137" t="inlineStr">
        <is>
          <t>ZINC000000930770</t>
        </is>
      </c>
      <c r="C137">
        <f>HYPERLINK("http://www.combi-blocks.com/cgi-bin/find.cgi?QZ-3601","QZ-3601")</f>
        <v/>
      </c>
      <c r="D137">
        <f>HYPERLINK("http://www.matrixscientific.com/032966.html","032966")</f>
        <v/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COc1ccc(Nc2cc(C(=O)O)ccn2)cc1</t>
        </is>
      </c>
      <c r="B138" t="inlineStr">
        <is>
          <t>ZINC000019844530</t>
        </is>
      </c>
      <c r="C138">
        <f>HYPERLINK("http://www.combi-blocks.com/cgi-bin/find.cgi?QN-6787","QN-6787")</f>
        <v/>
      </c>
      <c r="D138">
        <f>HYPERLINK("http://www.matrixscientific.com/053515.html","053515")</f>
        <v/>
      </c>
      <c r="E138">
        <f>HYPERLINK("https://aksci.com/item_detail.php?cat=0846AF","0846AF")</f>
        <v/>
      </c>
      <c r="F138" t="inlineStr"/>
      <c r="G138">
        <f>HYPERLINK("http://astatechinc.com/CPSResult.php?CRNO=C76770","C76770")</f>
        <v/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Cc1cccc(Nc2nc(C)c(C)c(=O)[nH]2)c1C</t>
        </is>
      </c>
      <c r="B139" t="inlineStr">
        <is>
          <t>ZINC000066324449</t>
        </is>
      </c>
      <c r="C139">
        <f>HYPERLINK("http://www.combi-blocks.com/cgi-bin/find.cgi?QY-7760","QY-7760")</f>
        <v/>
      </c>
      <c r="D139">
        <f>HYPERLINK("http://www.matrixscientific.com/066117.html","066117")</f>
        <v/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CC(=O)c1sc(Nc2cccnc2)nc1C</t>
        </is>
      </c>
      <c r="B140" t="inlineStr">
        <is>
          <t>ZINC000012336563</t>
        </is>
      </c>
      <c r="C140" t="inlineStr"/>
      <c r="D140">
        <f>HYPERLINK("http://www.matrixscientific.com/046746.html","046746")</f>
        <v/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Cc1ccccc1Nc1nnc(S)s1</t>
        </is>
      </c>
      <c r="B141" t="inlineStr">
        <is>
          <t>ZINC000001082178</t>
        </is>
      </c>
      <c r="C141" t="inlineStr"/>
      <c r="D141" t="inlineStr"/>
      <c r="E141" t="inlineStr"/>
      <c r="F141">
        <f>HYPERLINK("https://www.enaminestore.com/catalog/EN300-03034","EN300-03034")</f>
        <v/>
      </c>
      <c r="G141" t="inlineStr"/>
      <c r="H141">
        <f>HYPERLINK("http://www.sigmaaldrich.com/catalog/search?term=S545112&amp;interface=All&amp;N=0&amp;mode=match%20partialmax&amp;lang=en&amp;region=US&amp;focus=product","S545112")</f>
        <v/>
      </c>
      <c r="I141" t="inlineStr"/>
      <c r="J141" t="inlineStr"/>
      <c r="K141">
        <f>HYPERLINK("http://aablocks.com/goods/Goods/detail?id=AA00BGCA","AA00BGCA")</f>
        <v/>
      </c>
      <c r="L141" t="inlineStr"/>
      <c r="M141" t="inlineStr"/>
      <c r="N141" t="inlineStr"/>
    </row>
    <row r="142">
      <c r="A142" t="inlineStr">
        <is>
          <t>Cc1cccc(Nc2cc(C(=O)O)ccn2)c1</t>
        </is>
      </c>
      <c r="B142" t="inlineStr">
        <is>
          <t>ZINC000019845300</t>
        </is>
      </c>
      <c r="C142" t="inlineStr"/>
      <c r="D142">
        <f>HYPERLINK("http://www.matrixscientific.com/053334.html","053334")</f>
        <v/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Cc1cc(F)ccc1Nc1ncccc1C(=O)O</t>
        </is>
      </c>
      <c r="B143" t="inlineStr">
        <is>
          <t>ZINC000013091112</t>
        </is>
      </c>
      <c r="C143">
        <f>HYPERLINK("http://www.combi-blocks.com/cgi-bin/find.cgi?QY-4080","QY-4080")</f>
        <v/>
      </c>
      <c r="D143">
        <f>HYPERLINK("http://www.matrixscientific.com/159663.html","159663")</f>
        <v/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COc1ccc(Nc2cncc(Cl)n2)cc1</t>
        </is>
      </c>
      <c r="B144" t="inlineStr">
        <is>
          <t>ZINC000042784053</t>
        </is>
      </c>
      <c r="C144" t="inlineStr"/>
      <c r="D144">
        <f>HYPERLINK("http://www.matrixscientific.com/053514.html","053514")</f>
        <v/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COc1cccc(Nc2ccnc(Cl)n2)c1</t>
        </is>
      </c>
      <c r="B145" t="inlineStr">
        <is>
          <t>ZINC000040448065</t>
        </is>
      </c>
      <c r="C145" t="inlineStr"/>
      <c r="D145">
        <f>HYPERLINK("http://www.matrixscientific.com/083974.html","083974")</f>
        <v/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COc1ccc(Nc2ccnc(Cl)n2)cc1</t>
        </is>
      </c>
      <c r="B146" t="inlineStr">
        <is>
          <t>ZINC000026898642</t>
        </is>
      </c>
      <c r="C146" t="inlineStr"/>
      <c r="D146">
        <f>HYPERLINK("http://www.matrixscientific.com/083973.html","083973")</f>
        <v/>
      </c>
      <c r="E146">
        <f>HYPERLINK("https://aksci.com/item_detail.php?cat=6463AD","6463AD")</f>
        <v/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Cc1nnc(Nc2ccc(F)cc2)s1</t>
        </is>
      </c>
      <c r="B147" t="inlineStr">
        <is>
          <t>ZINC000000088832</t>
        </is>
      </c>
      <c r="C147" t="inlineStr"/>
      <c r="D147" t="inlineStr"/>
      <c r="E147" t="inlineStr"/>
      <c r="F147">
        <f>HYPERLINK("https://www.enaminestore.com/catalog/EN300-152263","EN300-152263")</f>
        <v/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COc1ccccc1Nc1nnc(S)s1</t>
        </is>
      </c>
      <c r="B148" t="inlineStr">
        <is>
          <t>ZINC000000097343</t>
        </is>
      </c>
      <c r="C148" t="inlineStr"/>
      <c r="D148" t="inlineStr"/>
      <c r="E148" t="inlineStr"/>
      <c r="F148">
        <f>HYPERLINK("https://www.enaminestore.com/catalog/EN300-03268","EN300-03268")</f>
        <v/>
      </c>
      <c r="G148" t="inlineStr"/>
      <c r="H148" t="inlineStr"/>
      <c r="I148" t="inlineStr"/>
      <c r="J148" t="inlineStr"/>
      <c r="K148">
        <f>HYPERLINK("http://aablocks.com/goods/Goods/detail?id=AA00DICK","AA00DICK")</f>
        <v/>
      </c>
      <c r="L148" t="inlineStr"/>
      <c r="M148" t="inlineStr"/>
      <c r="N148" t="inlineStr"/>
    </row>
    <row r="149">
      <c r="A149" t="inlineStr">
        <is>
          <t>Cc1cc(C)nc(Nc2ccccc2C(=O)O)n1</t>
        </is>
      </c>
      <c r="B149" t="inlineStr">
        <is>
          <t>ZINC000000032530</t>
        </is>
      </c>
      <c r="C149">
        <f>HYPERLINK("http://www.combi-blocks.com/cgi-bin/find.cgi?SS-5322","SS-5322")</f>
        <v/>
      </c>
      <c r="D149">
        <f>HYPERLINK("http://www.matrixscientific.com/006923.html","006923")</f>
        <v/>
      </c>
      <c r="E149">
        <f>HYPERLINK("https://aksci.com/item_detail.php?cat=8827AA","8827AA")</f>
        <v/>
      </c>
      <c r="F149" t="inlineStr"/>
      <c r="G149" t="inlineStr"/>
      <c r="H149">
        <f>HYPERLINK("http://www.sigmaaldrich.com/catalog/search?term=L118710&amp;interface=All&amp;N=0&amp;mode=match%20partialmax&amp;lang=en&amp;region=US&amp;focus=product","L118710")</f>
        <v/>
      </c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Fc1ccc(Nc2nnc(S)s2)cc1</t>
        </is>
      </c>
      <c r="B150" t="inlineStr">
        <is>
          <t>ZINC000004218702</t>
        </is>
      </c>
      <c r="C150" t="inlineStr"/>
      <c r="D150" t="inlineStr"/>
      <c r="E150" t="inlineStr"/>
      <c r="F150">
        <f>HYPERLINK("https://www.enaminestore.com/catalog/EN300-15011","EN300-15011")</f>
        <v/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Cc1ccc(Nc2ncccc2C(=O)O)c(F)c1</t>
        </is>
      </c>
      <c r="B151" t="inlineStr">
        <is>
          <t>ZINC000013090638</t>
        </is>
      </c>
      <c r="C151">
        <f>HYPERLINK("http://www.combi-blocks.com/cgi-bin/find.cgi?QY-7705","QY-7705")</f>
        <v/>
      </c>
      <c r="D151">
        <f>HYPERLINK("http://www.matrixscientific.com/159662.html","159662")</f>
        <v/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Clc1ccnc(Nc2ccccn2)c1</t>
        </is>
      </c>
      <c r="B152" t="inlineStr">
        <is>
          <t>ZINC000306200004</t>
        </is>
      </c>
      <c r="C152" t="inlineStr"/>
      <c r="D152" t="inlineStr"/>
      <c r="E152" t="inlineStr"/>
      <c r="F152" t="inlineStr"/>
      <c r="G152">
        <f>HYPERLINK("http://astatechinc.com/CPSResult.php?CRNO=W13024","W13024")</f>
        <v/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Cc1cc(C)nc(Nc2cccc(C(=O)O)c2)n1</t>
        </is>
      </c>
      <c r="B153" t="inlineStr">
        <is>
          <t>ZINC000000150076</t>
        </is>
      </c>
      <c r="C153">
        <f>HYPERLINK("http://www.combi-blocks.com/cgi-bin/find.cgi?SS-5481","SS-5481")</f>
        <v/>
      </c>
      <c r="D153">
        <f>HYPERLINK("http://www.matrixscientific.com/006922.html","006922")</f>
        <v/>
      </c>
      <c r="E153">
        <f>HYPERLINK("https://aksci.com/item_detail.php?cat=0054AF","0054AF")</f>
        <v/>
      </c>
      <c r="F153" t="inlineStr"/>
      <c r="G153" t="inlineStr"/>
      <c r="H153">
        <f>HYPERLINK("http://www.sigmaaldrich.com/catalog/search?term=CDS018583&amp;interface=All&amp;N=0&amp;mode=match%20partialmax&amp;lang=en&amp;region=US&amp;focus=product","CDS018583")</f>
        <v/>
      </c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Cc1cc(Nc2nc(Cl)ncc2Cl)n[nH]1</t>
        </is>
      </c>
      <c r="B154" t="inlineStr">
        <is>
          <t>ZINC000066351904</t>
        </is>
      </c>
      <c r="C154">
        <f>HYPERLINK("http://www.combi-blocks.com/cgi-bin/find.cgi?QC-6664","QC-6664")</f>
        <v/>
      </c>
      <c r="D154">
        <f>HYPERLINK("http://www.matrixscientific.com/131588.html","131588")</f>
        <v/>
      </c>
      <c r="E154">
        <f>HYPERLINK("https://aksci.com/item_detail.php?cat=A827","A827")</f>
        <v/>
      </c>
      <c r="F154" t="inlineStr"/>
      <c r="G154">
        <f>HYPERLINK("http://astatechinc.com/CPSResult.php?CRNO=79463","79463")</f>
        <v/>
      </c>
      <c r="H154" t="inlineStr"/>
      <c r="I154" t="inlineStr"/>
      <c r="J154">
        <f>HYPERLINK("http://www.ambeed.com/search/Search.html?keyword=A198401","A198401")</f>
        <v/>
      </c>
      <c r="K154">
        <f>HYPERLINK("http://aablocks.com/goods/Goods/detail?id=AA00DLJZ","AA00DLJZ")</f>
        <v/>
      </c>
      <c r="L154">
        <f>HYPERLINK("http://www.achemblock.com/catalogsearch/result/?q=L22362","L22362")</f>
        <v/>
      </c>
      <c r="M154" t="inlineStr"/>
      <c r="N154" t="inlineStr"/>
    </row>
    <row r="155">
      <c r="A155" t="inlineStr">
        <is>
          <t>COc1ccccc1Nc1nc(C)cc(C)n1</t>
        </is>
      </c>
      <c r="B155" t="inlineStr">
        <is>
          <t>ZINC000009411252</t>
        </is>
      </c>
      <c r="C155" t="inlineStr"/>
      <c r="D155" t="inlineStr"/>
      <c r="E155" t="inlineStr"/>
      <c r="F155" t="inlineStr"/>
      <c r="G155" t="inlineStr"/>
      <c r="H155">
        <f>HYPERLINK("http://www.sigmaaldrich.com/catalog/search?term=L118869&amp;interface=All&amp;N=0&amp;mode=match%20partialmax&amp;lang=en&amp;region=US&amp;focus=product","L118869")</f>
        <v/>
      </c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Clc1nc(Nc2ccccc2)c2nc[nH]c2n1</t>
        </is>
      </c>
      <c r="B156" t="inlineStr">
        <is>
          <t>ZINC000039151515</t>
        </is>
      </c>
      <c r="C156" t="inlineStr"/>
      <c r="D156" t="inlineStr"/>
      <c r="E156" t="inlineStr"/>
      <c r="F156">
        <f>HYPERLINK("https://www.enaminestore.com/catalog/EN300-247821","EN300-247821")</f>
        <v/>
      </c>
      <c r="G156" t="inlineStr"/>
      <c r="H156" t="inlineStr"/>
      <c r="I156" t="inlineStr"/>
      <c r="J156" t="inlineStr"/>
      <c r="K156">
        <f>HYPERLINK("http://aablocks.com/goods/Goods/detail?id=AA01C1JH","AA01C1JH")</f>
        <v/>
      </c>
      <c r="L156" t="inlineStr"/>
      <c r="M156" t="inlineStr"/>
      <c r="N156" t="inlineStr"/>
    </row>
    <row r="157">
      <c r="A157" t="inlineStr">
        <is>
          <t>Cc1cccc(Nc2ncc(C(=O)O)c(C)n2)c1</t>
        </is>
      </c>
      <c r="B157" t="inlineStr">
        <is>
          <t>ZINC000015423891</t>
        </is>
      </c>
      <c r="C157">
        <f>HYPERLINK("http://www.combi-blocks.com/cgi-bin/find.cgi?QZ-0303","QZ-0303")</f>
        <v/>
      </c>
      <c r="D157">
        <f>HYPERLINK("http://www.matrixscientific.com/066251.html","066251")</f>
        <v/>
      </c>
      <c r="E157">
        <f>HYPERLINK("https://aksci.com/item_detail.php?cat=3843AF","3843AF")</f>
        <v/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Cc1ccc(Nc2nc(C)c(C)c(=O)[nH]2)cc1C</t>
        </is>
      </c>
      <c r="B158" t="inlineStr">
        <is>
          <t>ZINC000066324451</t>
        </is>
      </c>
      <c r="C158">
        <f>HYPERLINK("http://www.combi-blocks.com/cgi-bin/find.cgi?QY-6318","QY-6318")</f>
        <v/>
      </c>
      <c r="D158">
        <f>HYPERLINK("http://www.matrixscientific.com/066119.html","066119")</f>
        <v/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S=C1Nc2cccnc2Nc2ccccc21</t>
        </is>
      </c>
      <c r="B159" t="inlineStr">
        <is>
          <t>ZINC000038478025</t>
        </is>
      </c>
      <c r="C159" t="inlineStr"/>
      <c r="D159">
        <f>HYPERLINK("http://www.matrixscientific.com/136506.html","136506")</f>
        <v/>
      </c>
      <c r="E159" t="inlineStr"/>
      <c r="F159">
        <f>HYPERLINK("https://www.enaminestore.com/catalog/EN300-236640","EN300-236640")</f>
        <v/>
      </c>
      <c r="G159" t="inlineStr"/>
      <c r="H159" t="inlineStr"/>
      <c r="I159" t="inlineStr"/>
      <c r="J159" t="inlineStr"/>
      <c r="K159" t="inlineStr"/>
      <c r="L159">
        <f>HYPERLINK("http://www.achemblock.com/catalogsearch/result/?q=L19077","L19077")</f>
        <v/>
      </c>
      <c r="M159" t="inlineStr"/>
      <c r="N159" t="inlineStr"/>
    </row>
    <row r="160">
      <c r="A160" t="inlineStr">
        <is>
          <t>Clc1nc(Cl)nc(Nc2ccccc2)n1</t>
        </is>
      </c>
      <c r="B160" t="inlineStr">
        <is>
          <t>ZINC000000347810</t>
        </is>
      </c>
      <c r="C160" t="inlineStr"/>
      <c r="D160">
        <f>HYPERLINK("http://www.matrixscientific.com/129676.html","129676")</f>
        <v/>
      </c>
      <c r="E160">
        <f>HYPERLINK("https://aksci.com/item_detail.php?cat=3268AH","3268AH")</f>
        <v/>
      </c>
      <c r="F160">
        <f>HYPERLINK("https://www.enaminestore.com/catalog/EN300-126334","EN300-126334")</f>
        <v/>
      </c>
      <c r="G160">
        <f>HYPERLINK("http://astatechinc.com/CPSResult.php?CRNO=C11695","C11695")</f>
        <v/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COc1cccc(Nc2nnc(S)s2)c1</t>
        </is>
      </c>
      <c r="B161" t="inlineStr">
        <is>
          <t>ZINC000005687672</t>
        </is>
      </c>
      <c r="C161" t="inlineStr"/>
      <c r="D161" t="inlineStr"/>
      <c r="E161" t="inlineStr"/>
      <c r="F161">
        <f>HYPERLINK("https://www.enaminestore.com/catalog/EN300-10247","EN300-10247")</f>
        <v/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Cc1ccc(Nc2cc(C(=O)O)ccn2)cc1</t>
        </is>
      </c>
      <c r="B162" t="inlineStr">
        <is>
          <t>ZINC000019845244</t>
        </is>
      </c>
      <c r="C162" t="inlineStr"/>
      <c r="D162">
        <f>HYPERLINK("http://www.matrixscientific.com/053360.html","053360")</f>
        <v/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Clc1cncc(Nc2ccccc2)n1</t>
        </is>
      </c>
      <c r="B163" t="inlineStr">
        <is>
          <t>ZINC000038585533</t>
        </is>
      </c>
      <c r="C163">
        <f>HYPERLINK("http://www.combi-blocks.com/cgi-bin/find.cgi?QW-0148","QW-0148")</f>
        <v/>
      </c>
      <c r="D163">
        <f>HYPERLINK("http://www.matrixscientific.com/053151.html","053151")</f>
        <v/>
      </c>
      <c r="E163" t="inlineStr"/>
      <c r="F163" t="inlineStr"/>
      <c r="G163" t="inlineStr"/>
      <c r="H163">
        <f>HYPERLINK("http://www.sigmaaldrich.com/catalog/search?term=CDS023989&amp;interface=All&amp;N=0&amp;mode=match%20partialmax&amp;lang=en&amp;region=US&amp;focus=product","CDS023989")</f>
        <v/>
      </c>
      <c r="I163" t="inlineStr"/>
      <c r="J163">
        <f>HYPERLINK("http://www.ambeed.com/search/Search.html?keyword=A188229","A188229")</f>
        <v/>
      </c>
      <c r="K163" t="inlineStr"/>
      <c r="L163" t="inlineStr"/>
      <c r="M163" t="inlineStr"/>
      <c r="N163" t="inlineStr"/>
    </row>
    <row r="164">
      <c r="A164" t="inlineStr">
        <is>
          <t>COc1ccc(Nc2ncccc2C(=O)O)cc1</t>
        </is>
      </c>
      <c r="B164" t="inlineStr">
        <is>
          <t>ZINC000000194693</t>
        </is>
      </c>
      <c r="C164">
        <f>HYPERLINK("http://www.combi-blocks.com/cgi-bin/find.cgi?QZ-9918","QZ-9918")</f>
        <v/>
      </c>
      <c r="D164">
        <f>HYPERLINK("http://www.matrixscientific.com/033244.html","033244")</f>
        <v/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Cc1ccc(Nc2cccc(C(=O)O)c2)nc1</t>
        </is>
      </c>
      <c r="B165" t="inlineStr">
        <is>
          <t>ZINC000037453602</t>
        </is>
      </c>
      <c r="C165" t="inlineStr"/>
      <c r="D165" t="inlineStr"/>
      <c r="E165" t="inlineStr"/>
      <c r="F165">
        <f>HYPERLINK("https://www.enaminestore.com/catalog/EN300-343684","EN300-343684")</f>
        <v/>
      </c>
      <c r="G165" t="inlineStr"/>
      <c r="H165" t="inlineStr"/>
      <c r="I165" t="inlineStr"/>
      <c r="J165" t="inlineStr"/>
      <c r="K165">
        <f>HYPERLINK("http://aablocks.com/goods/Goods/detail?id=AA01BRI2","AA01BRI2")</f>
        <v/>
      </c>
      <c r="L165" t="inlineStr"/>
      <c r="M165" t="inlineStr"/>
      <c r="N165" t="inlineStr"/>
    </row>
    <row r="166">
      <c r="A166" t="inlineStr">
        <is>
          <t>Clc1nccc(Nc2ccccc2)n1</t>
        </is>
      </c>
      <c r="B166" t="inlineStr">
        <is>
          <t>ZINC000026898639</t>
        </is>
      </c>
      <c r="C166">
        <f>HYPERLINK("http://www.combi-blocks.com/cgi-bin/find.cgi?QY-8231","QY-8231")</f>
        <v/>
      </c>
      <c r="D166">
        <f>HYPERLINK("http://www.matrixscientific.com/064262.html","064262")</f>
        <v/>
      </c>
      <c r="E166">
        <f>HYPERLINK("https://aksci.com/item_detail.php?cat=6462AD","6462AD")</f>
        <v/>
      </c>
      <c r="F166" t="inlineStr"/>
      <c r="G166">
        <f>HYPERLINK("http://astatechinc.com/CPSResult.php?CRNO=W11556","W11556")</f>
        <v/>
      </c>
      <c r="H166" t="inlineStr"/>
      <c r="I166" t="inlineStr"/>
      <c r="J166" t="inlineStr"/>
      <c r="K166">
        <f>HYPERLINK("http://aablocks.com/goods/Goods/detail?id=AA002FDT","AA002FDT")</f>
        <v/>
      </c>
      <c r="L166" t="inlineStr"/>
      <c r="M166" t="inlineStr"/>
      <c r="N166" t="inlineStr"/>
    </row>
    <row r="167">
      <c r="A167" t="inlineStr">
        <is>
          <t>O=S1c2ccccc2Nc2ccccc21</t>
        </is>
      </c>
      <c r="B167" t="inlineStr">
        <is>
          <t>ZINC000000399957</t>
        </is>
      </c>
      <c r="C167" t="inlineStr"/>
      <c r="D167" t="inlineStr"/>
      <c r="E167" t="inlineStr"/>
      <c r="F167">
        <f>HYPERLINK("https://www.enaminestore.com/catalog/EN300-309225","EN300-309225")</f>
        <v/>
      </c>
      <c r="G167" t="inlineStr"/>
      <c r="H167">
        <f>HYPERLINK("http://www.sigmaaldrich.com/catalog/search?term=S811947&amp;interface=All&amp;N=0&amp;mode=match%20partialmax&amp;lang=en&amp;region=US&amp;focus=product","S811947")</f>
        <v/>
      </c>
      <c r="I167" t="inlineStr"/>
      <c r="J167" t="inlineStr"/>
      <c r="K167">
        <f>HYPERLINK("http://aablocks.com/goods/Goods/detail?id=AA007PK7","AA007PK7")</f>
        <v/>
      </c>
      <c r="L167" t="inlineStr"/>
      <c r="M167" t="inlineStr"/>
      <c r="N167" t="inlineStr"/>
    </row>
    <row r="168">
      <c r="A168" t="inlineStr">
        <is>
          <t>COc1ccc(Nc2nnc(C)s2)cc1</t>
        </is>
      </c>
      <c r="B168" t="inlineStr">
        <is>
          <t>ZINC000006703714</t>
        </is>
      </c>
      <c r="C168" t="inlineStr"/>
      <c r="D168" t="inlineStr"/>
      <c r="E168" t="inlineStr"/>
      <c r="F168" t="inlineStr"/>
      <c r="G168" t="inlineStr"/>
      <c r="H168">
        <f>HYPERLINK("http://www.sigmaaldrich.com/catalog/search?term=T310794&amp;interface=All&amp;N=0&amp;mode=match%20partialmax&amp;lang=en&amp;region=US&amp;focus=product","T310794")</f>
        <v/>
      </c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Cc1cc(Nc2ccccc2)nc(S)n1</t>
        </is>
      </c>
      <c r="B169" t="inlineStr">
        <is>
          <t>ZINC000006545985</t>
        </is>
      </c>
      <c r="C169" t="inlineStr"/>
      <c r="D169" t="inlineStr"/>
      <c r="E169" t="inlineStr"/>
      <c r="F169">
        <f>HYPERLINK("https://www.enaminestore.com/catalog/EN300-21519","EN300-21519")</f>
        <v/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COc1ccc(Nc2cc(Cl)ncn2)cc1</t>
        </is>
      </c>
      <c r="B170" t="inlineStr">
        <is>
          <t>ZINC000040422326</t>
        </is>
      </c>
      <c r="C170" t="inlineStr"/>
      <c r="D170">
        <f>HYPERLINK("http://www.matrixscientific.com/053512.html","053512")</f>
        <v/>
      </c>
      <c r="E170">
        <f>HYPERLINK("https://aksci.com/item_detail.php?cat=3034AF","3034AF")</f>
        <v/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Cc1ccccc1Nc1nc(CO)cs1</t>
        </is>
      </c>
      <c r="B171" t="inlineStr">
        <is>
          <t>ZINC000021951930</t>
        </is>
      </c>
      <c r="C171" t="inlineStr"/>
      <c r="D171" t="inlineStr"/>
      <c r="E171" t="inlineStr"/>
      <c r="F171">
        <f>HYPERLINK("https://www.enaminestore.com/catalog/EN300-42984","EN300-42984")</f>
        <v/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Cc1cccc(Nc2ncccc2C(=O)O)c1</t>
        </is>
      </c>
      <c r="B172" t="inlineStr">
        <is>
          <t>ZINC000001329540</t>
        </is>
      </c>
      <c r="C172">
        <f>HYPERLINK("http://www.combi-blocks.com/cgi-bin/find.cgi?QZ-4136","QZ-4136")</f>
        <v/>
      </c>
      <c r="D172">
        <f>HYPERLINK("http://www.matrixscientific.com/053335.html","053335")</f>
        <v/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Clc1ccc(Nc2ccccc2)nn1</t>
        </is>
      </c>
      <c r="B173" t="inlineStr">
        <is>
          <t>ZINC000000553773</t>
        </is>
      </c>
      <c r="C173" t="inlineStr"/>
      <c r="D173" t="inlineStr"/>
      <c r="E173" t="inlineStr"/>
      <c r="F173">
        <f>HYPERLINK("https://www.enaminestore.com/catalog/EN300-234234","EN300-234234")</f>
        <v/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Cc1cccc(Nc2nnc(S)s2)c1</t>
        </is>
      </c>
      <c r="B174" t="inlineStr">
        <is>
          <t>ZINC000001735995</t>
        </is>
      </c>
      <c r="C174" t="inlineStr"/>
      <c r="D174" t="inlineStr"/>
      <c r="E174" t="inlineStr"/>
      <c r="F174">
        <f>HYPERLINK("https://www.enaminestore.com/catalog/EN300-03325","EN300-03325")</f>
        <v/>
      </c>
      <c r="G174" t="inlineStr"/>
      <c r="H174" t="inlineStr"/>
      <c r="I174" t="inlineStr"/>
      <c r="J174" t="inlineStr"/>
      <c r="K174">
        <f>HYPERLINK("http://aablocks.com/goods/Goods/detail?id=AA00E2G1","AA00E2G1")</f>
        <v/>
      </c>
      <c r="L174" t="inlineStr"/>
      <c r="M174" t="inlineStr"/>
      <c r="N174" t="inlineStr"/>
    </row>
    <row r="175">
      <c r="A175" t="inlineStr">
        <is>
          <t>Cc1ccccc1Nc1scnc1C(=O)O</t>
        </is>
      </c>
      <c r="B175" t="inlineStr">
        <is>
          <t>ZINC000081898150</t>
        </is>
      </c>
      <c r="C175" t="inlineStr"/>
      <c r="D175" t="inlineStr"/>
      <c r="E175" t="inlineStr"/>
      <c r="F175">
        <f>HYPERLINK("https://www.enaminestore.com/catalog/EN300-302035","EN300-302035")</f>
        <v/>
      </c>
      <c r="G175" t="inlineStr"/>
      <c r="H175" t="inlineStr"/>
      <c r="I175" t="inlineStr"/>
      <c r="J175" t="inlineStr"/>
      <c r="K175">
        <f>HYPERLINK("http://aablocks.com/goods/Goods/detail?id=AA01B5N7","AA01B5N7")</f>
        <v/>
      </c>
      <c r="L175" t="inlineStr"/>
      <c r="M175" t="inlineStr"/>
      <c r="N175" t="inlineStr"/>
    </row>
    <row r="176">
      <c r="A176" t="inlineStr">
        <is>
          <t>COC(=O)c1ncsc1Nc1ccccc1</t>
        </is>
      </c>
      <c r="B176" t="inlineStr">
        <is>
          <t>ZINC000196323322</t>
        </is>
      </c>
      <c r="C176" t="inlineStr"/>
      <c r="D176">
        <f>HYPERLINK("http://www.matrixscientific.com/130555.html","130555")</f>
        <v/>
      </c>
      <c r="E176" t="inlineStr"/>
      <c r="F176">
        <f>HYPERLINK("https://www.enaminestore.com/catalog/EN300-79866","EN300-79866")</f>
        <v/>
      </c>
      <c r="G176" t="inlineStr"/>
      <c r="H176" t="inlineStr"/>
      <c r="I176" t="inlineStr"/>
      <c r="J176" t="inlineStr"/>
      <c r="K176">
        <f>HYPERLINK("http://aablocks.com/goods/Goods/detail?id=AA01AJ3C","AA01AJ3C")</f>
        <v/>
      </c>
      <c r="L176" t="inlineStr"/>
      <c r="M176" t="inlineStr"/>
      <c r="N176" t="inlineStr"/>
    </row>
    <row r="177">
      <c r="A177" t="inlineStr">
        <is>
          <t>COc1ccc(Nc2n[nH]c(=S)s2)cc1</t>
        </is>
      </c>
      <c r="B177" t="inlineStr">
        <is>
          <t>ZINC000005324236</t>
        </is>
      </c>
      <c r="C177" t="inlineStr"/>
      <c r="D177" t="inlineStr"/>
      <c r="E177" t="inlineStr"/>
      <c r="F177">
        <f>HYPERLINK("https://www.enaminestore.com/catalog/EN300-03330","EN300-03330")</f>
        <v/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FC(F)(F)c1nnc(Nc2cccnc2)s1</t>
        </is>
      </c>
      <c r="B178" t="inlineStr">
        <is>
          <t>ZINC000000074321</t>
        </is>
      </c>
      <c r="C178" t="inlineStr"/>
      <c r="D178" t="inlineStr"/>
      <c r="E178" t="inlineStr"/>
      <c r="F178" t="inlineStr"/>
      <c r="G178" t="inlineStr"/>
      <c r="H178">
        <f>HYPERLINK("http://www.sigmaaldrich.com/catalog/search?term=T308641&amp;interface=All&amp;N=0&amp;mode=match%20partialmax&amp;lang=en&amp;region=US&amp;focus=product","T308641")</f>
        <v/>
      </c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COc1ccc(Nc2cc(C)ncn2)cc1</t>
        </is>
      </c>
      <c r="B179" t="inlineStr">
        <is>
          <t>ZINC000000265271</t>
        </is>
      </c>
      <c r="C179" t="inlineStr"/>
      <c r="D179" t="inlineStr"/>
      <c r="E179" t="inlineStr"/>
      <c r="F179" t="inlineStr"/>
      <c r="G179">
        <f>HYPERLINK("http://astatechinc.com/CPSResult.php?CRNO=W12074","W12074")</f>
        <v/>
      </c>
      <c r="H179">
        <f>HYPERLINK("http://www.sigmaaldrich.com/catalog/search?term=R900699&amp;interface=All&amp;N=0&amp;mode=match%20partialmax&amp;lang=en&amp;region=US&amp;focus=product","R900699")</f>
        <v/>
      </c>
      <c r="I179" t="inlineStr"/>
      <c r="J179" t="inlineStr"/>
      <c r="K179">
        <f>HYPERLINK("http://aablocks.com/goods/Goods/detail?id=AA019EKS","AA019EKS")</f>
        <v/>
      </c>
      <c r="L179" t="inlineStr"/>
      <c r="M179" t="inlineStr"/>
      <c r="N179" t="inlineStr"/>
    </row>
    <row r="180">
      <c r="A180" t="inlineStr">
        <is>
          <t>Cc1ccc(Nc2ncccc2C(=O)O)cc1</t>
        </is>
      </c>
      <c r="B180" t="inlineStr">
        <is>
          <t>ZINC000004624049</t>
        </is>
      </c>
      <c r="C180">
        <f>HYPERLINK("http://www.combi-blocks.com/cgi-bin/find.cgi?QZ-1863","QZ-1863")</f>
        <v/>
      </c>
      <c r="D180">
        <f>HYPERLINK("http://www.matrixscientific.com/053361.html","053361")</f>
        <v/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Cc1ccc(Nc2nc(CC(=O)O)cs2)cc1</t>
        </is>
      </c>
      <c r="B181" t="inlineStr">
        <is>
          <t>ZINC000000874101</t>
        </is>
      </c>
      <c r="C181" t="inlineStr"/>
      <c r="D181">
        <f>HYPERLINK("http://www.matrixscientific.com/032799.html","032799")</f>
        <v/>
      </c>
      <c r="E181">
        <f>HYPERLINK("https://aksci.com/item_detail.php?cat=3492AE","3492AE")</f>
        <v/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Clc1cc(Nc2ccccc2)ncn1</t>
        </is>
      </c>
      <c r="B182" t="inlineStr">
        <is>
          <t>ZINC000040431918</t>
        </is>
      </c>
      <c r="C182" t="inlineStr"/>
      <c r="D182">
        <f>HYPERLINK("http://www.matrixscientific.com/053149.html","053149")</f>
        <v/>
      </c>
      <c r="E182">
        <f>HYPERLINK("https://aksci.com/item_detail.php?cat=8306AE","8306AE")</f>
        <v/>
      </c>
      <c r="F182">
        <f>HYPERLINK("https://www.enaminestore.com/catalog/EN300-269961","EN300-269961")</f>
        <v/>
      </c>
      <c r="G182" t="inlineStr"/>
      <c r="H182" t="inlineStr"/>
      <c r="I182" t="inlineStr"/>
      <c r="J182" t="inlineStr"/>
      <c r="K182">
        <f>HYPERLINK("http://aablocks.com/goods/Goods/detail?id=AA00FG0V","AA00FG0V")</f>
        <v/>
      </c>
      <c r="L182" t="inlineStr"/>
      <c r="M182" t="inlineStr"/>
      <c r="N182" t="inlineStr"/>
    </row>
    <row r="183">
      <c r="A183" t="inlineStr">
        <is>
          <t>CC(=O)Cc1nsc(Nc2ccc(C)cc2)n1</t>
        </is>
      </c>
      <c r="B183" t="inlineStr">
        <is>
          <t>ZINC000000414008</t>
        </is>
      </c>
      <c r="C183" t="inlineStr"/>
      <c r="D183" t="inlineStr"/>
      <c r="E183">
        <f>HYPERLINK("https://aksci.com/item_detail.php?cat=HTS027922","HTS027922")</f>
        <v/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COc1ccc(Nc2ccc(Cl)nn2)cc1</t>
        </is>
      </c>
      <c r="B184" t="inlineStr">
        <is>
          <t>ZINC000000552996</t>
        </is>
      </c>
      <c r="C184" t="inlineStr"/>
      <c r="D184" t="inlineStr"/>
      <c r="E184" t="inlineStr"/>
      <c r="F184">
        <f>HYPERLINK("https://www.enaminestore.com/catalog/EN300-234240","EN300-234240")</f>
        <v/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O=C1CCCc2[nH]nc(Nc3ccccc3)c21</t>
        </is>
      </c>
      <c r="B185" t="inlineStr">
        <is>
          <t>ZINC000043220737</t>
        </is>
      </c>
      <c r="C185" t="inlineStr"/>
      <c r="D185">
        <f>HYPERLINK("http://www.matrixscientific.com/118798.html","118798")</f>
        <v/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COc1ccccc1Nc1ncccc1C(=O)O</t>
        </is>
      </c>
      <c r="B186" t="inlineStr">
        <is>
          <t>ZINC000003491487</t>
        </is>
      </c>
      <c r="C186">
        <f>HYPERLINK("http://www.combi-blocks.com/cgi-bin/find.cgi?QY-8709","QY-8709")</f>
        <v/>
      </c>
      <c r="D186">
        <f>HYPERLINK("http://www.matrixscientific.com/034426.html","034426")</f>
        <v/>
      </c>
      <c r="E186">
        <f>HYPERLINK("https://aksci.com/item_detail.php?cat=9494AC","9494AC")</f>
        <v/>
      </c>
      <c r="F186">
        <f>HYPERLINK("https://www.enaminestore.com/catalog/EN300-18543","EN300-18543")</f>
        <v/>
      </c>
      <c r="G186" t="inlineStr"/>
      <c r="H186" t="inlineStr"/>
      <c r="I186" t="inlineStr"/>
      <c r="J186" t="inlineStr"/>
      <c r="K186">
        <f>HYPERLINK("http://aablocks.com/goods/Goods/detail?id=AA000EJ1","AA000EJ1")</f>
        <v/>
      </c>
      <c r="L186" t="inlineStr"/>
      <c r="M186" t="inlineStr"/>
      <c r="N186" t="inlineStr"/>
    </row>
    <row r="187">
      <c r="A187" t="inlineStr">
        <is>
          <t>Cc1ccc(Nc2nc(C)c(C)c(=O)[nH]2)c(C)c1</t>
        </is>
      </c>
      <c r="B187" t="inlineStr">
        <is>
          <t>ZINC000066324450</t>
        </is>
      </c>
      <c r="C187">
        <f>HYPERLINK("http://www.combi-blocks.com/cgi-bin/find.cgi?QY-8902","QY-8902")</f>
        <v/>
      </c>
      <c r="D187">
        <f>HYPERLINK("http://www.matrixscientific.com/066118.html","066118")</f>
        <v/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Cc1ccc(Nc2ncc(C(=O)O)c(C)n2)cc1</t>
        </is>
      </c>
      <c r="B188" t="inlineStr">
        <is>
          <t>ZINC000008733480</t>
        </is>
      </c>
      <c r="C188">
        <f>HYPERLINK("http://www.combi-blocks.com/cgi-bin/find.cgi?QZ-9386","QZ-9386")</f>
        <v/>
      </c>
      <c r="D188">
        <f>HYPERLINK("http://www.matrixscientific.com/034512.html","034512")</f>
        <v/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Cc1ccccc1Nc1ncccc1C(=O)O</t>
        </is>
      </c>
      <c r="B189" t="inlineStr">
        <is>
          <t>ZINC000001329558</t>
        </is>
      </c>
      <c r="C189" t="inlineStr"/>
      <c r="D189">
        <f>HYPERLINK("http://www.matrixscientific.com/053309.html","053309")</f>
        <v/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COc1cccc(Nc2cccnc2)c1</t>
        </is>
      </c>
      <c r="B190" t="inlineStr">
        <is>
          <t>ZINC000082714520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>
        <f>HYPERLINK("http://www.achemblock.com/catalogsearch/result/?q=Q69708","Q69708")</f>
        <v/>
      </c>
      <c r="M190" t="inlineStr"/>
      <c r="N190" t="inlineStr"/>
    </row>
    <row r="191">
      <c r="A191" t="inlineStr">
        <is>
          <t>c1ccc(Nc2nc3ccccc3o2)nc1</t>
        </is>
      </c>
      <c r="B191" t="inlineStr">
        <is>
          <t>ZINC000013236458</t>
        </is>
      </c>
      <c r="C191" t="inlineStr"/>
      <c r="D191" t="inlineStr"/>
      <c r="E191">
        <f>HYPERLINK("https://aksci.com/item_detail.php?cat=9891AB","9891AB")</f>
        <v/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N#Cc1ccc(Nc2nccc(Cl)n2)cc1</t>
        </is>
      </c>
      <c r="B192" t="inlineStr">
        <is>
          <t>ZINC000008700528</t>
        </is>
      </c>
      <c r="C192">
        <f>HYPERLINK("http://www.combi-blocks.com/cgi-bin/find.cgi?ST-3339","ST-3339")</f>
        <v/>
      </c>
      <c r="D192" t="inlineStr"/>
      <c r="E192">
        <f>HYPERLINK("https://aksci.com/item_detail.php?cat=J92839","J92839")</f>
        <v/>
      </c>
      <c r="F192" t="inlineStr"/>
      <c r="G192">
        <f>HYPERLINK("http://astatechinc.com/CPSResult.php?CRNO=CL4549","CL4549")</f>
        <v/>
      </c>
      <c r="H192" t="inlineStr"/>
      <c r="I192" t="inlineStr"/>
      <c r="J192" t="inlineStr"/>
      <c r="K192" t="inlineStr"/>
      <c r="L192" t="inlineStr"/>
      <c r="M192" t="inlineStr"/>
      <c r="N192">
        <f>HYPERLINK("https://www.biosynth.com/en/products/life-science/other-biochemicals/products/W-206895","W-206895")</f>
        <v/>
      </c>
    </row>
    <row r="193">
      <c r="A193" t="inlineStr">
        <is>
          <t>N#Cc1ccnc(Nc2ccc(F)cc2)c1</t>
        </is>
      </c>
      <c r="B193" t="inlineStr">
        <is>
          <t>ZINC000019503012</t>
        </is>
      </c>
      <c r="C193" t="inlineStr"/>
      <c r="D193" t="inlineStr"/>
      <c r="E193" t="inlineStr"/>
      <c r="F193">
        <f>HYPERLINK("https://www.enaminestore.com/catalog/EN300-108443","EN300-108443")</f>
        <v/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N#Cc1cccnc1Nc1ccc(F)cc1</t>
        </is>
      </c>
      <c r="B194" t="inlineStr">
        <is>
          <t>ZINC000007737567</t>
        </is>
      </c>
      <c r="C194">
        <f>HYPERLINK("http://www.combi-blocks.com/cgi-bin/find.cgi?QN-8487","QN-8487")</f>
        <v/>
      </c>
      <c r="D194" t="inlineStr"/>
      <c r="E194">
        <f>HYPERLINK("https://aksci.com/item_detail.php?cat=HTS004650","HTS004650")</f>
        <v/>
      </c>
      <c r="F194" t="inlineStr"/>
      <c r="G194">
        <f>HYPERLINK("http://astatechinc.com/CPSResult.php?CRNO=W11069","W11069")</f>
        <v/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Cc1ccc(Nc2snc(O)c2C#N)cc1</t>
        </is>
      </c>
      <c r="B195" t="inlineStr">
        <is>
          <t>ZINC000032628043</t>
        </is>
      </c>
      <c r="C195" t="inlineStr"/>
      <c r="D195" t="inlineStr"/>
      <c r="E195" t="inlineStr"/>
      <c r="F195">
        <f>HYPERLINK("https://www.enaminestore.com/catalog/EN300-41276","EN300-41276")</f>
        <v/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N#Cc1ccc(Nc2ccc(Cl)nn2)cc1</t>
        </is>
      </c>
      <c r="B196" t="inlineStr">
        <is>
          <t>ZINC000034973921</t>
        </is>
      </c>
      <c r="C196" t="inlineStr"/>
      <c r="D196" t="inlineStr"/>
      <c r="E196" t="inlineStr"/>
      <c r="F196">
        <f>HYPERLINK("https://www.enaminestore.com/catalog/EN300-122760","EN300-122760")</f>
        <v/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N#Cc1c(Nc2ccccc2)ccnc1S</t>
        </is>
      </c>
      <c r="B197" t="inlineStr">
        <is>
          <t>ZINC000000197463</t>
        </is>
      </c>
      <c r="C197" t="inlineStr"/>
      <c r="D197" t="inlineStr"/>
      <c r="E197" t="inlineStr"/>
      <c r="F197" t="inlineStr"/>
      <c r="G197" t="inlineStr"/>
      <c r="H197">
        <f>HYPERLINK("http://www.sigmaaldrich.com/catalog/search?term=R101354&amp;interface=All&amp;N=0&amp;mode=match%20partialmax&amp;lang=en&amp;region=US&amp;focus=product","R101354")</f>
        <v/>
      </c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CC#Cc1cc(C)nc(Nc2ccccc2)n1</t>
        </is>
      </c>
      <c r="B198" t="inlineStr">
        <is>
          <t>ZINC000000900546</t>
        </is>
      </c>
      <c r="C198" t="inlineStr"/>
      <c r="D198" t="inlineStr"/>
      <c r="E198" t="inlineStr"/>
      <c r="F198" t="inlineStr"/>
      <c r="G198" t="inlineStr"/>
      <c r="H198">
        <f>HYPERLINK("http://www.sigmaaldrich.com/catalog/search?term=33970&amp;interface=All&amp;N=0&amp;mode=match%20partialmax&amp;lang=en&amp;region=US&amp;focus=product","33970")</f>
        <v/>
      </c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C#CCOc1cccc(Nc2cccnc2)c1</t>
        </is>
      </c>
      <c r="B199" t="inlineStr">
        <is>
          <t>ZINC000952959914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>
        <f>HYPERLINK("http://www.achemblock.com/catalogsearch/result/?q=Q69723","Q69723")</f>
        <v/>
      </c>
      <c r="M199" t="inlineStr"/>
      <c r="N199" t="inlineStr"/>
    </row>
    <row r="200">
      <c r="A200" t="inlineStr">
        <is>
          <t>O=C1Cc2ccccc2Nc2ccccc21</t>
        </is>
      </c>
      <c r="B200" t="inlineStr">
        <is>
          <t>ZINC000022005788</t>
        </is>
      </c>
      <c r="C200">
        <f>HYPERLINK("http://www.combi-blocks.com/cgi-bin/find.cgi?QH-7048","QH-7048")</f>
        <v/>
      </c>
      <c r="D200" t="inlineStr"/>
      <c r="E200" t="inlineStr"/>
      <c r="F200" t="inlineStr"/>
      <c r="G200">
        <f>HYPERLINK("http://astatechinc.com/CPSResult.php?CRNO=A10686","A10686")</f>
        <v/>
      </c>
      <c r="H200" t="inlineStr"/>
      <c r="I200" t="inlineStr"/>
      <c r="J200">
        <f>HYPERLINK("http://www.ambeed.com/search/Search.html?keyword=A338333","A338333")</f>
        <v/>
      </c>
      <c r="K200" t="inlineStr"/>
      <c r="L200" t="inlineStr"/>
      <c r="M200" t="inlineStr"/>
      <c r="N200" t="inlineStr"/>
    </row>
    <row r="201">
      <c r="A201" t="inlineStr">
        <is>
          <t>Cc1cccc(Nc2nnc(S)s2)c1C</t>
        </is>
      </c>
      <c r="B201" t="inlineStr">
        <is>
          <t>ZINC000003263541</t>
        </is>
      </c>
      <c r="C201" t="inlineStr"/>
      <c r="D201" t="inlineStr"/>
      <c r="E201" t="inlineStr"/>
      <c r="F201">
        <f>HYPERLINK("https://www.enaminestore.com/catalog/EN300-03029","EN300-03029")</f>
        <v/>
      </c>
      <c r="G201" t="inlineStr"/>
      <c r="H201" t="inlineStr"/>
      <c r="I201" t="inlineStr"/>
      <c r="J201" t="inlineStr"/>
      <c r="K201">
        <f>HYPERLINK("http://aablocks.com/goods/Goods/detail?id=AA00I7E0","AA00I7E0")</f>
        <v/>
      </c>
      <c r="L201" t="inlineStr"/>
      <c r="M201" t="inlineStr"/>
      <c r="N201" t="inlineStr"/>
    </row>
    <row r="202">
      <c r="A202" t="inlineStr">
        <is>
          <t>Fc1ccc(Nc2cc(Cl)ncn2)cc1</t>
        </is>
      </c>
      <c r="B202" t="inlineStr">
        <is>
          <t>ZINC000038579856</t>
        </is>
      </c>
      <c r="C202" t="inlineStr"/>
      <c r="D202">
        <f>HYPERLINK("http://www.matrixscientific.com/053486.html","053486")</f>
        <v/>
      </c>
      <c r="E202">
        <f>HYPERLINK("https://aksci.com/item_detail.php?cat=3984AF","3984AF")</f>
        <v/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Cc1ccccc1Nc1cncc(Cl)n1</t>
        </is>
      </c>
      <c r="B203" t="inlineStr">
        <is>
          <t>ZINC000042784017</t>
        </is>
      </c>
      <c r="C203" t="inlineStr"/>
      <c r="D203">
        <f>HYPERLINK("http://www.matrixscientific.com/053307.html","053307")</f>
        <v/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Cc1ccc(Nc2nnc(S)s2)c(C)c1</t>
        </is>
      </c>
      <c r="B204" t="inlineStr">
        <is>
          <t>ZINC000001735363</t>
        </is>
      </c>
      <c r="C204" t="inlineStr"/>
      <c r="D204" t="inlineStr"/>
      <c r="E204" t="inlineStr"/>
      <c r="F204">
        <f>HYPERLINK("https://www.enaminestore.com/catalog/EN300-03418","EN300-03418")</f>
        <v/>
      </c>
      <c r="G204" t="inlineStr"/>
      <c r="H204" t="inlineStr"/>
      <c r="I204" t="inlineStr"/>
      <c r="J204" t="inlineStr"/>
      <c r="K204">
        <f>HYPERLINK("http://aablocks.com/goods/Goods/detail?id=AA00I3XM","AA00I3XM")</f>
        <v/>
      </c>
      <c r="L204" t="inlineStr"/>
      <c r="M204" t="inlineStr"/>
      <c r="N204" t="inlineStr"/>
    </row>
    <row r="205">
      <c r="A205" t="inlineStr">
        <is>
          <t>Cc1ccc(Nc2ncccc2C(=O)O)cc1C</t>
        </is>
      </c>
      <c r="B205" t="inlineStr">
        <is>
          <t>ZINC000000930771</t>
        </is>
      </c>
      <c r="C205">
        <f>HYPERLINK("http://www.combi-blocks.com/cgi-bin/find.cgi?QY-5655","QY-5655")</f>
        <v/>
      </c>
      <c r="D205">
        <f>HYPERLINK("http://www.matrixscientific.com/159657.html","159657")</f>
        <v/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CCc1ccccc1Nc1nnc(S)s1</t>
        </is>
      </c>
      <c r="B206" t="inlineStr">
        <is>
          <t>ZINC000006649961</t>
        </is>
      </c>
      <c r="C206" t="inlineStr"/>
      <c r="D206" t="inlineStr"/>
      <c r="E206" t="inlineStr"/>
      <c r="F206">
        <f>HYPERLINK("https://www.enaminestore.com/catalog/EN300-15013","EN300-15013")</f>
        <v/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Cc1ccc(Nc2ncccc2C(=O)O)c(C)c1</t>
        </is>
      </c>
      <c r="B207" t="inlineStr">
        <is>
          <t>ZINC000000930769</t>
        </is>
      </c>
      <c r="C207">
        <f>HYPERLINK("http://www.combi-blocks.com/cgi-bin/find.cgi?QY-5950","QY-5950")</f>
        <v/>
      </c>
      <c r="D207">
        <f>HYPERLINK("http://www.matrixscientific.com/159656.html","159656")</f>
        <v/>
      </c>
      <c r="E207" t="inlineStr"/>
      <c r="F207">
        <f>HYPERLINK("https://www.enaminestore.com/catalog/EN300-18544","EN300-18544")</f>
        <v/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COc1ccccc1Nc1ccccc1C(=O)O</t>
        </is>
      </c>
      <c r="B208" t="inlineStr">
        <is>
          <t>ZINC000003173666</t>
        </is>
      </c>
      <c r="C208" t="inlineStr"/>
      <c r="D208" t="inlineStr"/>
      <c r="E208" t="inlineStr"/>
      <c r="F208">
        <f>HYPERLINK("https://www.enaminestore.com/catalog/EN300-101415","EN300-101415")</f>
        <v/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Cc1cc(C)cc(Nc2ncccc2C(=O)O)c1</t>
        </is>
      </c>
      <c r="B209" t="inlineStr">
        <is>
          <t>ZINC000005448079</t>
        </is>
      </c>
      <c r="C209">
        <f>HYPERLINK("http://www.combi-blocks.com/cgi-bin/find.cgi?QZ-2174","QZ-2174")</f>
        <v/>
      </c>
      <c r="D209">
        <f>HYPERLINK("http://www.matrixscientific.com/159658.html","159658")</f>
        <v/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COCc1cccc(Nc2cc(Cl)ncn2)c1</t>
        </is>
      </c>
      <c r="B210" t="inlineStr">
        <is>
          <t>ZINC000049513797</t>
        </is>
      </c>
      <c r="C210" t="inlineStr"/>
      <c r="D210" t="inlineStr"/>
      <c r="E210" t="inlineStr"/>
      <c r="F210">
        <f>HYPERLINK("https://www.enaminestore.com/catalog/EN300-219487","EN300-219487")</f>
        <v/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Cc1nc(Cl)cc(Nc2ccccc2)n1</t>
        </is>
      </c>
      <c r="B211" t="inlineStr">
        <is>
          <t>ZINC000025491566</t>
        </is>
      </c>
      <c r="C211" t="inlineStr"/>
      <c r="D211" t="inlineStr"/>
      <c r="E211" t="inlineStr"/>
      <c r="F211">
        <f>HYPERLINK("https://www.enaminestore.com/catalog/EN300-396368","EN300-396368")</f>
        <v/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Cc1cccc(Nc2ncccc2C(=O)O)c1C</t>
        </is>
      </c>
      <c r="B212" t="inlineStr">
        <is>
          <t>ZINC000000001824</t>
        </is>
      </c>
      <c r="C212">
        <f>HYPERLINK("http://www.combi-blocks.com/cgi-bin/find.cgi?QY-3386","QY-3386")</f>
        <v/>
      </c>
      <c r="D212">
        <f>HYPERLINK("http://www.matrixscientific.com/159653.html","159653")</f>
        <v/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>
        <f>HYPERLINK("https://www.biosynth.com/en/products/life-science/other-biochemicals/products/W-106214","W-106214")</f>
        <v/>
      </c>
    </row>
    <row r="213">
      <c r="A213" t="inlineStr">
        <is>
          <t>Cc1cc(C2CC2)nc(Nc2ccccc2)n1</t>
        </is>
      </c>
      <c r="B213" t="inlineStr">
        <is>
          <t>ZINC000000900539</t>
        </is>
      </c>
      <c r="C213" t="inlineStr"/>
      <c r="D213" t="inlineStr"/>
      <c r="E213">
        <f>HYPERLINK("https://aksci.com/item_detail.php?cat=9644AJ","9644AJ")</f>
        <v/>
      </c>
      <c r="F213" t="inlineStr"/>
      <c r="G213" t="inlineStr"/>
      <c r="H213">
        <f>HYPERLINK("http://www.sigmaaldrich.com/catalog/search?term=34389&amp;interface=All&amp;N=0&amp;mode=match%20partialmax&amp;lang=en&amp;region=US&amp;focus=product","34389")</f>
        <v/>
      </c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Fc1cnc(Cl)nc1Nc1ccccc1</t>
        </is>
      </c>
      <c r="B214" t="inlineStr">
        <is>
          <t>ZINC000059873181</t>
        </is>
      </c>
      <c r="C214">
        <f>HYPERLINK("http://www.combi-blocks.com/cgi-bin/find.cgi?QY-6223","QY-6223")</f>
        <v/>
      </c>
      <c r="D214">
        <f>HYPERLINK("http://www.matrixscientific.com/077600.html","077600")</f>
        <v/>
      </c>
      <c r="E214">
        <f>HYPERLINK("https://aksci.com/item_detail.php?cat=9064AD","9064AD")</f>
        <v/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O=c1[nH]c(Nc2ccccc2)cc2ccccc12</t>
        </is>
      </c>
      <c r="B215" t="inlineStr">
        <is>
          <t>ZINC000008578180</t>
        </is>
      </c>
      <c r="C215" t="inlineStr"/>
      <c r="D215" t="inlineStr"/>
      <c r="E215" t="inlineStr"/>
      <c r="F215">
        <f>HYPERLINK("https://www.enaminestore.com/catalog/EN300-31255","EN300-31255")</f>
        <v/>
      </c>
      <c r="G215" t="inlineStr"/>
      <c r="H215" t="inlineStr"/>
      <c r="I215" t="inlineStr"/>
      <c r="J215" t="inlineStr"/>
      <c r="K215">
        <f>HYPERLINK("http://aablocks.com/goods/Goods/detail?id=AA019LEG","AA019LEG")</f>
        <v/>
      </c>
      <c r="L215" t="inlineStr"/>
      <c r="M215" t="inlineStr"/>
      <c r="N215" t="inlineStr"/>
    </row>
    <row r="216">
      <c r="A216" t="inlineStr">
        <is>
          <t>COc1ccc(Nc2ccc(OC)cc2)cc1</t>
        </is>
      </c>
      <c r="B216" t="inlineStr">
        <is>
          <t>ZINC000000392385</t>
        </is>
      </c>
      <c r="C216">
        <f>HYPERLINK("http://www.combi-blocks.com/cgi-bin/find.cgi?QC-9063","QC-9063")</f>
        <v/>
      </c>
      <c r="D216">
        <f>HYPERLINK("http://www.matrixscientific.com/084871.html","084871")</f>
        <v/>
      </c>
      <c r="E216">
        <f>HYPERLINK("https://aksci.com/item_detail.php?cat=L591","L591")</f>
        <v/>
      </c>
      <c r="F216" t="inlineStr"/>
      <c r="G216">
        <f>HYPERLINK("http://astatechinc.com/CPSResult.php?CRNO=75971","75971")</f>
        <v/>
      </c>
      <c r="H216">
        <f>HYPERLINK("http://www.sigmaaldrich.com/catalog/search?term=767905&amp;interface=All&amp;N=0&amp;mode=match%20partialmax&amp;lang=en&amp;region=US&amp;focus=product","767905")</f>
        <v/>
      </c>
      <c r="I216">
        <f>HYPERLINK("https://www.alfa.com/en/catalog/L01322","L01322")</f>
        <v/>
      </c>
      <c r="J216">
        <f>HYPERLINK("http://www.ambeed.com/search/Search.html?keyword=A187910","A187910")</f>
        <v/>
      </c>
      <c r="K216">
        <f>HYPERLINK("http://aablocks.com/goods/Goods/detail?id=AA0003D7","AA0003D7")</f>
        <v/>
      </c>
      <c r="L216" t="inlineStr"/>
      <c r="M216" t="inlineStr"/>
      <c r="N216" t="inlineStr"/>
    </row>
    <row r="217">
      <c r="A217" t="inlineStr">
        <is>
          <t>O=C1CCCc2nc(Nc3ccccc3)sc21</t>
        </is>
      </c>
      <c r="B217" t="inlineStr">
        <is>
          <t>ZINC000071773903</t>
        </is>
      </c>
      <c r="C217" t="inlineStr"/>
      <c r="D217" t="inlineStr"/>
      <c r="E217" t="inlineStr"/>
      <c r="F217" t="inlineStr"/>
      <c r="G217" t="inlineStr"/>
      <c r="H217">
        <f>HYPERLINK("http://www.sigmaaldrich.com/catalog/search?term=PH008389&amp;interface=All&amp;N=0&amp;mode=match%20partialmax&amp;lang=en&amp;region=US&amp;focus=product","PH008389")</f>
        <v/>
      </c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Cc1ccc(Nc2nc(C)cc(C)n2)cc1</t>
        </is>
      </c>
      <c r="B218" t="inlineStr">
        <is>
          <t>ZINC000000392130</t>
        </is>
      </c>
      <c r="C218" t="inlineStr"/>
      <c r="D218" t="inlineStr"/>
      <c r="E218" t="inlineStr"/>
      <c r="F218" t="inlineStr"/>
      <c r="G218" t="inlineStr"/>
      <c r="H218">
        <f>HYPERLINK("http://www.sigmaaldrich.com/catalog/search?term=L118850&amp;interface=All&amp;N=0&amp;mode=match%20partialmax&amp;lang=en&amp;region=US&amp;focus=product","L118850")</f>
        <v/>
      </c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COc1ccc(Nc2cccc(C(=O)O)c2)cc1</t>
        </is>
      </c>
      <c r="B219" t="inlineStr">
        <is>
          <t>ZINC000034546938</t>
        </is>
      </c>
      <c r="C219">
        <f>HYPERLINK("http://www.combi-blocks.com/cgi-bin/find.cgi?QD-8110","QD-8110")</f>
        <v/>
      </c>
      <c r="D219" t="inlineStr"/>
      <c r="E219" t="inlineStr"/>
      <c r="F219" t="inlineStr"/>
      <c r="G219">
        <f>HYPERLINK("http://astatechinc.com/CPSResult.php?CRNO=68968","68968")</f>
        <v/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COc1ccc(Nc2cccc(OC)c2)cc1</t>
        </is>
      </c>
      <c r="B220" t="inlineStr">
        <is>
          <t>ZINC000082715039</t>
        </is>
      </c>
      <c r="C220" t="inlineStr"/>
      <c r="D220" t="inlineStr"/>
      <c r="E220" t="inlineStr"/>
      <c r="F220" t="inlineStr"/>
      <c r="G220">
        <f>HYPERLINK("http://astatechinc.com/CPSResult.php?CRNO=T72369","T72369")</f>
        <v/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COc1ccc(Nc2ccccc2C(=O)O)cc1</t>
        </is>
      </c>
      <c r="B221" t="inlineStr">
        <is>
          <t>ZINC000000241322</t>
        </is>
      </c>
      <c r="C221" t="inlineStr"/>
      <c r="D221" t="inlineStr"/>
      <c r="E221">
        <f>HYPERLINK("https://aksci.com/item_detail.php?cat=6263AA","6263AA")</f>
        <v/>
      </c>
      <c r="F221">
        <f>HYPERLINK("https://www.enaminestore.com/catalog/EN300-40218","EN300-40218")</f>
        <v/>
      </c>
      <c r="G221" t="inlineStr"/>
      <c r="H221" t="inlineStr"/>
      <c r="I221" t="inlineStr"/>
      <c r="J221" t="inlineStr"/>
      <c r="K221">
        <f>HYPERLINK("http://aablocks.com/goods/Goods/detail?id=AA006ZH8","AA006ZH8")</f>
        <v/>
      </c>
      <c r="L221" t="inlineStr"/>
      <c r="M221" t="inlineStr"/>
      <c r="N221" t="inlineStr"/>
    </row>
    <row r="222">
      <c r="A222" t="inlineStr">
        <is>
          <t>c1ccc(Nc2nc3ccccc3[nH]2)cc1</t>
        </is>
      </c>
      <c r="B222" t="inlineStr">
        <is>
          <t>ZINC000000391335</t>
        </is>
      </c>
      <c r="C222" t="inlineStr"/>
      <c r="D222" t="inlineStr"/>
      <c r="E222" t="inlineStr"/>
      <c r="F222" t="inlineStr"/>
      <c r="G222" t="inlineStr"/>
      <c r="H222">
        <f>HYPERLINK("http://www.sigmaaldrich.com/catalog/search?term=S62597&amp;interface=All&amp;N=0&amp;mode=match%20partialmax&amp;lang=en&amp;region=US&amp;focus=product","S62597")</f>
        <v/>
      </c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Fc1ccc(Nc2ccc(Cl)nn2)cc1</t>
        </is>
      </c>
      <c r="B223" t="inlineStr">
        <is>
          <t>ZINC000036923491</t>
        </is>
      </c>
      <c r="C223" t="inlineStr"/>
      <c r="D223" t="inlineStr"/>
      <c r="E223" t="inlineStr"/>
      <c r="F223">
        <f>HYPERLINK("https://www.enaminestore.com/catalog/EN300-237509","EN300-237509")</f>
        <v/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c1ccc(Nc2n[nH]nc2-c2ccccc2)cc1</t>
        </is>
      </c>
      <c r="B224" t="inlineStr">
        <is>
          <t>ZINC000000283524</t>
        </is>
      </c>
      <c r="C224" t="inlineStr"/>
      <c r="D224" t="inlineStr"/>
      <c r="E224" t="inlineStr"/>
      <c r="F224" t="inlineStr"/>
      <c r="G224" t="inlineStr"/>
      <c r="H224">
        <f>HYPERLINK("http://www.sigmaaldrich.com/catalog/search?term=S15327&amp;interface=All&amp;N=0&amp;mode=match%20partialmax&amp;lang=en&amp;region=US&amp;focus=product","S15327")</f>
        <v/>
      </c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CNC(=O)Oc1ccc(Nc2ccccc2)cc1</t>
        </is>
      </c>
      <c r="B225" t="inlineStr">
        <is>
          <t>ZINC000000399196</t>
        </is>
      </c>
      <c r="C225" t="inlineStr"/>
      <c r="D225" t="inlineStr"/>
      <c r="E225" t="inlineStr"/>
      <c r="F225" t="inlineStr"/>
      <c r="G225" t="inlineStr"/>
      <c r="H225">
        <f>HYPERLINK("http://www.sigmaaldrich.com/catalog/search?term=S769452&amp;interface=All&amp;N=0&amp;mode=match%20partialmax&amp;lang=en&amp;region=US&amp;focus=product","S769452")</f>
        <v/>
      </c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Cc1ccc(Nc2nc(C(=O)O)cs2)c(C)c1</t>
        </is>
      </c>
      <c r="B226" t="inlineStr">
        <is>
          <t>ZINC000033507885</t>
        </is>
      </c>
      <c r="C226" t="inlineStr"/>
      <c r="D226">
        <f>HYPERLINK("http://www.matrixscientific.com/137096.html","137096")</f>
        <v/>
      </c>
      <c r="E226" t="inlineStr"/>
      <c r="F226">
        <f>HYPERLINK("https://www.enaminestore.com/catalog/EN300-237522","EN300-237522")</f>
        <v/>
      </c>
      <c r="G226" t="inlineStr"/>
      <c r="H226" t="inlineStr"/>
      <c r="I226" t="inlineStr"/>
      <c r="J226" t="inlineStr"/>
      <c r="K226" t="inlineStr"/>
      <c r="L226">
        <f>HYPERLINK("http://www.achemblock.com/catalogsearch/result/?q=L18608","L18608")</f>
        <v/>
      </c>
      <c r="M226" t="inlineStr"/>
      <c r="N226" t="inlineStr"/>
    </row>
    <row r="227">
      <c r="A227" t="inlineStr">
        <is>
          <t>COc1ccccc1Nc1cccnc1C</t>
        </is>
      </c>
      <c r="B227" t="inlineStr">
        <is>
          <t>ZINC000299805505</t>
        </is>
      </c>
      <c r="C227" t="inlineStr"/>
      <c r="D227" t="inlineStr"/>
      <c r="E227" t="inlineStr"/>
      <c r="F227">
        <f>HYPERLINK("https://www.enaminestore.com/catalog/EN300-254859","EN300-254859")</f>
        <v/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Cc1cccc(Nc2cc(Cl)ncn2)c1</t>
        </is>
      </c>
      <c r="B228" t="inlineStr">
        <is>
          <t>ZINC000040431919</t>
        </is>
      </c>
      <c r="C228" t="inlineStr"/>
      <c r="D228">
        <f>HYPERLINK("http://www.matrixscientific.com/053331.html","053331")</f>
        <v/>
      </c>
      <c r="E228">
        <f>HYPERLINK("https://aksci.com/item_detail.php?cat=5457AD","5457AD")</f>
        <v/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Cc1cccc(C)c1Nc1nnc(S)s1</t>
        </is>
      </c>
      <c r="B229" t="inlineStr">
        <is>
          <t>ZINC000001735368</t>
        </is>
      </c>
      <c r="C229" t="inlineStr"/>
      <c r="D229" t="inlineStr"/>
      <c r="E229" t="inlineStr"/>
      <c r="F229">
        <f>HYPERLINK("https://www.enaminestore.com/catalog/EN300-03396","EN300-03396")</f>
        <v/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Cc1ccccc1Nc1cc(Cl)ncn1</t>
        </is>
      </c>
      <c r="B230" t="inlineStr">
        <is>
          <t>ZINC000015081597</t>
        </is>
      </c>
      <c r="C230" t="inlineStr"/>
      <c r="D230">
        <f>HYPERLINK("http://www.matrixscientific.com/053305.html","053305")</f>
        <v/>
      </c>
      <c r="E230">
        <f>HYPERLINK("https://aksci.com/item_detail.php?cat=3648AF","3648AF")</f>
        <v/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COc1cccc(Nc2cccc(OC)c2)c1</t>
        </is>
      </c>
      <c r="B231" t="inlineStr">
        <is>
          <t>ZINC000034750652</t>
        </is>
      </c>
      <c r="C231" t="inlineStr"/>
      <c r="D231" t="inlineStr"/>
      <c r="E231">
        <f>HYPERLINK("https://aksci.com/item_detail.php?cat=X6608","X6608")</f>
        <v/>
      </c>
      <c r="F231" t="inlineStr"/>
      <c r="G231">
        <f>HYPERLINK("http://astatechinc.com/CPSResult.php?CRNO=C77155","C77155")</f>
        <v/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CC(=O)c1cnc(Nc2ccc(F)cc2)s1</t>
        </is>
      </c>
      <c r="B232" t="inlineStr">
        <is>
          <t>ZINC000012336581</t>
        </is>
      </c>
      <c r="C232" t="inlineStr"/>
      <c r="D232">
        <f>HYPERLINK("http://www.matrixscientific.com/046902.html","046902")</f>
        <v/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Clc1cc2c(nn1)Nc1ccccc1S2</t>
        </is>
      </c>
      <c r="B233" t="inlineStr">
        <is>
          <t>ZINC000005390066</t>
        </is>
      </c>
      <c r="C233" t="inlineStr"/>
      <c r="D233" t="inlineStr"/>
      <c r="E233" t="inlineStr"/>
      <c r="F233" t="inlineStr"/>
      <c r="G233" t="inlineStr"/>
      <c r="H233">
        <f>HYPERLINK("http://www.sigmaaldrich.com/catalog/search?term=PH007701&amp;interface=All&amp;N=0&amp;mode=match%20partialmax&amp;lang=en&amp;region=US&amp;focus=product","PH007701")</f>
        <v/>
      </c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Cc1ccccc1Nc1ccccc1C(=O)O</t>
        </is>
      </c>
      <c r="B234" t="inlineStr">
        <is>
          <t>ZINC000002173765</t>
        </is>
      </c>
      <c r="C234" t="inlineStr"/>
      <c r="D234" t="inlineStr"/>
      <c r="E234" t="inlineStr"/>
      <c r="F234" t="inlineStr"/>
      <c r="G234" t="inlineStr"/>
      <c r="H234">
        <f>HYPERLINK("http://www.sigmaaldrich.com/catalog/search?term=PH004265&amp;interface=All&amp;N=0&amp;mode=match%20partialmax&amp;lang=en&amp;region=US&amp;focus=product","PH004265")</f>
        <v/>
      </c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c1ccc2c(c1)Nc1ncccc1S2</t>
        </is>
      </c>
      <c r="B235" t="inlineStr">
        <is>
          <t>ZINC000001847606</t>
        </is>
      </c>
      <c r="C235">
        <f>HYPERLINK("http://www.combi-blocks.com/cgi-bin/find.cgi?QN-1929","QN-1929")</f>
        <v/>
      </c>
      <c r="D235" t="inlineStr"/>
      <c r="E235">
        <f>HYPERLINK("https://aksci.com/item_detail.php?cat=X4630","X4630")</f>
        <v/>
      </c>
      <c r="F235" t="inlineStr"/>
      <c r="G235">
        <f>HYPERLINK("http://astatechinc.com/CPSResult.php?CRNO=FD10522","FD10522")</f>
        <v/>
      </c>
      <c r="H235">
        <f>HYPERLINK("http://www.sigmaaldrich.com/catalog/search?term=S462942&amp;interface=All&amp;N=0&amp;mode=match%20partialmax&amp;lang=en&amp;region=US&amp;focus=product","S462942")</f>
        <v/>
      </c>
      <c r="I235" t="inlineStr"/>
      <c r="J235">
        <f>HYPERLINK("http://www.ambeed.com/search/Search.html?keyword=A509943","A509943")</f>
        <v/>
      </c>
      <c r="K235">
        <f>HYPERLINK("http://aablocks.com/goods/Goods/detail?id=AA002RLQ","AA002RLQ")</f>
        <v/>
      </c>
      <c r="L235" t="inlineStr"/>
      <c r="M235" t="inlineStr"/>
      <c r="N235" t="inlineStr"/>
    </row>
    <row r="236">
      <c r="A236" t="inlineStr">
        <is>
          <t>N=S1(=O)c2ccccc2Nc2ccccc21</t>
        </is>
      </c>
      <c r="B236" t="inlineStr">
        <is>
          <t>ZINC000685944079</t>
        </is>
      </c>
      <c r="C236" t="inlineStr"/>
      <c r="D236" t="inlineStr"/>
      <c r="E236" t="inlineStr"/>
      <c r="F236">
        <f>HYPERLINK("https://www.enaminestore.com/catalog/EN300-755475","EN300-755475")</f>
        <v/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COc1cccc(Nc2ccccc2C(=O)O)c1</t>
        </is>
      </c>
      <c r="B237" t="inlineStr">
        <is>
          <t>ZINC000000282516</t>
        </is>
      </c>
      <c r="C237" t="inlineStr"/>
      <c r="D237" t="inlineStr"/>
      <c r="E237" t="inlineStr"/>
      <c r="F237">
        <f>HYPERLINK("https://www.enaminestore.com/catalog/EN300-81794","EN300-81794")</f>
        <v/>
      </c>
      <c r="G237" t="inlineStr"/>
      <c r="H237" t="inlineStr"/>
      <c r="I237" t="inlineStr"/>
      <c r="J237" t="inlineStr"/>
      <c r="K237">
        <f>HYPERLINK("http://aablocks.com/goods/Goods/detail?id=AA002UFB","AA002UFB")</f>
        <v/>
      </c>
      <c r="L237" t="inlineStr"/>
      <c r="M237" t="inlineStr"/>
      <c r="N237" t="inlineStr"/>
    </row>
    <row r="238">
      <c r="A238" t="inlineStr">
        <is>
          <t>Fc1ccc(Nc2cncc(Cl)n2)cc1</t>
        </is>
      </c>
      <c r="B238" t="inlineStr">
        <is>
          <t>ZINC000038674180</t>
        </is>
      </c>
      <c r="C238" t="inlineStr"/>
      <c r="D238">
        <f>HYPERLINK("http://www.matrixscientific.com/053488.html","053488")</f>
        <v/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COc1ccc(Nc2cccc(Cl)n2)cc1</t>
        </is>
      </c>
      <c r="B239" t="inlineStr">
        <is>
          <t>ZINC000042784055</t>
        </is>
      </c>
      <c r="C239" t="inlineStr"/>
      <c r="D239">
        <f>HYPERLINK("http://www.matrixscientific.com/053520.html","053520")</f>
        <v/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CCc1ccc(Nc2ncccc2C(=O)O)cc1</t>
        </is>
      </c>
      <c r="B240" t="inlineStr">
        <is>
          <t>ZINC000013090556</t>
        </is>
      </c>
      <c r="C240">
        <f>HYPERLINK("http://www.combi-blocks.com/cgi-bin/find.cgi?QZ-0336","QZ-0336")</f>
        <v/>
      </c>
      <c r="D240">
        <f>HYPERLINK("http://www.matrixscientific.com/159652.html","159652")</f>
        <v/>
      </c>
      <c r="E240">
        <f>HYPERLINK("https://aksci.com/item_detail.php?cat=HTS003653","HTS003653")</f>
        <v/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Cc1ccc(Nc2cncc(Cl)n2)cc1</t>
        </is>
      </c>
      <c r="B241" t="inlineStr">
        <is>
          <t>ZINC000012819779</t>
        </is>
      </c>
      <c r="C241" t="inlineStr"/>
      <c r="D241">
        <f>HYPERLINK("http://www.matrixscientific.com/053359.html","053359")</f>
        <v/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Cc1ccc(Nc2cc(Cl)ncn2)cc1</t>
        </is>
      </c>
      <c r="B242" t="inlineStr">
        <is>
          <t>ZINC000040422324</t>
        </is>
      </c>
      <c r="C242" t="inlineStr"/>
      <c r="D242">
        <f>HYPERLINK("http://www.matrixscientific.com/053357.html","053357")</f>
        <v/>
      </c>
      <c r="E242">
        <f>HYPERLINK("https://aksci.com/item_detail.php?cat=1634AD","1634AD")</f>
        <v/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Cc1cccc(Nc2cncc(Cl)n2)c1</t>
        </is>
      </c>
      <c r="B243" t="inlineStr">
        <is>
          <t>ZINC000042784023</t>
        </is>
      </c>
      <c r="C243" t="inlineStr"/>
      <c r="D243">
        <f>HYPERLINK("http://www.matrixscientific.com/053333.html","053333")</f>
        <v/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Cn1cnc2cc(Nc3ccccc3)ccc21</t>
        </is>
      </c>
      <c r="B244" t="inlineStr">
        <is>
          <t>ZINC000076208387</t>
        </is>
      </c>
      <c r="C244" t="inlineStr"/>
      <c r="D244" t="inlineStr"/>
      <c r="E244" t="inlineStr"/>
      <c r="F244">
        <f>HYPERLINK("https://www.enaminestore.com/catalog/EN300-1661007","EN300-1661007")</f>
        <v/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CNC(=O)Nc1ccc(Nc2ccccc2)cc1</t>
        </is>
      </c>
      <c r="B245" t="inlineStr">
        <is>
          <t>ZINC000000398208</t>
        </is>
      </c>
      <c r="C245" t="inlineStr"/>
      <c r="D245" t="inlineStr"/>
      <c r="E245" t="inlineStr"/>
      <c r="F245" t="inlineStr"/>
      <c r="G245" t="inlineStr"/>
      <c r="H245">
        <f>HYPERLINK("http://www.sigmaaldrich.com/catalog/search?term=S715727&amp;interface=All&amp;N=0&amp;mode=match%20partialmax&amp;lang=en&amp;region=US&amp;focus=product","S715727")</f>
        <v/>
      </c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Cc1ccc(Nc2ccccc2C(=O)O)cc1</t>
        </is>
      </c>
      <c r="B246" t="inlineStr">
        <is>
          <t>ZINC000005160660</t>
        </is>
      </c>
      <c r="C246" t="inlineStr"/>
      <c r="D246" t="inlineStr"/>
      <c r="E246">
        <f>HYPERLINK("https://aksci.com/item_detail.php?cat=V5197","V5197")</f>
        <v/>
      </c>
      <c r="F246">
        <f>HYPERLINK("https://www.enaminestore.com/catalog/EN300-24040","EN300-24040")</f>
        <v/>
      </c>
      <c r="G246" t="inlineStr"/>
      <c r="H246" t="inlineStr"/>
      <c r="I246" t="inlineStr"/>
      <c r="J246" t="inlineStr"/>
      <c r="K246">
        <f>HYPERLINK("http://aablocks.com/goods/Goods/detail?id=AA001VYD","AA001VYD")</f>
        <v/>
      </c>
      <c r="L246" t="inlineStr"/>
      <c r="M246" t="inlineStr"/>
      <c r="N246" t="inlineStr"/>
    </row>
    <row r="247">
      <c r="A247" t="inlineStr">
        <is>
          <t>CC(=O)c1cnc(Nc2ccccc2)s1</t>
        </is>
      </c>
      <c r="B247" t="inlineStr">
        <is>
          <t>ZINC000001395915</t>
        </is>
      </c>
      <c r="C247" t="inlineStr"/>
      <c r="D247" t="inlineStr"/>
      <c r="E247" t="inlineStr"/>
      <c r="F247" t="inlineStr"/>
      <c r="G247" t="inlineStr"/>
      <c r="H247">
        <f>HYPERLINK("http://www.sigmaaldrich.com/catalog/search?term=CDS018060&amp;interface=All&amp;N=0&amp;mode=match%20partialmax&amp;lang=en&amp;region=US&amp;focus=product","CDS018060")</f>
        <v/>
      </c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CCc1ccc(Nc2nnc(S)s2)cc1</t>
        </is>
      </c>
      <c r="B248" t="inlineStr">
        <is>
          <t>ZINC000003326507</t>
        </is>
      </c>
      <c r="C248" t="inlineStr"/>
      <c r="D248" t="inlineStr"/>
      <c r="E248" t="inlineStr"/>
      <c r="F248">
        <f>HYPERLINK("https://www.enaminestore.com/catalog/EN300-06393","EN300-06393")</f>
        <v/>
      </c>
      <c r="G248" t="inlineStr"/>
      <c r="H248" t="inlineStr"/>
      <c r="I248" t="inlineStr"/>
      <c r="J248" t="inlineStr"/>
      <c r="K248">
        <f>HYPERLINK("http://aablocks.com/goods/Goods/detail?id=AA00IA0C","AA00IA0C")</f>
        <v/>
      </c>
      <c r="L248" t="inlineStr"/>
      <c r="M248" t="inlineStr"/>
      <c r="N248" t="inlineStr"/>
    </row>
    <row r="249">
      <c r="A249" t="inlineStr">
        <is>
          <t>Cc1ccc(Nc2nnc(S)s2)cc1C</t>
        </is>
      </c>
      <c r="B249" t="inlineStr">
        <is>
          <t>ZINC000003263979</t>
        </is>
      </c>
      <c r="C249" t="inlineStr"/>
      <c r="D249" t="inlineStr"/>
      <c r="E249" t="inlineStr"/>
      <c r="F249">
        <f>HYPERLINK("https://www.enaminestore.com/catalog/EN300-03035","EN300-03035")</f>
        <v/>
      </c>
      <c r="G249" t="inlineStr"/>
      <c r="H249" t="inlineStr"/>
      <c r="I249" t="inlineStr"/>
      <c r="J249" t="inlineStr"/>
      <c r="K249">
        <f>HYPERLINK("http://aablocks.com/goods/Goods/detail?id=AA00I7EB","AA00I7EB")</f>
        <v/>
      </c>
      <c r="L249" t="inlineStr"/>
      <c r="M249" t="inlineStr"/>
      <c r="N249" t="inlineStr"/>
    </row>
    <row r="250">
      <c r="A250" t="inlineStr">
        <is>
          <t>Fc1cccc(Nc2ccnc(Cl)n2)c1</t>
        </is>
      </c>
      <c r="B250" t="inlineStr">
        <is>
          <t>ZINC000020358084</t>
        </is>
      </c>
      <c r="C250">
        <f>HYPERLINK("http://www.combi-blocks.com/cgi-bin/find.cgi?QK-1925","QK-1925")</f>
        <v/>
      </c>
      <c r="D250">
        <f>HYPERLINK("http://www.matrixscientific.com/083960.html","083960")</f>
        <v/>
      </c>
      <c r="E250" t="inlineStr"/>
      <c r="F250" t="inlineStr"/>
      <c r="G250">
        <f>HYPERLINK("http://astatechinc.com/CPSResult.php?CRNO=71945","71945")</f>
        <v/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Cc1cccc(C)c1Nc1ncc(C(=O)O)s1</t>
        </is>
      </c>
      <c r="B251" t="inlineStr">
        <is>
          <t>ZINC000156151770</t>
        </is>
      </c>
      <c r="C251" t="inlineStr"/>
      <c r="D251" t="inlineStr"/>
      <c r="E251" t="inlineStr"/>
      <c r="F251">
        <f>HYPERLINK("https://www.enaminestore.com/catalog/EN300-373631","EN300-373631")</f>
        <v/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CC(=O)c1nc(Nc2ccccc2)sc1C</t>
        </is>
      </c>
      <c r="B252" t="inlineStr">
        <is>
          <t>ZINC000003190302</t>
        </is>
      </c>
      <c r="C252" t="inlineStr"/>
      <c r="D252" t="inlineStr"/>
      <c r="E252" t="inlineStr"/>
      <c r="F252" t="inlineStr"/>
      <c r="G252" t="inlineStr"/>
      <c r="H252">
        <f>HYPERLINK("http://www.sigmaaldrich.com/catalog/search?term=R381322&amp;interface=All&amp;N=0&amp;mode=match%20partialmax&amp;lang=en&amp;region=US&amp;focus=product","R381322")</f>
        <v/>
      </c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COc1ccccc1Nc1ccc(C(=O)O)cc1</t>
        </is>
      </c>
      <c r="B253" t="inlineStr">
        <is>
          <t>ZINC000050912936</t>
        </is>
      </c>
      <c r="C253" t="inlineStr"/>
      <c r="D253" t="inlineStr"/>
      <c r="E253" t="inlineStr"/>
      <c r="F253">
        <f>HYPERLINK("https://www.enaminestore.com/catalog/EN300-343408","EN300-343408")</f>
        <v/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Cc1ccc(Nc2ncc(C(=O)O)s2)c(C)c1</t>
        </is>
      </c>
      <c r="B254" t="inlineStr">
        <is>
          <t>ZINC000148758479</t>
        </is>
      </c>
      <c r="C254" t="inlineStr"/>
      <c r="D254" t="inlineStr"/>
      <c r="E254" t="inlineStr"/>
      <c r="F254">
        <f>HYPERLINK("https://www.enaminestore.com/catalog/EN300-383677","EN300-383677")</f>
        <v/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CCOC(=O)c1cccnc1Nc1ccccc1</t>
        </is>
      </c>
      <c r="B255" t="inlineStr">
        <is>
          <t>ZINC000034252801</t>
        </is>
      </c>
      <c r="C255">
        <f>HYPERLINK("http://www.combi-blocks.com/cgi-bin/find.cgi?QD-0427","QD-0427")</f>
        <v/>
      </c>
      <c r="D255" t="inlineStr"/>
      <c r="E255" t="inlineStr"/>
      <c r="F255" t="inlineStr"/>
      <c r="G255">
        <f>HYPERLINK("http://astatechinc.com/CPSResult.php?CRNO=83375","83375")</f>
        <v/>
      </c>
      <c r="H255" t="inlineStr"/>
      <c r="I255" t="inlineStr"/>
      <c r="J255" t="inlineStr"/>
      <c r="K255">
        <f>HYPERLINK("http://aablocks.com/goods/Goods/detail?id=AA000GZM","AA000GZM")</f>
        <v/>
      </c>
      <c r="L255" t="inlineStr"/>
      <c r="M255" t="inlineStr"/>
      <c r="N255" t="inlineStr"/>
    </row>
    <row r="256">
      <c r="A256" t="inlineStr">
        <is>
          <t>Cc1scc(Nc2ccccc2)c1C(=O)O</t>
        </is>
      </c>
      <c r="B256" t="inlineStr">
        <is>
          <t>ZINC000032918944</t>
        </is>
      </c>
      <c r="C256" t="inlineStr"/>
      <c r="D256">
        <f>HYPERLINK("http://www.matrixscientific.com/078747.html","078747")</f>
        <v/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CC(=O)c1sc(Nc2ccccc2)nc1C</t>
        </is>
      </c>
      <c r="B257" t="inlineStr">
        <is>
          <t>ZINC000000153609</t>
        </is>
      </c>
      <c r="C257">
        <f>HYPERLINK("http://www.combi-blocks.com/cgi-bin/find.cgi?QC-7971","QC-7971")</f>
        <v/>
      </c>
      <c r="D257">
        <f>HYPERLINK("http://www.matrixscientific.com/155221.html","155221")</f>
        <v/>
      </c>
      <c r="E257" t="inlineStr"/>
      <c r="F257" t="inlineStr"/>
      <c r="G257" t="inlineStr"/>
      <c r="H257">
        <f>HYPERLINK("http://www.sigmaaldrich.com/catalog/search?term=CDS014129&amp;interface=All&amp;N=0&amp;mode=match%20partialmax&amp;lang=en&amp;region=US&amp;focus=product","CDS014129")</f>
        <v/>
      </c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Cc1ccc(C)c(Nc2ncccc2C(=O)O)c1</t>
        </is>
      </c>
      <c r="B258" t="inlineStr">
        <is>
          <t>ZINC000000930772</t>
        </is>
      </c>
      <c r="C258">
        <f>HYPERLINK("http://www.combi-blocks.com/cgi-bin/find.cgi?QZ-8664","QZ-8664")</f>
        <v/>
      </c>
      <c r="D258">
        <f>HYPERLINK("http://www.matrixscientific.com/159655.html","159655")</f>
        <v/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Cc1cc(Cl)nc(Nc2ccccc2)n1</t>
        </is>
      </c>
      <c r="B259" t="inlineStr">
        <is>
          <t>ZINC000001694368</t>
        </is>
      </c>
      <c r="C259" t="inlineStr"/>
      <c r="D259" t="inlineStr"/>
      <c r="E259" t="inlineStr"/>
      <c r="F259" t="inlineStr"/>
      <c r="G259" t="inlineStr"/>
      <c r="H259">
        <f>HYPERLINK("http://www.sigmaaldrich.com/catalog/search?term=T141771&amp;interface=All&amp;N=0&amp;mode=match%20partialmax&amp;lang=en&amp;region=US&amp;focus=product","T141771")</f>
        <v/>
      </c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Fc1ccc(Nc2ccnc(Cl)n2)cc1</t>
        </is>
      </c>
      <c r="B260" t="inlineStr">
        <is>
          <t>ZINC000020358083</t>
        </is>
      </c>
      <c r="C260" t="inlineStr"/>
      <c r="D260">
        <f>HYPERLINK("http://www.matrixscientific.com/083959.html","083959")</f>
        <v/>
      </c>
      <c r="E260">
        <f>HYPERLINK("https://aksci.com/item_detail.php?cat=2198AB","2198AB")</f>
        <v/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Cc1cccc(Nc2ccccc2C(=O)O)c1</t>
        </is>
      </c>
      <c r="B261" t="inlineStr">
        <is>
          <t>ZINC000005420064</t>
        </is>
      </c>
      <c r="C261" t="inlineStr"/>
      <c r="D261" t="inlineStr"/>
      <c r="E261" t="inlineStr"/>
      <c r="F261" t="inlineStr"/>
      <c r="G261" t="inlineStr"/>
      <c r="H261">
        <f>HYPERLINK("http://www.sigmaaldrich.com/catalog/search?term=PH009774&amp;interface=All&amp;N=0&amp;mode=match%20partialmax&amp;lang=en&amp;region=US&amp;focus=product","PH009774")</f>
        <v/>
      </c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CCOC(=O)c1csc(Nc2ccccc2)n1</t>
        </is>
      </c>
      <c r="B262" t="inlineStr">
        <is>
          <t>ZINC000016687931</t>
        </is>
      </c>
      <c r="C262">
        <f>HYPERLINK("http://www.combi-blocks.com/cgi-bin/find.cgi?QA-7116","QA-7116")</f>
        <v/>
      </c>
      <c r="D262">
        <f>HYPERLINK("http://www.matrixscientific.com/130731.html","130731")</f>
        <v/>
      </c>
      <c r="E262">
        <f>HYPERLINK("https://aksci.com/item_detail.php?cat=4024AJ","4024AJ")</f>
        <v/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Clc1cccc(Nc2ccccc2)n1</t>
        </is>
      </c>
      <c r="B263" t="inlineStr">
        <is>
          <t>ZINC000006665764</t>
        </is>
      </c>
      <c r="C263" t="inlineStr"/>
      <c r="D263">
        <f>HYPERLINK("http://www.matrixscientific.com/053158.html","053158")</f>
        <v/>
      </c>
      <c r="E263">
        <f>HYPERLINK("https://aksci.com/item_detail.php?cat=0781AF","0781AF")</f>
        <v/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COC(=O)c1ccccc1Nc1ccccc1</t>
        </is>
      </c>
      <c r="B264" t="inlineStr">
        <is>
          <t>ZINC000000249317</t>
        </is>
      </c>
      <c r="C264">
        <f>HYPERLINK("http://www.combi-blocks.com/cgi-bin/find.cgi?QP-6691","QP-6691")</f>
        <v/>
      </c>
      <c r="D264" t="inlineStr"/>
      <c r="E264" t="inlineStr"/>
      <c r="F264">
        <f>HYPERLINK("https://www.enaminestore.com/catalog/EN300-6509661","EN300-6509661")</f>
        <v/>
      </c>
      <c r="G264">
        <f>HYPERLINK("http://astatechinc.com/CPSResult.php?CRNO=C74839","C74839")</f>
        <v/>
      </c>
      <c r="H264">
        <f>HYPERLINK("http://www.sigmaaldrich.com/catalog/search?term=PH003436&amp;interface=All&amp;N=0&amp;mode=match%20partialmax&amp;lang=en&amp;region=US&amp;focus=product","PH003436")</f>
        <v/>
      </c>
      <c r="I264" t="inlineStr"/>
      <c r="J264">
        <f>HYPERLINK("http://www.ambeed.com/search/Search.html?keyword=A199957","A199957")</f>
        <v/>
      </c>
      <c r="K264" t="inlineStr"/>
      <c r="L264" t="inlineStr"/>
      <c r="M264" t="inlineStr"/>
      <c r="N264" t="inlineStr"/>
    </row>
    <row r="265">
      <c r="A265" t="inlineStr">
        <is>
          <t>CCOC(=O)c1cnc(Nc2ccccc2)s1</t>
        </is>
      </c>
      <c r="B265" t="inlineStr">
        <is>
          <t>ZINC000012404931</t>
        </is>
      </c>
      <c r="C265" t="inlineStr"/>
      <c r="D265" t="inlineStr"/>
      <c r="E265" t="inlineStr"/>
      <c r="F265">
        <f>HYPERLINK("https://www.enaminestore.com/catalog/EN300-6507875","EN300-6507875")</f>
        <v/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Cc1cccc(Nc2ccc(Cl)nn2)c1</t>
        </is>
      </c>
      <c r="B266" t="inlineStr">
        <is>
          <t>ZINC000021303349</t>
        </is>
      </c>
      <c r="C266" t="inlineStr"/>
      <c r="D266" t="inlineStr"/>
      <c r="E266">
        <f>HYPERLINK("https://aksci.com/item_detail.php?cat=8264AJ","8264AJ")</f>
        <v/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CSc1nccc(Nc2ccccc2)c1C#N</t>
        </is>
      </c>
      <c r="B267" t="inlineStr">
        <is>
          <t>ZINC000000198131</t>
        </is>
      </c>
      <c r="C267" t="inlineStr"/>
      <c r="D267" t="inlineStr"/>
      <c r="E267" t="inlineStr"/>
      <c r="F267" t="inlineStr"/>
      <c r="G267" t="inlineStr"/>
      <c r="H267">
        <f>HYPERLINK("http://www.sigmaaldrich.com/catalog/search?term=R101389&amp;interface=All&amp;N=0&amp;mode=match%20partialmax&amp;lang=en&amp;region=US&amp;focus=product","R101389")</f>
        <v/>
      </c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Cc1csc(Nc2ccc(C#N)cc2)n1</t>
        </is>
      </c>
      <c r="B268" t="inlineStr">
        <is>
          <t>ZINC000019867743</t>
        </is>
      </c>
      <c r="C268" t="inlineStr"/>
      <c r="D268" t="inlineStr"/>
      <c r="E268" t="inlineStr"/>
      <c r="F268">
        <f>HYPERLINK("https://www.enaminestore.com/catalog/EN300-59654","EN300-59654")</f>
        <v/>
      </c>
      <c r="G268" t="inlineStr"/>
      <c r="H268" t="inlineStr"/>
      <c r="I268" t="inlineStr"/>
      <c r="J268" t="inlineStr"/>
      <c r="K268">
        <f>HYPERLINK("http://aablocks.com/goods/Goods/detail?id=AA01A7PE","AA01A7PE")</f>
        <v/>
      </c>
      <c r="L268" t="inlineStr"/>
      <c r="M268" t="inlineStr"/>
      <c r="N268" t="inlineStr"/>
    </row>
    <row r="269">
      <c r="A269" t="inlineStr">
        <is>
          <t>COCc1ccccc1Nc1ccccc1C#N</t>
        </is>
      </c>
      <c r="B269" t="inlineStr">
        <is>
          <t>ZINC000049511690</t>
        </is>
      </c>
      <c r="C269" t="inlineStr"/>
      <c r="D269" t="inlineStr"/>
      <c r="E269" t="inlineStr"/>
      <c r="F269">
        <f>HYPERLINK("https://www.enaminestore.com/catalog/EN300-119072","EN300-119072")</f>
        <v/>
      </c>
      <c r="G269" t="inlineStr"/>
      <c r="H269" t="inlineStr"/>
      <c r="I269" t="inlineStr"/>
      <c r="J269" t="inlineStr"/>
      <c r="K269">
        <f>HYPERLINK("http://aablocks.com/goods/Goods/detail?id=AA01A2RU","AA01A2RU")</f>
        <v/>
      </c>
      <c r="L269" t="inlineStr"/>
      <c r="M269" t="inlineStr"/>
      <c r="N269" t="inlineStr"/>
    </row>
    <row r="270">
      <c r="A270" t="inlineStr">
        <is>
          <t>N#Cc1ccccc1Nc1ccccc1C#N</t>
        </is>
      </c>
      <c r="B270" t="inlineStr">
        <is>
          <t>ZINC000036785934</t>
        </is>
      </c>
      <c r="C270" t="inlineStr"/>
      <c r="D270" t="inlineStr"/>
      <c r="E270" t="inlineStr"/>
      <c r="F270" t="inlineStr"/>
      <c r="G270" t="inlineStr"/>
      <c r="H270">
        <f>HYPERLINK("http://www.sigmaaldrich.com/catalog/search?term=L511269&amp;interface=All&amp;N=0&amp;mode=match%20partialmax&amp;lang=en&amp;region=US&amp;focus=product","L511269")</f>
        <v/>
      </c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COc1ccc(Nc2cccc(C#N)c2)cc1</t>
        </is>
      </c>
      <c r="B271" t="inlineStr">
        <is>
          <t>ZINC000002527497</t>
        </is>
      </c>
      <c r="C271">
        <f>HYPERLINK("http://www.combi-blocks.com/cgi-bin/find.cgi?QA-8925","QA-8925")</f>
        <v/>
      </c>
      <c r="D271" t="inlineStr"/>
      <c r="E271" t="inlineStr"/>
      <c r="F271" t="inlineStr"/>
      <c r="G271">
        <f>HYPERLINK("http://astatechinc.com/CPSResult.php?CRNO=68417","68417")</f>
        <v/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N#Cc1ccc(Nc2cccc(C(=O)O)c2)cc1</t>
        </is>
      </c>
      <c r="B272" t="inlineStr">
        <is>
          <t>ZINC000037453592</t>
        </is>
      </c>
      <c r="C272" t="inlineStr"/>
      <c r="D272" t="inlineStr"/>
      <c r="E272" t="inlineStr"/>
      <c r="F272">
        <f>HYPERLINK("https://www.enaminestore.com/catalog/EN300-80685","EN300-80685")</f>
        <v/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Cc1nsc(Nc2ccccc2)c1C#N</t>
        </is>
      </c>
      <c r="B273" t="inlineStr">
        <is>
          <t>ZINC000001409818</t>
        </is>
      </c>
      <c r="C273" t="inlineStr"/>
      <c r="D273" t="inlineStr"/>
      <c r="E273" t="inlineStr"/>
      <c r="F273">
        <f>HYPERLINK("https://www.enaminestore.com/catalog/EN300-14146","EN300-14146")</f>
        <v/>
      </c>
      <c r="G273" t="inlineStr"/>
      <c r="H273" t="inlineStr"/>
      <c r="I273" t="inlineStr"/>
      <c r="J273" t="inlineStr"/>
      <c r="K273">
        <f>HYPERLINK("http://aablocks.com/goods/Goods/detail?id=AA00IGEK","AA00IGEK")</f>
        <v/>
      </c>
      <c r="L273" t="inlineStr"/>
      <c r="M273" t="inlineStr"/>
      <c r="N273" t="inlineStr"/>
    </row>
    <row r="274">
      <c r="A274" t="inlineStr">
        <is>
          <t>N#CC(C#N)=Cc1ccc(Nc2ccccc2)o1</t>
        </is>
      </c>
      <c r="B274" t="inlineStr">
        <is>
          <t>ZINC000000395936</t>
        </is>
      </c>
      <c r="C274" t="inlineStr"/>
      <c r="D274" t="inlineStr"/>
      <c r="E274" t="inlineStr"/>
      <c r="F274" t="inlineStr"/>
      <c r="G274" t="inlineStr"/>
      <c r="H274">
        <f>HYPERLINK("http://www.sigmaaldrich.com/catalog/search?term=L133124&amp;interface=All&amp;N=0&amp;mode=match%20partialmax&amp;lang=en&amp;region=US&amp;focus=product","L133124")</f>
        <v/>
      </c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CCOc1ccc(Nc2nc(C)c(C)s2)cc1</t>
        </is>
      </c>
      <c r="B275" t="inlineStr">
        <is>
          <t>ZINC000000562968</t>
        </is>
      </c>
      <c r="C275" t="inlineStr"/>
      <c r="D275" t="inlineStr"/>
      <c r="E275" t="inlineStr"/>
      <c r="F275">
        <f>HYPERLINK("https://www.enaminestore.com/catalog/EN300-106039","EN300-106039")</f>
        <v/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Fc1ccc(Nc2ccc(Cl)nc2)cc1</t>
        </is>
      </c>
      <c r="B276" t="inlineStr">
        <is>
          <t>ZINC000071257064</t>
        </is>
      </c>
      <c r="C276">
        <f>HYPERLINK("http://www.combi-blocks.com/cgi-bin/find.cgi?QA-3495","QA-3495")</f>
        <v/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COc1ccc(Nc2ccccc2)c(C)c1</t>
        </is>
      </c>
      <c r="B277" t="inlineStr">
        <is>
          <t>ZINC000000236039</t>
        </is>
      </c>
      <c r="C277" t="inlineStr"/>
      <c r="D277" t="inlineStr"/>
      <c r="E277" t="inlineStr"/>
      <c r="F277" t="inlineStr"/>
      <c r="G277" t="inlineStr"/>
      <c r="H277">
        <f>HYPERLINK("http://www.sigmaaldrich.com/catalog/search?term=CDS010560&amp;interface=All&amp;N=0&amp;mode=match%20partialmax&amp;lang=en&amp;region=US&amp;focus=product","CDS010560")</f>
        <v/>
      </c>
      <c r="I277" t="inlineStr"/>
      <c r="J277" t="inlineStr"/>
      <c r="K277" t="inlineStr"/>
      <c r="L277" t="inlineStr"/>
      <c r="M277" t="inlineStr"/>
      <c r="N277">
        <f>HYPERLINK("https://www.biosynth.com/en/products/life-science/other-biochemicals/products/W-106310","W-106310")</f>
        <v/>
      </c>
    </row>
    <row r="278">
      <c r="A278" t="inlineStr">
        <is>
          <t>Brc1ccc(Nc2ccccc2)nc1</t>
        </is>
      </c>
      <c r="B278" t="inlineStr">
        <is>
          <t>ZINC000038537114</t>
        </is>
      </c>
      <c r="C278">
        <f>HYPERLINK("http://www.combi-blocks.com/cgi-bin/find.cgi?PY-7367","PY-7367")</f>
        <v/>
      </c>
      <c r="D278">
        <f>HYPERLINK("http://www.matrixscientific.com/053157.html","053157")</f>
        <v/>
      </c>
      <c r="E278">
        <f>HYPERLINK("https://aksci.com/item_detail.php?cat=V6559","V6559")</f>
        <v/>
      </c>
      <c r="F278" t="inlineStr"/>
      <c r="G278" t="inlineStr"/>
      <c r="H278" t="inlineStr"/>
      <c r="I278" t="inlineStr"/>
      <c r="J278" t="inlineStr"/>
      <c r="K278">
        <f>HYPERLINK("http://aablocks.com/goods/Goods/detail?id=AA00DCTR","AA00DCTR")</f>
        <v/>
      </c>
      <c r="L278" t="inlineStr"/>
      <c r="M278" t="inlineStr"/>
      <c r="N278" t="inlineStr"/>
    </row>
    <row r="279">
      <c r="A279" t="inlineStr">
        <is>
          <t>CCc1ccc(Nc2ccccc2C(=O)O)cc1</t>
        </is>
      </c>
      <c r="B279" t="inlineStr">
        <is>
          <t>ZINC000034286413</t>
        </is>
      </c>
      <c r="C279" t="inlineStr"/>
      <c r="D279" t="inlineStr"/>
      <c r="E279" t="inlineStr"/>
      <c r="F279" t="inlineStr"/>
      <c r="G279" t="inlineStr"/>
      <c r="H279">
        <f>HYPERLINK("http://www.sigmaaldrich.com/catalog/search?term=PH007252&amp;interface=All&amp;N=0&amp;mode=match%20partialmax&amp;lang=en&amp;region=US&amp;focus=product","PH007252")</f>
        <v/>
      </c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Cc1cccc(Nc2nccs2)c1C</t>
        </is>
      </c>
      <c r="B280" t="inlineStr">
        <is>
          <t>ZINC000000563303</t>
        </is>
      </c>
      <c r="C280" t="inlineStr"/>
      <c r="D280" t="inlineStr"/>
      <c r="E280" t="inlineStr"/>
      <c r="F280">
        <f>HYPERLINK("https://www.enaminestore.com/catalog/EN300-230732","EN300-230732")</f>
        <v/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COC1=Cc2ccccc2Nc2ccccc21</t>
        </is>
      </c>
      <c r="B281" t="inlineStr">
        <is>
          <t>ZINC000002575314</t>
        </is>
      </c>
      <c r="C281">
        <f>HYPERLINK("http://www.combi-blocks.com/cgi-bin/find.cgi?OR-0105","OR-0105")</f>
        <v/>
      </c>
      <c r="D281" t="inlineStr"/>
      <c r="E281">
        <f>HYPERLINK("https://aksci.com/item_detail.php?cat=J10630","J10630")</f>
        <v/>
      </c>
      <c r="F281" t="inlineStr"/>
      <c r="G281">
        <f>HYPERLINK("http://astatechinc.com/CPSResult.php?CRNO=67737","67737")</f>
        <v/>
      </c>
      <c r="H281">
        <f>HYPERLINK("http://www.sigmaaldrich.com/catalog/search?term=CDS025197&amp;interface=All&amp;N=0&amp;mode=match%20partialmax&amp;lang=en&amp;region=US&amp;focus=product","CDS025197")</f>
        <v/>
      </c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Cc1ccccc1Nc1cccc(Cl)n1</t>
        </is>
      </c>
      <c r="B282" t="inlineStr">
        <is>
          <t>ZINC000042784019</t>
        </is>
      </c>
      <c r="C282" t="inlineStr"/>
      <c r="D282">
        <f>HYPERLINK("http://www.matrixscientific.com/053314.html","053314")</f>
        <v/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CCOC(=O)c1cccc(Nc2ccccc2)c1</t>
        </is>
      </c>
      <c r="B283" t="inlineStr">
        <is>
          <t>ZINC000082716421</t>
        </is>
      </c>
      <c r="C283" t="inlineStr"/>
      <c r="D283" t="inlineStr"/>
      <c r="E283" t="inlineStr"/>
      <c r="F283">
        <f>HYPERLINK("https://www.enaminestore.com/catalog/EN300-6511152","EN300-6511152")</f>
        <v/>
      </c>
      <c r="G283">
        <f>HYPERLINK("http://astatechinc.com/CPSResult.php?CRNO=W17267","W17267")</f>
        <v/>
      </c>
      <c r="H283" t="inlineStr"/>
      <c r="I283" t="inlineStr"/>
      <c r="J283" t="inlineStr"/>
      <c r="K283">
        <f>HYPERLINK("http://aablocks.com/goods/Goods/detail?id=AA019EI7","AA019EI7")</f>
        <v/>
      </c>
      <c r="L283" t="inlineStr"/>
      <c r="M283" t="inlineStr"/>
      <c r="N283" t="inlineStr"/>
    </row>
    <row r="284">
      <c r="A284" t="inlineStr">
        <is>
          <t>c1ccc(Nc2ccc3ccccc3n2)cc1</t>
        </is>
      </c>
      <c r="B284" t="inlineStr">
        <is>
          <t>ZINC000001706864</t>
        </is>
      </c>
      <c r="C284" t="inlineStr"/>
      <c r="D284" t="inlineStr"/>
      <c r="E284" t="inlineStr"/>
      <c r="F284" t="inlineStr"/>
      <c r="G284" t="inlineStr"/>
      <c r="H284">
        <f>HYPERLINK("http://www.sigmaaldrich.com/catalog/search?term=PH006814&amp;interface=All&amp;N=0&amp;mode=match%20partialmax&amp;lang=en&amp;region=US&amp;focus=product","PH006814")</f>
        <v/>
      </c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CC(=O)c1cccc(Nc2ccccc2)c1</t>
        </is>
      </c>
      <c r="B285" t="inlineStr">
        <is>
          <t>ZINC000021995840</t>
        </is>
      </c>
      <c r="C285">
        <f>HYPERLINK("http://www.combi-blocks.com/cgi-bin/find.cgi?QN-5252","QN-5252")</f>
        <v/>
      </c>
      <c r="D285" t="inlineStr"/>
      <c r="E285" t="inlineStr"/>
      <c r="F285" t="inlineStr"/>
      <c r="G285">
        <f>HYPERLINK("http://astatechinc.com/CPSResult.php?CRNO=C74223","C74223")</f>
        <v/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COc1ccc2c(c1)Nc1ccccc1S2</t>
        </is>
      </c>
      <c r="B286" t="inlineStr">
        <is>
          <t>ZINC000000035763</t>
        </is>
      </c>
      <c r="C286">
        <f>HYPERLINK("http://www.combi-blocks.com/cgi-bin/find.cgi?QD-3073","QD-3073")</f>
        <v/>
      </c>
      <c r="D286">
        <f>HYPERLINK("http://www.matrixscientific.com/157260.html","157260")</f>
        <v/>
      </c>
      <c r="E286">
        <f>HYPERLINK("https://aksci.com/item_detail.php?cat=F054","F054")</f>
        <v/>
      </c>
      <c r="F286">
        <f>HYPERLINK("https://www.enaminestore.com/catalog/EN300-02378","EN300-02378")</f>
        <v/>
      </c>
      <c r="G286" t="inlineStr"/>
      <c r="H286">
        <f>HYPERLINK("http://www.sigmaaldrich.com/catalog/search?term=S936200|ALDRICH&amp;interface=All&amp;N=0&amp;mode=match%20partialmax&amp;lang=en&amp;region=US&amp;focus=product","S936200")</f>
        <v/>
      </c>
      <c r="I286" t="inlineStr"/>
      <c r="J286" t="inlineStr"/>
      <c r="K286" t="inlineStr"/>
      <c r="L286" t="inlineStr"/>
      <c r="M286" t="inlineStr"/>
      <c r="N286">
        <f>HYPERLINK("https://www.biosynth.com/en/products/life-science/other-biochemicals/products/W-107831","W-107831")</f>
        <v/>
      </c>
    </row>
    <row r="287">
      <c r="A287" t="inlineStr">
        <is>
          <t>Cc1cn2c(n1)-c1ccccc1Nc1ccccc1-2</t>
        </is>
      </c>
      <c r="B287" t="inlineStr">
        <is>
          <t>ZINC000071774242</t>
        </is>
      </c>
      <c r="C287" t="inlineStr"/>
      <c r="D287" t="inlineStr"/>
      <c r="E287" t="inlineStr"/>
      <c r="F287" t="inlineStr"/>
      <c r="G287" t="inlineStr"/>
      <c r="H287">
        <f>HYPERLINK("http://www.sigmaaldrich.com/catalog/search?term=PH009287&amp;interface=All&amp;N=0&amp;mode=match%20partialmax&amp;lang=en&amp;region=US&amp;focus=product","PH009287")</f>
        <v/>
      </c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c1ccc(Nc2nccn2-c2ccccc2)cc1</t>
        </is>
      </c>
      <c r="B288" t="inlineStr">
        <is>
          <t>ZINC000071773332</t>
        </is>
      </c>
      <c r="C288" t="inlineStr"/>
      <c r="D288" t="inlineStr"/>
      <c r="E288" t="inlineStr"/>
      <c r="F288" t="inlineStr"/>
      <c r="G288" t="inlineStr"/>
      <c r="H288">
        <f>HYPERLINK("http://www.sigmaaldrich.com/catalog/search?term=PH007677&amp;interface=All&amp;N=0&amp;mode=match%20partialmax&amp;lang=en&amp;region=US&amp;focus=product","PH007677")</f>
        <v/>
      </c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c1ccc(Nc2cnc3ccccc3c2)cc1</t>
        </is>
      </c>
      <c r="B289" t="inlineStr">
        <is>
          <t>ZINC000038272054</t>
        </is>
      </c>
      <c r="C289" t="inlineStr"/>
      <c r="D289" t="inlineStr"/>
      <c r="E289" t="inlineStr"/>
      <c r="F289">
        <f>HYPERLINK("https://www.enaminestore.com/catalog/EN300-193384","EN300-193384")</f>
        <v/>
      </c>
      <c r="G289" t="inlineStr"/>
      <c r="H289" t="inlineStr"/>
      <c r="I289" t="inlineStr"/>
      <c r="J289" t="inlineStr"/>
      <c r="K289">
        <f>HYPERLINK("http://aablocks.com/goods/Goods/detail?id=AA00J7SI","AA00J7SI")</f>
        <v/>
      </c>
      <c r="L289" t="inlineStr"/>
      <c r="M289" t="inlineStr"/>
      <c r="N289" t="inlineStr"/>
    </row>
    <row r="290">
      <c r="A290" t="inlineStr">
        <is>
          <t>CCOC(=O)c1ccc(Nc2ccccc2)cc1</t>
        </is>
      </c>
      <c r="B290" t="inlineStr">
        <is>
          <t>ZINC000021999247</t>
        </is>
      </c>
      <c r="C290" t="inlineStr"/>
      <c r="D290" t="inlineStr"/>
      <c r="E290" t="inlineStr"/>
      <c r="F290">
        <f>HYPERLINK("https://www.enaminestore.com/catalog/EN300-6730382","EN300-6730382")</f>
        <v/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c1ccc(Nc2nccc3ccccc23)cc1</t>
        </is>
      </c>
      <c r="B291" t="inlineStr">
        <is>
          <t>ZINC000000406447</t>
        </is>
      </c>
      <c r="C291" t="inlineStr"/>
      <c r="D291" t="inlineStr"/>
      <c r="E291" t="inlineStr"/>
      <c r="F291" t="inlineStr"/>
      <c r="G291" t="inlineStr"/>
      <c r="H291">
        <f>HYPERLINK("http://www.sigmaaldrich.com/catalog/search?term=R437115&amp;interface=All&amp;N=0&amp;mode=match%20partialmax&amp;lang=en&amp;region=US&amp;focus=product","R437115")</f>
        <v/>
      </c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Cc1cc(C)c(Nc2ccnc(Cl)n2)c(C)c1</t>
        </is>
      </c>
      <c r="B292" t="inlineStr">
        <is>
          <t>ZINC000115422882</t>
        </is>
      </c>
      <c r="C292" t="inlineStr"/>
      <c r="D292">
        <f>HYPERLINK("http://www.matrixscientific.com/116439.html","116439")</f>
        <v/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Cc1ccc(Nc2cc(C)nc(Cl)n2)c(C)c1</t>
        </is>
      </c>
      <c r="B293" t="inlineStr">
        <is>
          <t>ZINC000052814154</t>
        </is>
      </c>
      <c r="C293" t="inlineStr"/>
      <c r="D293" t="inlineStr"/>
      <c r="E293" t="inlineStr"/>
      <c r="F293">
        <f>HYPERLINK("https://www.enaminestore.com/catalog/EN300-398855","EN300-398855")</f>
        <v/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Clc1cc(Nc2ccccc2)nc(Cl)n1</t>
        </is>
      </c>
      <c r="B294" t="inlineStr">
        <is>
          <t>ZINC000025493720</t>
        </is>
      </c>
      <c r="C294" t="inlineStr"/>
      <c r="D294">
        <f>HYPERLINK("http://www.matrixscientific.com/148593.html","148593")</f>
        <v/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c1ccc(Nc2ccnc3ccccc23)cc1</t>
        </is>
      </c>
      <c r="B295" t="inlineStr">
        <is>
          <t>ZINC000005331864</t>
        </is>
      </c>
      <c r="C295" t="inlineStr"/>
      <c r="D295">
        <f>HYPERLINK("http://www.matrixscientific.com/102620.html","102620")</f>
        <v/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Brc1cccnc1Nc1ccccc1</t>
        </is>
      </c>
      <c r="B296" t="inlineStr">
        <is>
          <t>ZINC000039078850</t>
        </is>
      </c>
      <c r="C296" t="inlineStr"/>
      <c r="D296" t="inlineStr"/>
      <c r="E296" t="inlineStr"/>
      <c r="F296">
        <f>HYPERLINK("https://www.enaminestore.com/catalog/EN300-116954","EN300-116954")</f>
        <v/>
      </c>
      <c r="G296" t="inlineStr"/>
      <c r="H296" t="inlineStr"/>
      <c r="I296" t="inlineStr"/>
      <c r="J296" t="inlineStr"/>
      <c r="K296">
        <f>HYPERLINK("http://aablocks.com/goods/Goods/detail?id=AA01A2B9","AA01A2B9")</f>
        <v/>
      </c>
      <c r="L296" t="inlineStr"/>
      <c r="M296" t="inlineStr"/>
      <c r="N296" t="inlineStr"/>
    </row>
    <row r="297">
      <c r="A297" t="inlineStr">
        <is>
          <t>COc1cc(C)ccc1Nc1ccccc1</t>
        </is>
      </c>
      <c r="B297" t="inlineStr">
        <is>
          <t>ZINC000039109338</t>
        </is>
      </c>
      <c r="C297" t="inlineStr"/>
      <c r="D297" t="inlineStr"/>
      <c r="E297" t="inlineStr"/>
      <c r="F297">
        <f>HYPERLINK("https://www.enaminestore.com/catalog/EN300-227144","EN300-227144")</f>
        <v/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FC(F)(F)c1cc(Nc2ccccc2)ccn1</t>
        </is>
      </c>
      <c r="B298" t="inlineStr">
        <is>
          <t>ZINC000063110831</t>
        </is>
      </c>
      <c r="C298" t="inlineStr"/>
      <c r="D298">
        <f>HYPERLINK("http://www.matrixscientific.com/059665.html","059665")</f>
        <v/>
      </c>
      <c r="E298">
        <f>HYPERLINK("https://aksci.com/item_detail.php?cat=7926AD","7926AD")</f>
        <v/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Fc1ccc(Nc2cccc(Cl)n2)cc1</t>
        </is>
      </c>
      <c r="B299" t="inlineStr">
        <is>
          <t>ZINC000038218838</t>
        </is>
      </c>
      <c r="C299" t="inlineStr"/>
      <c r="D299">
        <f>HYPERLINK("http://www.matrixscientific.com/053495.html","053495")</f>
        <v/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CCc1ccc(Nc2ncc(C(C)=O)s2)cc1</t>
        </is>
      </c>
      <c r="B300" t="inlineStr">
        <is>
          <t>ZINC000012336561</t>
        </is>
      </c>
      <c r="C300" t="inlineStr"/>
      <c r="D300">
        <f>HYPERLINK("http://www.matrixscientific.com/046742.html","046742")</f>
        <v/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COc1ccc(Nc2ccc(C)cc2)cc1</t>
        </is>
      </c>
      <c r="B301" t="inlineStr">
        <is>
          <t>ZINC000022003858</t>
        </is>
      </c>
      <c r="C301">
        <f>HYPERLINK("http://www.combi-blocks.com/cgi-bin/find.cgi?QH-3394","QH-3394")</f>
        <v/>
      </c>
      <c r="D301" t="inlineStr"/>
      <c r="E301">
        <f>HYPERLINK("https://aksci.com/item_detail.php?cat=5130AB","5130AB")</f>
        <v/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Cc1cccc(Nc2ccccc2C(=O)O)c1C</t>
        </is>
      </c>
      <c r="B302" t="inlineStr">
        <is>
          <t>ZINC000000020241</t>
        </is>
      </c>
      <c r="C302">
        <f>HYPERLINK("http://www.combi-blocks.com/cgi-bin/find.cgi?QA-0844","QA-0844")</f>
        <v/>
      </c>
      <c r="D302">
        <f>HYPERLINK("http://www.matrixscientific.com/076071.html","076071")</f>
        <v/>
      </c>
      <c r="E302">
        <f>HYPERLINK("https://aksci.com/item_detail.php?cat=J10968","J10968")</f>
        <v/>
      </c>
      <c r="F302">
        <f>HYPERLINK("https://www.enaminestore.com/catalog/EN300-16695","EN300-16695")</f>
        <v/>
      </c>
      <c r="G302">
        <f>HYPERLINK("http://astatechinc.com/CPSResult.php?CRNO=20554","20554")</f>
        <v/>
      </c>
      <c r="H302">
        <f>HYPERLINK("http://www.sigmaaldrich.com/catalog/search?term=R434833&amp;interface=All&amp;N=0&amp;mode=match%20partialmax&amp;lang=en&amp;region=US&amp;focus=product","R434833")</f>
        <v/>
      </c>
      <c r="I302" t="inlineStr"/>
      <c r="J302" t="inlineStr"/>
      <c r="K302">
        <f>HYPERLINK("http://aablocks.com/goods/Goods/detail?id=AA0039IK","AA0039IK")</f>
        <v/>
      </c>
      <c r="L302" t="inlineStr"/>
      <c r="M302" t="inlineStr"/>
      <c r="N302">
        <f>HYPERLINK("https://www.biosynth.com/en/products/life-science/other-biochemicals/products/W-105113","W-105113")</f>
        <v/>
      </c>
    </row>
    <row r="303">
      <c r="A303" t="inlineStr">
        <is>
          <t>Cc1cccc(Nc2cccc(Cl)n2)c1</t>
        </is>
      </c>
      <c r="B303" t="inlineStr">
        <is>
          <t>ZINC000042784025</t>
        </is>
      </c>
      <c r="C303" t="inlineStr"/>
      <c r="D303">
        <f>HYPERLINK("http://www.matrixscientific.com/053340.html","053340")</f>
        <v/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COc1ccc(Nc2ccc([N+]#N)cc2)cc1</t>
        </is>
      </c>
      <c r="B304" t="inlineStr">
        <is>
          <t>ZINC000004521920</t>
        </is>
      </c>
      <c r="C304">
        <f>HYPERLINK("http://www.combi-blocks.com/cgi-bin/find.cgi?QG-6395","QG-6395")</f>
        <v/>
      </c>
      <c r="D304" t="inlineStr"/>
      <c r="E304">
        <f>HYPERLINK("https://aksci.com/item_detail.php?cat=6106AF","6106AF")</f>
        <v/>
      </c>
      <c r="F304" t="inlineStr"/>
      <c r="G304" t="inlineStr"/>
      <c r="H304">
        <f>HYPERLINK("http://www.sigmaaldrich.com/catalog/search?term=94820&amp;interface=All&amp;N=0&amp;mode=match%20partialmax&amp;lang=en&amp;region=US&amp;focus=product","94820")</f>
        <v/>
      </c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Cc1cc(C)nc(Nc2cccc3ccccc23)n1</t>
        </is>
      </c>
      <c r="B305" t="inlineStr">
        <is>
          <t>ZINC000000128701</t>
        </is>
      </c>
      <c r="C305" t="inlineStr"/>
      <c r="D305" t="inlineStr"/>
      <c r="E305" t="inlineStr"/>
      <c r="F305" t="inlineStr"/>
      <c r="G305" t="inlineStr"/>
      <c r="H305">
        <f>HYPERLINK("http://www.sigmaaldrich.com/catalog/search?term=L118575&amp;interface=All&amp;N=0&amp;mode=match%20partialmax&amp;lang=en&amp;region=US&amp;focus=product","L118575")</f>
        <v/>
      </c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c1cc2c3c(c1)CCc1cccc(c1N3)CC2</t>
        </is>
      </c>
      <c r="B306" t="inlineStr">
        <is>
          <t>ZINC000003131431</t>
        </is>
      </c>
      <c r="C306" t="inlineStr"/>
      <c r="D306" t="inlineStr"/>
      <c r="E306" t="inlineStr"/>
      <c r="F306" t="inlineStr"/>
      <c r="G306" t="inlineStr"/>
      <c r="H306">
        <f>HYPERLINK("http://www.sigmaaldrich.com/catalog/search?term=S276278&amp;interface=All&amp;N=0&amp;mode=match%20partialmax&amp;lang=en&amp;region=US&amp;focus=product","S276278")</f>
        <v/>
      </c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CC(=O)c1ccc(Nc2ccccc2)cc1</t>
        </is>
      </c>
      <c r="B307" t="inlineStr">
        <is>
          <t>ZINC000021999250</t>
        </is>
      </c>
      <c r="C307">
        <f>HYPERLINK("http://www.combi-blocks.com/cgi-bin/find.cgi?QN-4836","QN-4836")</f>
        <v/>
      </c>
      <c r="D307" t="inlineStr"/>
      <c r="E307" t="inlineStr"/>
      <c r="F307" t="inlineStr"/>
      <c r="G307">
        <f>HYPERLINK("http://astatechinc.com/CPSResult.php?CRNO=F17463","F17463")</f>
        <v/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Brc1cccc(Nc2ccccc2)n1</t>
        </is>
      </c>
      <c r="B308" t="inlineStr">
        <is>
          <t>ZINC000000331298</t>
        </is>
      </c>
      <c r="C308" t="inlineStr"/>
      <c r="D308" t="inlineStr"/>
      <c r="E308" t="inlineStr"/>
      <c r="F308" t="inlineStr"/>
      <c r="G308">
        <f>HYPERLINK("http://astatechinc.com/CPSResult.php?CRNO=W12627","W12627")</f>
        <v/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Cc1ccc(Nc2cccc(Cl)n2)cc1</t>
        </is>
      </c>
      <c r="B309" t="inlineStr">
        <is>
          <t>ZINC000042784030</t>
        </is>
      </c>
      <c r="C309" t="inlineStr"/>
      <c r="D309">
        <f>HYPERLINK("http://www.matrixscientific.com/053366.html","053366")</f>
        <v/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COc1cc(Nc2ccccc2)ccc1[N+]#N</t>
        </is>
      </c>
      <c r="B310" t="inlineStr">
        <is>
          <t>ZINC000004520869</t>
        </is>
      </c>
      <c r="C310">
        <f>HYPERLINK("http://www.combi-blocks.com/cgi-bin/find.cgi?QC-5392","QC-5392")</f>
        <v/>
      </c>
      <c r="D310" t="inlineStr"/>
      <c r="E310">
        <f>HYPERLINK("https://aksci.com/item_detail.php?cat=6472AL","6472AL")</f>
        <v/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Brc1cncc(Nc2ccccc2)c1</t>
        </is>
      </c>
      <c r="B311" t="inlineStr">
        <is>
          <t>ZINC000059618223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>
        <f>HYPERLINK("http://www.achemblock.com/catalogsearch/result/?q=N27170","N27170")</f>
        <v/>
      </c>
      <c r="M311" t="inlineStr"/>
      <c r="N311" t="inlineStr"/>
    </row>
    <row r="312">
      <c r="A312" t="inlineStr">
        <is>
          <t>CCOC(=O)c1ccccc1Nc1ccccc1</t>
        </is>
      </c>
      <c r="B312" t="inlineStr">
        <is>
          <t>ZINC000006630731</t>
        </is>
      </c>
      <c r="C312" t="inlineStr"/>
      <c r="D312" t="inlineStr"/>
      <c r="E312" t="inlineStr"/>
      <c r="F312">
        <f>HYPERLINK("https://www.enaminestore.com/catalog/EN300-6510659","EN300-6510659")</f>
        <v/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Cc1cccc(C)c1Nc1nccs1</t>
        </is>
      </c>
      <c r="B313" t="inlineStr">
        <is>
          <t>ZINC000000563302</t>
        </is>
      </c>
      <c r="C313" t="inlineStr"/>
      <c r="D313" t="inlineStr"/>
      <c r="E313">
        <f>HYPERLINK("https://aksci.com/item_detail.php?cat=X5892","X5892")</f>
        <v/>
      </c>
      <c r="F313" t="inlineStr"/>
      <c r="G313">
        <f>HYPERLINK("http://astatechinc.com/CPSResult.php?CRNO=C71940","C71940")</f>
        <v/>
      </c>
      <c r="H313" t="inlineStr"/>
      <c r="I313" t="inlineStr"/>
      <c r="J313">
        <f>HYPERLINK("http://www.ambeed.com/search/Search.html?keyword=A230220","A230220")</f>
        <v/>
      </c>
      <c r="K313" t="inlineStr"/>
      <c r="L313" t="inlineStr"/>
      <c r="M313" t="inlineStr"/>
      <c r="N313" t="inlineStr"/>
    </row>
    <row r="314">
      <c r="A314" t="inlineStr">
        <is>
          <t>Cc1cccc(C)c1Nc1nc2ccccc2[nH]1</t>
        </is>
      </c>
      <c r="B314" t="inlineStr">
        <is>
          <t>ZINC000000003416</t>
        </is>
      </c>
      <c r="C314" t="inlineStr"/>
      <c r="D314" t="inlineStr"/>
      <c r="E314">
        <f>HYPERLINK("https://aksci.com/item_detail.php?cat=3057AH","3057AH")</f>
        <v/>
      </c>
      <c r="F314" t="inlineStr"/>
      <c r="G314">
        <f>HYPERLINK("http://astatechinc.com/CPSResult.php?CRNO=C12588","C12588")</f>
        <v/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Cc1ccccc1Nc1ccccc1C#N</t>
        </is>
      </c>
      <c r="B315" t="inlineStr">
        <is>
          <t>ZINC000020077298</t>
        </is>
      </c>
      <c r="C315" t="inlineStr"/>
      <c r="D315" t="inlineStr"/>
      <c r="E315" t="inlineStr"/>
      <c r="F315">
        <f>HYPERLINK("https://www.enaminestore.com/catalog/EN300-118858","EN300-118858")</f>
        <v/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N#Cc1ccc2c(c1)Nc1ccccc1S2</t>
        </is>
      </c>
      <c r="B316" t="inlineStr">
        <is>
          <t>ZINC000001688610</t>
        </is>
      </c>
      <c r="C316">
        <f>HYPERLINK("http://www.combi-blocks.com/cgi-bin/find.cgi?OR-0829","OR-0829")</f>
        <v/>
      </c>
      <c r="D316">
        <f>HYPERLINK("http://www.matrixscientific.com/093931.html","093931")</f>
        <v/>
      </c>
      <c r="E316">
        <f>HYPERLINK("https://aksci.com/item_detail.php?cat=E913","E913")</f>
        <v/>
      </c>
      <c r="F316" t="inlineStr"/>
      <c r="G316">
        <f>HYPERLINK("http://astatechinc.com/CPSResult.php?CRNO=50665","50665")</f>
        <v/>
      </c>
      <c r="H316" t="inlineStr"/>
      <c r="I316" t="inlineStr"/>
      <c r="J316" t="inlineStr"/>
      <c r="K316" t="inlineStr"/>
      <c r="L316" t="inlineStr"/>
      <c r="M316" t="inlineStr"/>
      <c r="N316">
        <f>HYPERLINK("https://www.biosynth.com/en/products/life-science/other-biochemicals/products/W-106472","W-106472")</f>
        <v/>
      </c>
    </row>
    <row r="317">
      <c r="A317" t="inlineStr">
        <is>
          <t>N#Cc1ccc2c(c1)Sc1ccccc1N2</t>
        </is>
      </c>
      <c r="B317" t="inlineStr">
        <is>
          <t>ZINC000000163339</t>
        </is>
      </c>
      <c r="C317" t="inlineStr"/>
      <c r="D317" t="inlineStr"/>
      <c r="E317">
        <f>HYPERLINK("https://aksci.com/item_detail.php?cat=Y5564","Y5564")</f>
        <v/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ClCc1csc(Nc2ccccc2)n1</t>
        </is>
      </c>
      <c r="B318" t="inlineStr">
        <is>
          <t>ZINC000003245228</t>
        </is>
      </c>
      <c r="C318">
        <f>HYPERLINK("http://www.combi-blocks.com/cgi-bin/find.cgi?QZ-0894","QZ-0894")</f>
        <v/>
      </c>
      <c r="D318">
        <f>HYPERLINK("http://www.matrixscientific.com/139137.html","139137")</f>
        <v/>
      </c>
      <c r="E318">
        <f>HYPERLINK("https://aksci.com/item_detail.php?cat=2517AJ","2517AJ")</f>
        <v/>
      </c>
      <c r="F318">
        <f>HYPERLINK("https://www.enaminestore.com/catalog/EN300-01829","EN300-01829")</f>
        <v/>
      </c>
      <c r="G318" t="inlineStr"/>
      <c r="H318" t="inlineStr"/>
      <c r="I318" t="inlineStr"/>
      <c r="J318" t="inlineStr"/>
      <c r="K318">
        <f>HYPERLINK("http://aablocks.com/goods/Goods/detail?id=AA00CKXG","AA00CKXG")</f>
        <v/>
      </c>
      <c r="L318" t="inlineStr"/>
      <c r="M318" t="inlineStr"/>
      <c r="N318" t="inlineStr"/>
    </row>
    <row r="319">
      <c r="A319" t="inlineStr">
        <is>
          <t>Cc1ccc(Nc2nc(CCl)cs2)cc1</t>
        </is>
      </c>
      <c r="B319" t="inlineStr">
        <is>
          <t>ZINC000003289289</t>
        </is>
      </c>
      <c r="C319">
        <f>HYPERLINK("http://www.combi-blocks.com/cgi-bin/find.cgi?ST-9418","ST-9418")</f>
        <v/>
      </c>
      <c r="D319">
        <f>HYPERLINK("http://www.matrixscientific.com/156991.html","156991")</f>
        <v/>
      </c>
      <c r="E319" t="inlineStr"/>
      <c r="F319">
        <f>HYPERLINK("https://www.enaminestore.com/catalog/EN300-02003","EN300-02003")</f>
        <v/>
      </c>
      <c r="G319" t="inlineStr"/>
      <c r="H319" t="inlineStr"/>
      <c r="I319" t="inlineStr"/>
      <c r="J319" t="inlineStr"/>
      <c r="K319">
        <f>HYPERLINK("http://aablocks.com/goods/Goods/detail?id=AA019GX2","AA019GX2")</f>
        <v/>
      </c>
      <c r="L319" t="inlineStr"/>
      <c r="M319" t="inlineStr"/>
      <c r="N319" t="inlineStr"/>
    </row>
    <row r="320">
      <c r="A320" t="inlineStr">
        <is>
          <t>Cc1ccccc1Nc1nc(CCl)cs1</t>
        </is>
      </c>
      <c r="B320" t="inlineStr">
        <is>
          <t>ZINC000003259348</t>
        </is>
      </c>
      <c r="C320" t="inlineStr"/>
      <c r="D320" t="inlineStr"/>
      <c r="E320" t="inlineStr"/>
      <c r="F320">
        <f>HYPERLINK("https://www.enaminestore.com/catalog/EN300-02008","EN300-02008")</f>
        <v/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Fc1ccc(Nc2nc3ccccc3s2)cc1</t>
        </is>
      </c>
      <c r="B321" t="inlineStr">
        <is>
          <t>ZINC000003243455</t>
        </is>
      </c>
      <c r="C321" t="inlineStr"/>
      <c r="D321" t="inlineStr"/>
      <c r="E321" t="inlineStr"/>
      <c r="F321">
        <f>HYPERLINK("https://www.enaminestore.com/catalog/EN300-02428","EN300-02428")</f>
        <v/>
      </c>
      <c r="G321" t="inlineStr"/>
      <c r="H321">
        <f>HYPERLINK("http://www.sigmaaldrich.com/catalog/search?term=CDS011609&amp;interface=All&amp;N=0&amp;mode=match%20partialmax&amp;lang=en&amp;region=US&amp;focus=product","CDS011609")</f>
        <v/>
      </c>
      <c r="I321" t="inlineStr"/>
      <c r="J321" t="inlineStr"/>
      <c r="K321">
        <f>HYPERLINK("http://aablocks.com/goods/Goods/detail?id=AA007H46","AA007H46")</f>
        <v/>
      </c>
      <c r="L321" t="inlineStr"/>
      <c r="M321" t="inlineStr"/>
      <c r="N321" t="inlineStr"/>
    </row>
    <row r="322">
      <c r="A322" t="inlineStr">
        <is>
          <t>CC(=O)c1ccc2c(c1)Nc1ccccc1S2</t>
        </is>
      </c>
      <c r="B322" t="inlineStr">
        <is>
          <t>ZINC000000119687</t>
        </is>
      </c>
      <c r="C322" t="inlineStr"/>
      <c r="D322" t="inlineStr"/>
      <c r="E322">
        <f>HYPERLINK("https://aksci.com/item_detail.php?cat=L150","L150")</f>
        <v/>
      </c>
      <c r="F322">
        <f>HYPERLINK("https://www.enaminestore.com/catalog/EN300-20519","EN300-20519")</f>
        <v/>
      </c>
      <c r="G322">
        <f>HYPERLINK("http://astatechinc.com/CPSResult.php?CRNO=C10915","C10915")</f>
        <v/>
      </c>
      <c r="H322">
        <f>HYPERLINK("http://www.sigmaaldrich.com/catalog/search?term=175226&amp;interface=All&amp;N=0&amp;mode=match%20partialmax&amp;lang=en&amp;region=US&amp;focus=product","175226")</f>
        <v/>
      </c>
      <c r="I322" t="inlineStr"/>
      <c r="J322">
        <f>HYPERLINK("http://www.ambeed.com/search/Search.html?keyword=A269257","A269257")</f>
        <v/>
      </c>
      <c r="K322">
        <f>HYPERLINK("http://aablocks.com/goods/Goods/detail?id=AA006NE3","AA006NE3")</f>
        <v/>
      </c>
      <c r="L322" t="inlineStr"/>
      <c r="M322" t="inlineStr"/>
      <c r="N322" t="inlineStr"/>
    </row>
    <row r="323">
      <c r="A323" t="inlineStr">
        <is>
          <t>Cc1ccc(Nc2ccnc3ccccc23)cc1</t>
        </is>
      </c>
      <c r="B323" t="inlineStr">
        <is>
          <t>ZINC000005588733</t>
        </is>
      </c>
      <c r="C323" t="inlineStr"/>
      <c r="D323" t="inlineStr"/>
      <c r="E323" t="inlineStr"/>
      <c r="F323" t="inlineStr"/>
      <c r="G323" t="inlineStr"/>
      <c r="H323">
        <f>HYPERLINK("http://www.sigmaaldrich.com/catalog/search?term=CDS019433&amp;interface=All&amp;N=0&amp;mode=match%20partialmax&amp;lang=en&amp;region=US&amp;focus=product","CDS019433")</f>
        <v/>
      </c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Cc1cccc(Nc2nc3ccccc3s2)c1</t>
        </is>
      </c>
      <c r="B324" t="inlineStr">
        <is>
          <t>ZINC000020284874</t>
        </is>
      </c>
      <c r="C324" t="inlineStr"/>
      <c r="D324" t="inlineStr"/>
      <c r="E324" t="inlineStr"/>
      <c r="F324">
        <f>HYPERLINK("https://www.enaminestore.com/catalog/EN300-86857","EN300-86857")</f>
        <v/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c1ccc(Nc2ccc3cccc-3o2)cc1</t>
        </is>
      </c>
      <c r="B325" t="inlineStr">
        <is>
          <t>ZINC000165541746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>
        <f>HYPERLINK("http://aablocks.com/goods/Goods/detail?id=AA005NHT","AA005NHT")</f>
        <v/>
      </c>
      <c r="L325" t="inlineStr"/>
      <c r="M325" t="inlineStr"/>
      <c r="N325" t="inlineStr"/>
    </row>
    <row r="326">
      <c r="A326" t="inlineStr">
        <is>
          <t>Fc1ccc2c(c1)Nc1ccccc1S2</t>
        </is>
      </c>
      <c r="B326" t="inlineStr">
        <is>
          <t>ZINC000001596085</t>
        </is>
      </c>
      <c r="C326">
        <f>HYPERLINK("http://www.combi-blocks.com/cgi-bin/find.cgi?QC-6480","QC-6480")</f>
        <v/>
      </c>
      <c r="D326" t="inlineStr"/>
      <c r="E326" t="inlineStr"/>
      <c r="F326" t="inlineStr"/>
      <c r="G326">
        <f>HYPERLINK("http://astatechinc.com/CPSResult.php?CRNO=83298","83298")</f>
        <v/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Cc1ccc(Nc2nc3ccccc3s2)cc1</t>
        </is>
      </c>
      <c r="B327" t="inlineStr">
        <is>
          <t>ZINC000003623896</t>
        </is>
      </c>
      <c r="C327" t="inlineStr"/>
      <c r="D327" t="inlineStr"/>
      <c r="E327" t="inlineStr"/>
      <c r="F327">
        <f>HYPERLINK("https://www.enaminestore.com/catalog/EN300-12848","EN300-12848")</f>
        <v/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Cc1ccc(Nc2nccc3ccccc23)cc1</t>
        </is>
      </c>
      <c r="B328" t="inlineStr">
        <is>
          <t>ZINC000000406550</t>
        </is>
      </c>
      <c r="C328" t="inlineStr"/>
      <c r="D328" t="inlineStr"/>
      <c r="E328" t="inlineStr"/>
      <c r="F328" t="inlineStr"/>
      <c r="G328" t="inlineStr"/>
      <c r="H328">
        <f>HYPERLINK("http://www.sigmaaldrich.com/catalog/search?term=R439436&amp;interface=All&amp;N=0&amp;mode=match%20partialmax&amp;lang=en&amp;region=US&amp;focus=product","R439436")</f>
        <v/>
      </c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CC(=O)c1ccccc1Nc1cccc(C)c1C</t>
        </is>
      </c>
      <c r="B329" t="inlineStr">
        <is>
          <t>ZINC000147965160</t>
        </is>
      </c>
      <c r="C329" t="inlineStr"/>
      <c r="D329" t="inlineStr"/>
      <c r="E329" t="inlineStr"/>
      <c r="F329">
        <f>HYPERLINK("https://www.enaminestore.com/catalog/EN300-1720846","EN300-1720846")</f>
        <v/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c1ccc(Nc2nc3ccccc3s2)cc1</t>
        </is>
      </c>
      <c r="B330" t="inlineStr">
        <is>
          <t>ZINC000037858826</t>
        </is>
      </c>
      <c r="C330" t="inlineStr"/>
      <c r="D330" t="inlineStr"/>
      <c r="E330" t="inlineStr"/>
      <c r="F330">
        <f>HYPERLINK("https://www.enaminestore.com/catalog/EN300-12846","EN300-12846")</f>
        <v/>
      </c>
      <c r="G330" t="inlineStr"/>
      <c r="H330">
        <f>HYPERLINK("http://www.sigmaaldrich.com/catalog/search?term=R636908&amp;interface=All&amp;N=0&amp;mode=match%20partialmax&amp;lang=en&amp;region=US&amp;focus=product","R636908")</f>
        <v/>
      </c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FC(F)(F)c1cccc(Nc2ccccc2)c1</t>
        </is>
      </c>
      <c r="B331" t="inlineStr">
        <is>
          <t>ZINC000001681986</t>
        </is>
      </c>
      <c r="C331">
        <f>HYPERLINK("http://www.combi-blocks.com/cgi-bin/find.cgi?QV-9868","QV-9868")</f>
        <v/>
      </c>
      <c r="D331" t="inlineStr"/>
      <c r="E331">
        <f>HYPERLINK("https://aksci.com/item_detail.php?cat=M611","M611")</f>
        <v/>
      </c>
      <c r="F331" t="inlineStr"/>
      <c r="G331">
        <f>HYPERLINK("http://astatechinc.com/CPSResult.php?CRNO=O12030","O12030")</f>
        <v/>
      </c>
      <c r="H331">
        <f>HYPERLINK("http://www.sigmaaldrich.com/catalog/search?term=S734268&amp;interface=All&amp;N=0&amp;mode=match%20partialmax&amp;lang=en&amp;region=US&amp;focus=product","S734268")</f>
        <v/>
      </c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Cc1ccccc1Nc1nc2ccccc2s1</t>
        </is>
      </c>
      <c r="B332" t="inlineStr">
        <is>
          <t>ZINC000003243179</t>
        </is>
      </c>
      <c r="C332" t="inlineStr"/>
      <c r="D332" t="inlineStr"/>
      <c r="E332" t="inlineStr"/>
      <c r="F332">
        <f>HYPERLINK("https://www.enaminestore.com/catalog/EN300-02418","EN300-02418")</f>
        <v/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CC1(C)c2ccccc2Nc2ccccc21</t>
        </is>
      </c>
      <c r="B333" t="inlineStr">
        <is>
          <t>ZINC000001669451</t>
        </is>
      </c>
      <c r="C333">
        <f>HYPERLINK("http://www.combi-blocks.com/cgi-bin/find.cgi?QP-8472","QP-8472")</f>
        <v/>
      </c>
      <c r="D333" t="inlineStr"/>
      <c r="E333">
        <f>HYPERLINK("https://aksci.com/item_detail.php?cat=J91047","J91047")</f>
        <v/>
      </c>
      <c r="F333" t="inlineStr"/>
      <c r="G333">
        <f>HYPERLINK("http://astatechinc.com/CPSResult.php?CRNO=F16812","F16812")</f>
        <v/>
      </c>
      <c r="H333" t="inlineStr"/>
      <c r="I333" t="inlineStr"/>
      <c r="J333">
        <f>HYPERLINK("http://www.ambeed.com/search/Search.html?keyword=A275348","A275348")</f>
        <v/>
      </c>
      <c r="K333" t="inlineStr"/>
      <c r="L333" t="inlineStr"/>
      <c r="M333" t="inlineStr"/>
      <c r="N333" t="inlineStr"/>
    </row>
    <row r="334">
      <c r="A334" t="inlineStr">
        <is>
          <t>c1ccc(Nc2snc3ccccc23)cc1</t>
        </is>
      </c>
      <c r="B334" t="inlineStr">
        <is>
          <t>ZINC000071773156</t>
        </is>
      </c>
      <c r="C334" t="inlineStr"/>
      <c r="D334" t="inlineStr"/>
      <c r="E334" t="inlineStr"/>
      <c r="F334" t="inlineStr"/>
      <c r="G334" t="inlineStr"/>
      <c r="H334">
        <f>HYPERLINK("http://www.sigmaaldrich.com/catalog/search?term=PH007388&amp;interface=All&amp;N=0&amp;mode=match%20partialmax&amp;lang=en&amp;region=US&amp;focus=product","PH007388")</f>
        <v/>
      </c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CSc1cccc(Nc2ccccc2)c1</t>
        </is>
      </c>
      <c r="B335" t="inlineStr">
        <is>
          <t>ZINC000005319705</t>
        </is>
      </c>
      <c r="C335" t="inlineStr"/>
      <c r="D335" t="inlineStr"/>
      <c r="E335">
        <f>HYPERLINK("https://aksci.com/item_detail.php?cat=6053AA","6053AA")</f>
        <v/>
      </c>
      <c r="F335" t="inlineStr"/>
      <c r="G335" t="inlineStr"/>
      <c r="H335" t="inlineStr"/>
      <c r="I335" t="inlineStr"/>
      <c r="J335" t="inlineStr"/>
      <c r="K335" t="inlineStr"/>
      <c r="L335" t="inlineStr"/>
      <c r="M335">
        <f>HYPERLINK("http://www.chemimpex.com/category/search/29348/2?filter=&amp;search=29348&amp;type=q&amp;keywordoption=ANY&amp;cid=2&amp;fltrdesc=","29348")</f>
        <v/>
      </c>
      <c r="N335" t="inlineStr"/>
    </row>
    <row r="336">
      <c r="A336" t="inlineStr">
        <is>
          <t>Cc1ccccc1Nc1cccc(C)c1C</t>
        </is>
      </c>
      <c r="B336" t="inlineStr">
        <is>
          <t>ZINC000200199102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>
        <f>HYPERLINK("http://www.achemblock.com/catalogsearch/result/?q=P41561","P41561")</f>
        <v/>
      </c>
      <c r="M336" t="inlineStr"/>
      <c r="N336" t="inlineStr"/>
    </row>
    <row r="337">
      <c r="A337" t="inlineStr">
        <is>
          <t>Cc1ccc(C)c(Nc2ccccc2C)c1</t>
        </is>
      </c>
      <c r="B337" t="inlineStr">
        <is>
          <t>ZINC000091363891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>
        <f>HYPERLINK("http://www.achemblock.com/catalogsearch/result/?q=P34873","P34873")</f>
        <v/>
      </c>
      <c r="M337" t="inlineStr"/>
      <c r="N337" t="inlineStr"/>
    </row>
    <row r="338">
      <c r="A338" t="inlineStr">
        <is>
          <t>Cc1cccc(Nc2ccc(N=C=S)cc2)c1</t>
        </is>
      </c>
      <c r="B338" t="inlineStr">
        <is>
          <t>ZINC000019093559</t>
        </is>
      </c>
      <c r="C338" t="inlineStr"/>
      <c r="D338" t="inlineStr"/>
      <c r="E338" t="inlineStr"/>
      <c r="F338" t="inlineStr"/>
      <c r="G338" t="inlineStr"/>
      <c r="H338">
        <f>HYPERLINK("http://www.sigmaaldrich.com/catalog/search?term=CBR01143&amp;interface=All&amp;N=0&amp;mode=match%20partialmax&amp;lang=en&amp;region=US&amp;focus=product","CBR01143")</f>
        <v/>
      </c>
      <c r="I338" t="inlineStr"/>
      <c r="J338" t="inlineStr"/>
      <c r="K338">
        <f>HYPERLINK("http://aablocks.com/goods/Goods/detail?id=AA00BER3","AA00BER3")</f>
        <v/>
      </c>
      <c r="L338" t="inlineStr"/>
      <c r="M338" t="inlineStr"/>
      <c r="N338" t="inlineStr"/>
    </row>
    <row r="339">
      <c r="A339" t="inlineStr">
        <is>
          <t>S=C=Nc1ccc(Nc2ccccc2)cc1</t>
        </is>
      </c>
      <c r="B339" t="inlineStr">
        <is>
          <t>ZINC000004343409</t>
        </is>
      </c>
      <c r="C339">
        <f>HYPERLINK("http://www.combi-blocks.com/cgi-bin/find.cgi?QZ-3023","QZ-3023")</f>
        <v/>
      </c>
      <c r="D339">
        <f>HYPERLINK("http://www.matrixscientific.com/063216.html","063216")</f>
        <v/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Cc1ccc(Nc2ccc(C)c(C)c2)cc1C</t>
        </is>
      </c>
      <c r="B340" t="inlineStr">
        <is>
          <t>ZINC000001045362</t>
        </is>
      </c>
      <c r="C340">
        <f>HYPERLINK("http://www.combi-blocks.com/cgi-bin/find.cgi?ST-7261","ST-7261")</f>
        <v/>
      </c>
      <c r="D340">
        <f>HYPERLINK("http://www.matrixscientific.com/145366.html","145366")</f>
        <v/>
      </c>
      <c r="E340">
        <f>HYPERLINK("https://aksci.com/item_detail.php?cat=W6940","W6940")</f>
        <v/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>
        <f>HYPERLINK("https://www.biosynth.com/en/products/life-science/other-biochemicals/products/Q-102382","Q-102382")</f>
        <v/>
      </c>
    </row>
    <row r="341">
      <c r="A341" t="inlineStr">
        <is>
          <t>CSc1ccc2c(c1)Nc1ccccc1S2</t>
        </is>
      </c>
      <c r="B341" t="inlineStr">
        <is>
          <t>ZINC000000404169</t>
        </is>
      </c>
      <c r="C341">
        <f>HYPERLINK("http://www.combi-blocks.com/cgi-bin/find.cgi?QE-7799","QE-7799")</f>
        <v/>
      </c>
      <c r="D341">
        <f>HYPERLINK("http://www.matrixscientific.com/094132.html","094132")</f>
        <v/>
      </c>
      <c r="E341">
        <f>HYPERLINK("https://aksci.com/item_detail.php?cat=L312","L312")</f>
        <v/>
      </c>
      <c r="F341">
        <f>HYPERLINK("https://www.enaminestore.com/catalog/EN300-21194","EN300-21194")</f>
        <v/>
      </c>
      <c r="G341" t="inlineStr"/>
      <c r="H341">
        <f>HYPERLINK("http://www.sigmaaldrich.com/catalog/search?term=552925&amp;interface=All&amp;N=0&amp;mode=match%20partialmax&amp;lang=en&amp;region=US&amp;focus=product","552925")</f>
        <v/>
      </c>
      <c r="I341" t="inlineStr"/>
      <c r="J341" t="inlineStr"/>
      <c r="K341" t="inlineStr"/>
      <c r="L341" t="inlineStr"/>
      <c r="M341" t="inlineStr"/>
      <c r="N341">
        <f>HYPERLINK("https://www.biosynth.com/en/products/life-science/other-biochemicals/products/W-104364","W-104364")</f>
        <v/>
      </c>
    </row>
    <row r="342">
      <c r="A342" t="inlineStr">
        <is>
          <t>Cc1ccc(Nc2cccc3ccccc23)cc1</t>
        </is>
      </c>
      <c r="B342" t="inlineStr">
        <is>
          <t>ZINC000000976489</t>
        </is>
      </c>
      <c r="C342">
        <f>HYPERLINK("http://www.combi-blocks.com/cgi-bin/find.cgi?QF-5879","QF-5879")</f>
        <v/>
      </c>
      <c r="D342" t="inlineStr"/>
      <c r="E342">
        <f>HYPERLINK("https://aksci.com/item_detail.php?cat=4308AL","4308AL")</f>
        <v/>
      </c>
      <c r="F342" t="inlineStr"/>
      <c r="G342">
        <f>HYPERLINK("http://astatechinc.com/CPSResult.php?CRNO=T72747","T72747")</f>
        <v/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c1ccc(Nc2cccc3ccccc23)cc1</t>
        </is>
      </c>
      <c r="B343" t="inlineStr">
        <is>
          <t>ZINC000001513833</t>
        </is>
      </c>
      <c r="C343" t="inlineStr"/>
      <c r="D343" t="inlineStr"/>
      <c r="E343">
        <f>HYPERLINK("https://aksci.com/item_detail.php?cat=V0403","V0403")</f>
        <v/>
      </c>
      <c r="F343" t="inlineStr"/>
      <c r="G343">
        <f>HYPERLINK("http://astatechinc.com/CPSResult.php?CRNO=53110","53110")</f>
        <v/>
      </c>
      <c r="H343">
        <f>HYPERLINK("http://www.sigmaaldrich.com/catalog/search?term=104043&amp;interface=All&amp;N=0&amp;mode=match%20partialmax&amp;lang=en&amp;region=US&amp;focus=product","104043")</f>
        <v/>
      </c>
      <c r="I343">
        <f>HYPERLINK("https://www.alfa.com/en/catalog/H27615","H27615")</f>
        <v/>
      </c>
      <c r="J343" t="inlineStr"/>
      <c r="K343" t="inlineStr"/>
      <c r="L343" t="inlineStr"/>
      <c r="M343" t="inlineStr"/>
      <c r="N343">
        <f>HYPERLINK("https://www.biosynth.com/en/products/life-science/other-biochemicals/products/W-100333","W-100333")</f>
        <v/>
      </c>
    </row>
    <row r="344">
      <c r="A344" t="inlineStr">
        <is>
          <t>Cc1ccc(Nc2ccc(C(C)C)cc2)cc1</t>
        </is>
      </c>
      <c r="B344" t="inlineStr">
        <is>
          <t>ZINC000016697619</t>
        </is>
      </c>
      <c r="C344">
        <f>HYPERLINK("http://www.combi-blocks.com/cgi-bin/find.cgi?OR-8710","OR-8710")</f>
        <v/>
      </c>
      <c r="D344">
        <f>HYPERLINK("http://www.matrixscientific.com/131914.html","131914")</f>
        <v/>
      </c>
      <c r="E344">
        <f>HYPERLINK("https://aksci.com/item_detail.php?cat=W6510","W6510")</f>
        <v/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>
        <f>HYPERLINK("https://www.biosynth.com/en/products/life-science/other-biochemicals/products/Q-102392","Q-102392")</f>
        <v/>
      </c>
    </row>
    <row r="345">
      <c r="A345" t="inlineStr">
        <is>
          <t>Cc1ccc(Nc2ccc3ccccc3c2)cc1</t>
        </is>
      </c>
      <c r="B345" t="inlineStr">
        <is>
          <t>ZINC000001848274</t>
        </is>
      </c>
      <c r="C345">
        <f>HYPERLINK("http://www.combi-blocks.com/cgi-bin/find.cgi?QF-3531","QF-3531")</f>
        <v/>
      </c>
      <c r="D345" t="inlineStr"/>
      <c r="E345">
        <f>HYPERLINK("https://aksci.com/item_detail.php?cat=8364AL","8364AL")</f>
        <v/>
      </c>
      <c r="F345" t="inlineStr"/>
      <c r="G345">
        <f>HYPERLINK("http://astatechinc.com/CPSResult.php?CRNO=T72766","T72766")</f>
        <v/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Cc1ccc(Nc2ccc(C)cc2C)c(C)c1</t>
        </is>
      </c>
      <c r="B346" t="inlineStr">
        <is>
          <t>ZINC000066348648</t>
        </is>
      </c>
      <c r="C346">
        <f>HYPERLINK("http://www.combi-blocks.com/cgi-bin/find.cgi?QN-5108","QN-5108")</f>
        <v/>
      </c>
      <c r="D346" t="inlineStr"/>
      <c r="E346">
        <f>HYPERLINK("https://aksci.com/item_detail.php?cat=X4112","X4112")</f>
        <v/>
      </c>
      <c r="F346" t="inlineStr"/>
      <c r="G346">
        <f>HYPERLINK("http://astatechinc.com/CPSResult.php?CRNO=F12514","F12514")</f>
        <v/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CC(C)(C)c1ccc(Nc2ccccc2)cc1</t>
        </is>
      </c>
      <c r="B347" t="inlineStr">
        <is>
          <t>ZINC000021995825</t>
        </is>
      </c>
      <c r="C347">
        <f>HYPERLINK("http://www.combi-blocks.com/cgi-bin/find.cgi?QB-8265","QB-8265")</f>
        <v/>
      </c>
      <c r="D347" t="inlineStr"/>
      <c r="E347">
        <f>HYPERLINK("https://aksci.com/item_detail.php?cat=X4449","X4449")</f>
        <v/>
      </c>
      <c r="F347" t="inlineStr"/>
      <c r="G347">
        <f>HYPERLINK("http://astatechinc.com/CPSResult.php?CRNO=30417","30417")</f>
        <v/>
      </c>
      <c r="H347" t="inlineStr"/>
      <c r="I347" t="inlineStr"/>
      <c r="J347" t="inlineStr"/>
      <c r="K347">
        <f>HYPERLINK("http://aablocks.com/goods/Goods/detail?id=AA003LZD","AA003LZD")</f>
        <v/>
      </c>
      <c r="L347" t="inlineStr"/>
      <c r="M347" t="inlineStr"/>
      <c r="N347" t="inlineStr"/>
    </row>
    <row r="348">
      <c r="A348" t="inlineStr">
        <is>
          <t>c1ccc(Nc2ccc3ccccc3c2)cc1</t>
        </is>
      </c>
      <c r="B348" t="inlineStr">
        <is>
          <t>ZINC000001669780</t>
        </is>
      </c>
      <c r="C348">
        <f>HYPERLINK("http://www.combi-blocks.com/cgi-bin/find.cgi?QB-4678","QB-4678")</f>
        <v/>
      </c>
      <c r="D348" t="inlineStr"/>
      <c r="E348">
        <f>HYPERLINK("https://aksci.com/item_detail.php?cat=V0380","V0380")</f>
        <v/>
      </c>
      <c r="F348">
        <f>HYPERLINK("https://www.enaminestore.com/catalog/EN300-18026","EN300-18026")</f>
        <v/>
      </c>
      <c r="G348" t="inlineStr"/>
      <c r="H348">
        <f>HYPERLINK("http://www.sigmaaldrich.com/catalog/search?term=178055&amp;interface=All&amp;N=0&amp;mode=match%20partialmax&amp;lang=en&amp;region=US&amp;focus=product","178055")</f>
        <v/>
      </c>
      <c r="I348" t="inlineStr"/>
      <c r="J348" t="inlineStr"/>
      <c r="K348" t="inlineStr"/>
      <c r="L348" t="inlineStr"/>
      <c r="M348" t="inlineStr"/>
      <c r="N348">
        <f>HYPERLINK("https://www.biosynth.com/en/products/life-science/other-biochemicals/products/W-108255","W-108255")</f>
        <v/>
      </c>
    </row>
    <row r="349">
      <c r="A349" t="inlineStr">
        <is>
          <t>Cc1cccc(C)c1Nc1c(C)cccc1C</t>
        </is>
      </c>
      <c r="B349" t="inlineStr">
        <is>
          <t>ZINC000003096953</t>
        </is>
      </c>
      <c r="C349">
        <f>HYPERLINK("http://www.combi-blocks.com/cgi-bin/find.cgi?QC-3013","QC-3013")</f>
        <v/>
      </c>
      <c r="D349" t="inlineStr"/>
      <c r="E349">
        <f>HYPERLINK("https://aksci.com/item_detail.php?cat=X6094","X6094")</f>
        <v/>
      </c>
      <c r="F349" t="inlineStr"/>
      <c r="G349">
        <f>HYPERLINK("http://astatechinc.com/CPSResult.php?CRNO=S10325","S10325")</f>
        <v/>
      </c>
      <c r="H349">
        <f>HYPERLINK("http://www.sigmaaldrich.com/catalog/search?term=S32388&amp;interface=All&amp;N=0&amp;mode=match%20partialmax&amp;lang=en&amp;region=US&amp;focus=product","S32388")</f>
        <v/>
      </c>
      <c r="I349" t="inlineStr"/>
      <c r="J349">
        <f>HYPERLINK("http://www.ambeed.com/search/Search.html?keyword=A138327","A138327")</f>
        <v/>
      </c>
      <c r="K349" t="inlineStr"/>
      <c r="L349" t="inlineStr"/>
      <c r="M349" t="inlineStr"/>
      <c r="N349" t="inlineStr"/>
    </row>
    <row r="350">
      <c r="A350" t="inlineStr">
        <is>
          <t>c1ccc(Nc2ccc(-c3ccccc3)cc2)cc1</t>
        </is>
      </c>
      <c r="B350" t="inlineStr">
        <is>
          <t>ZINC000039392021</t>
        </is>
      </c>
      <c r="C350">
        <f>HYPERLINK("http://www.combi-blocks.com/cgi-bin/find.cgi?QF-3813","QF-3813")</f>
        <v/>
      </c>
      <c r="D350">
        <f>HYPERLINK("http://www.matrixscientific.com/090708.html","090708")</f>
        <v/>
      </c>
      <c r="E350">
        <f>HYPERLINK("https://aksci.com/item_detail.php?cat=W5408","W5408")</f>
        <v/>
      </c>
      <c r="F350" t="inlineStr"/>
      <c r="G350">
        <f>HYPERLINK("http://astatechinc.com/CPSResult.php?CRNO=11183","11183")</f>
        <v/>
      </c>
      <c r="H350" t="inlineStr"/>
      <c r="I350">
        <f>HYPERLINK("https://www.alfa.com/en/catalog/H64808","H64808")</f>
        <v/>
      </c>
      <c r="J350">
        <f>HYPERLINK("http://www.ambeed.com/search/Search.html?keyword=A164426","A164426")</f>
        <v/>
      </c>
      <c r="K350" t="inlineStr"/>
      <c r="L350" t="inlineStr"/>
      <c r="M350" t="inlineStr"/>
      <c r="N350" t="inlineStr"/>
    </row>
    <row r="351">
      <c r="A351" t="inlineStr">
        <is>
          <t>c1ccc(Nc2cccc(-c3ccccc3)c2)cc1</t>
        </is>
      </c>
      <c r="B351" t="inlineStr">
        <is>
          <t>ZINC000044069168</t>
        </is>
      </c>
      <c r="C351">
        <f>HYPERLINK("http://www.combi-blocks.com/cgi-bin/find.cgi?QF-1160","QF-1160")</f>
        <v/>
      </c>
      <c r="D351" t="inlineStr"/>
      <c r="E351">
        <f>HYPERLINK("https://aksci.com/item_detail.php?cat=8657AL","8657AL")</f>
        <v/>
      </c>
      <c r="F351" t="inlineStr"/>
      <c r="G351">
        <f>HYPERLINK("http://astatechinc.com/CPSResult.php?CRNO=74823","74823")</f>
        <v/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c1ccc2c(c1)Nc1ccccc1-c1ccccc1-2</t>
        </is>
      </c>
      <c r="B352" t="inlineStr">
        <is>
          <t>ZINC000034456269</t>
        </is>
      </c>
      <c r="C352" t="inlineStr"/>
      <c r="D352" t="inlineStr"/>
      <c r="E352" t="inlineStr"/>
      <c r="F352" t="inlineStr"/>
      <c r="G352" t="inlineStr"/>
      <c r="H352">
        <f>HYPERLINK("http://www.sigmaaldrich.com/catalog/search?term=UPL0028&amp;interface=All&amp;N=0&amp;mode=match%20partialmax&amp;lang=en&amp;region=US&amp;focus=product","UPL0028")</f>
        <v/>
      </c>
      <c r="I352" t="inlineStr"/>
      <c r="J352" t="inlineStr"/>
      <c r="K352" t="inlineStr"/>
      <c r="L352">
        <f>HYPERLINK("http://www.achemblock.com/catalogsearch/result/?q=P43306","P43306")</f>
        <v/>
      </c>
      <c r="M352" t="inlineStr"/>
      <c r="N352" t="inlineStr"/>
    </row>
    <row r="353">
      <c r="A353" t="inlineStr">
        <is>
          <t>CCn1c(=O)[nH]c(Nc2ccccc2)c(NC=O)c1=O</t>
        </is>
      </c>
      <c r="B353" t="inlineStr">
        <is>
          <t>ZINC000000330343</t>
        </is>
      </c>
      <c r="C353" t="inlineStr"/>
      <c r="D353" t="inlineStr"/>
      <c r="E353" t="inlineStr"/>
      <c r="F353" t="inlineStr"/>
      <c r="G353" t="inlineStr"/>
      <c r="H353">
        <f>HYPERLINK("http://www.sigmaaldrich.com/catalog/search?term=CDS013092&amp;interface=All&amp;N=0&amp;mode=match%20partialmax&amp;lang=en&amp;region=US&amp;focus=product","CDS013092")</f>
        <v/>
      </c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COC(=O)c1ccsc1Nc1c(OC)c(=O)c1=O</t>
        </is>
      </c>
      <c r="B354" t="inlineStr">
        <is>
          <t>ZINC000252536350</t>
        </is>
      </c>
      <c r="C354">
        <f>HYPERLINK("http://www.combi-blocks.com/cgi-bin/find.cgi?QY-4427","QY-4427")</f>
        <v/>
      </c>
      <c r="D354">
        <f>HYPERLINK("http://www.matrixscientific.com/159696.html","159696")</f>
        <v/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COc1nn(C)cc1Nc1nc(F)nc2[nH]cnc12</t>
        </is>
      </c>
      <c r="B355" t="inlineStr">
        <is>
          <t>ZINC000584590472</t>
        </is>
      </c>
      <c r="C355" t="inlineStr"/>
      <c r="D355" t="inlineStr"/>
      <c r="E355" t="inlineStr"/>
      <c r="F355" t="inlineStr"/>
      <c r="G355">
        <f>HYPERLINK("http://astatechinc.com/CPSResult.php?CRNO=C92347","C92347")</f>
        <v/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Cc1ccnc(Nc2nc(CC(=O)O)cs2)n1</t>
        </is>
      </c>
      <c r="B356" t="inlineStr">
        <is>
          <t>ZINC000048981005</t>
        </is>
      </c>
      <c r="C356" t="inlineStr"/>
      <c r="D356" t="inlineStr"/>
      <c r="E356" t="inlineStr"/>
      <c r="F356">
        <f>HYPERLINK("https://www.enaminestore.com/catalog/EN300-236757","EN300-236757")</f>
        <v/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CS(=O)(=O)c1ccc(Nc2nc(C(=O)O)cs2)cc1</t>
        </is>
      </c>
      <c r="B357" t="inlineStr">
        <is>
          <t>ZINC000026423396</t>
        </is>
      </c>
      <c r="C357" t="inlineStr"/>
      <c r="D357">
        <f>HYPERLINK("http://www.matrixscientific.com/137823.html","137823")</f>
        <v/>
      </c>
      <c r="E357" t="inlineStr"/>
      <c r="F357">
        <f>HYPERLINK("https://www.enaminestore.com/catalog/EN300-239299","EN300-239299")</f>
        <v/>
      </c>
      <c r="G357" t="inlineStr"/>
      <c r="H357" t="inlineStr"/>
      <c r="I357" t="inlineStr"/>
      <c r="J357" t="inlineStr"/>
      <c r="K357" t="inlineStr"/>
      <c r="L357">
        <f>HYPERLINK("http://www.achemblock.com/catalogsearch/result/?q=L20477","L20477")</f>
        <v/>
      </c>
      <c r="M357" t="inlineStr"/>
      <c r="N357" t="inlineStr"/>
    </row>
    <row r="358">
      <c r="A358" t="inlineStr">
        <is>
          <t>Cc1cc(Nc2ccccc2C(=O)O)n2ncnc2n1</t>
        </is>
      </c>
      <c r="B358" t="inlineStr">
        <is>
          <t>ZINC000017159915</t>
        </is>
      </c>
      <c r="C358" t="inlineStr"/>
      <c r="D358">
        <f>HYPERLINK("http://www.matrixscientific.com/032699.html","032699")</f>
        <v/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Cc1cc(C)nc(Nc2nc(CC(=O)O)cs2)n1</t>
        </is>
      </c>
      <c r="B359" t="inlineStr">
        <is>
          <t>ZINC000048981008</t>
        </is>
      </c>
      <c r="C359" t="inlineStr"/>
      <c r="D359" t="inlineStr"/>
      <c r="E359" t="inlineStr"/>
      <c r="F359">
        <f>HYPERLINK("https://www.enaminestore.com/catalog/EN300-236758","EN300-236758")</f>
        <v/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Cc1cc(C)nc(Nc2nc(C(=O)O)cs2)n1</t>
        </is>
      </c>
      <c r="B360" t="inlineStr">
        <is>
          <t>ZINC000048985067</t>
        </is>
      </c>
      <c r="C360" t="inlineStr"/>
      <c r="D360">
        <f>HYPERLINK("http://www.matrixscientific.com/137041.html","137041")</f>
        <v/>
      </c>
      <c r="E360" t="inlineStr"/>
      <c r="F360">
        <f>HYPERLINK("https://www.enaminestore.com/catalog/EN300-235207","EN300-235207")</f>
        <v/>
      </c>
      <c r="G360" t="inlineStr"/>
      <c r="H360" t="inlineStr"/>
      <c r="I360" t="inlineStr"/>
      <c r="J360" t="inlineStr"/>
      <c r="K360" t="inlineStr"/>
      <c r="L360">
        <f>HYPERLINK("http://www.achemblock.com/catalogsearch/result/?q=L20431","L20431")</f>
        <v/>
      </c>
      <c r="M360" t="inlineStr"/>
      <c r="N360" t="inlineStr"/>
    </row>
    <row r="361">
      <c r="A361" t="inlineStr">
        <is>
          <t>COc1ccc(Nc2nc(C)cc(=O)[nH]2)cc1OC</t>
        </is>
      </c>
      <c r="B361" t="inlineStr">
        <is>
          <t>ZINC000032919427</t>
        </is>
      </c>
      <c r="C361" t="inlineStr"/>
      <c r="D361">
        <f>HYPERLINK("http://www.matrixscientific.com/079618.html","079618")</f>
        <v/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Cn1ncc2c(Nc3cccc(C(=O)O)c3)ncnc21</t>
        </is>
      </c>
      <c r="B362" t="inlineStr">
        <is>
          <t>ZINC000009186682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>
        <f>HYPERLINK("http://aablocks.com/goods/Goods/detail?id=AA007B2R","AA007B2R")</f>
        <v/>
      </c>
      <c r="L362" t="inlineStr"/>
      <c r="M362" t="inlineStr"/>
      <c r="N362" t="inlineStr"/>
    </row>
    <row r="363">
      <c r="A363" t="inlineStr">
        <is>
          <t>CCOC(=O)c1cnc(Nc2nc3ccccc3[nH]2)[nH]c1=O</t>
        </is>
      </c>
      <c r="B363" t="inlineStr">
        <is>
          <t>ZINC000090470861</t>
        </is>
      </c>
      <c r="C363" t="inlineStr"/>
      <c r="D363" t="inlineStr"/>
      <c r="E363">
        <f>HYPERLINK("https://aksci.com/item_detail.php?cat=6656AJ","6656AJ")</f>
        <v/>
      </c>
      <c r="F363" t="inlineStr"/>
      <c r="G363">
        <f>HYPERLINK("http://astatechinc.com/CPSResult.php?CRNO=AC5135","AC5135")</f>
        <v/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Cc1nc(Nc2ccc(F)cn2)sc1C(=O)O</t>
        </is>
      </c>
      <c r="B364" t="inlineStr">
        <is>
          <t>ZINC000057352098</t>
        </is>
      </c>
      <c r="C364" t="inlineStr"/>
      <c r="D364" t="inlineStr"/>
      <c r="E364" t="inlineStr"/>
      <c r="F364">
        <f>HYPERLINK("https://www.enaminestore.com/catalog/EN300-265020","EN300-265020")</f>
        <v/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Cc1c2ncnc(Nc3cccc(C(=O)O)c3)c2nn1C</t>
        </is>
      </c>
      <c r="B365" t="inlineStr">
        <is>
          <t>ZINC000074941309</t>
        </is>
      </c>
      <c r="C365">
        <f>HYPERLINK("http://www.combi-blocks.com/cgi-bin/find.cgi?QY-5160","QY-5160")</f>
        <v/>
      </c>
      <c r="D365">
        <f>HYPERLINK("http://www.matrixscientific.com/077745.html","077745")</f>
        <v/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CCOC(=O)c1c(C(=O)O)n[nH]c1Nc1ccccc1</t>
        </is>
      </c>
      <c r="B366" t="inlineStr">
        <is>
          <t>ZINC000006693793</t>
        </is>
      </c>
      <c r="C366" t="inlineStr"/>
      <c r="D366" t="inlineStr"/>
      <c r="E366" t="inlineStr"/>
      <c r="F366" t="inlineStr"/>
      <c r="G366" t="inlineStr"/>
      <c r="H366">
        <f>HYPERLINK("http://www.sigmaaldrich.com/catalog/search?term=L100277&amp;interface=All&amp;N=0&amp;mode=match%20partialmax&amp;lang=en&amp;region=US&amp;focus=product","L100277")</f>
        <v/>
      </c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COc1ccc(Nc2nc(CC(C)=O)ns2)cc1OC</t>
        </is>
      </c>
      <c r="B367" t="inlineStr">
        <is>
          <t>ZINC000000414012</t>
        </is>
      </c>
      <c r="C367" t="inlineStr"/>
      <c r="D367" t="inlineStr"/>
      <c r="E367">
        <f>HYPERLINK("https://aksci.com/item_detail.php?cat=HTS000720","HTS000720")</f>
        <v/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Cc1ccc2c(C)nc(Nc3nc(C)cc(=O)[nH]3)nc2c1</t>
        </is>
      </c>
      <c r="B368" t="inlineStr">
        <is>
          <t>ZINC000009111401</t>
        </is>
      </c>
      <c r="C368">
        <f>HYPERLINK("http://www.combi-blocks.com/cgi-bin/find.cgi?QY-6678","QY-6678")</f>
        <v/>
      </c>
      <c r="D368">
        <f>HYPERLINK("http://www.matrixscientific.com/080517.html","080517")</f>
        <v/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COc1ccc(Nc2ncc(C(=O)O)c(C)n2)cc1</t>
        </is>
      </c>
      <c r="B369" t="inlineStr">
        <is>
          <t>ZINC000015423887</t>
        </is>
      </c>
      <c r="C369">
        <f>HYPERLINK("http://www.combi-blocks.com/cgi-bin/find.cgi?QZ-7599","QZ-7599")</f>
        <v/>
      </c>
      <c r="D369">
        <f>HYPERLINK("http://www.matrixscientific.com/066249.html","066249")</f>
        <v/>
      </c>
      <c r="E369">
        <f>HYPERLINK("https://aksci.com/item_detail.php?cat=3842AF","3842AF")</f>
        <v/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COc1ccc(Nc2nc(CC(C)=O)ns2)cc1</t>
        </is>
      </c>
      <c r="B370" t="inlineStr">
        <is>
          <t>ZINC000000213087</t>
        </is>
      </c>
      <c r="C370" t="inlineStr"/>
      <c r="D370" t="inlineStr"/>
      <c r="E370">
        <f>HYPERLINK("https://aksci.com/item_detail.php?cat=HTS000718","HTS000718")</f>
        <v/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COc1ccccc1Nc1nc(CC(C)=O)ns1</t>
        </is>
      </c>
      <c r="B371" t="inlineStr">
        <is>
          <t>ZINC000040478809</t>
        </is>
      </c>
      <c r="C371" t="inlineStr"/>
      <c r="D371" t="inlineStr"/>
      <c r="E371">
        <f>HYPERLINK("https://aksci.com/item_detail.php?cat=HTS027920","HTS027920")</f>
        <v/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COC(=O)c1cnc(Nc2cc(Cl)nc(C)n2)s1</t>
        </is>
      </c>
      <c r="B372" t="inlineStr">
        <is>
          <t>ZINC000140388813</t>
        </is>
      </c>
      <c r="C372" t="inlineStr"/>
      <c r="D372" t="inlineStr"/>
      <c r="E372" t="inlineStr"/>
      <c r="F372" t="inlineStr"/>
      <c r="G372">
        <f>HYPERLINK("http://astatechinc.com/CPSResult.php?CRNO=F31335","F31335")</f>
        <v/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Cc1cc(=O)[nH]c(Nc2nc(C)c3cccc(C)c3n2)n1</t>
        </is>
      </c>
      <c r="B373" t="inlineStr">
        <is>
          <t>ZINC000005014384</t>
        </is>
      </c>
      <c r="C373">
        <f>HYPERLINK("http://www.combi-blocks.com/cgi-bin/find.cgi?QZ-6198","QZ-6198")</f>
        <v/>
      </c>
      <c r="D373">
        <f>HYPERLINK("http://www.matrixscientific.com/080524.html","080524")</f>
        <v/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Cc1nc(Cl)cc(Nc2ncc(C(=O)O)s2)n1</t>
        </is>
      </c>
      <c r="B374" t="inlineStr">
        <is>
          <t>ZINC000095093154</t>
        </is>
      </c>
      <c r="C374">
        <f>HYPERLINK("http://www.combi-blocks.com/cgi-bin/find.cgi?QD-0065","QD-0065")</f>
        <v/>
      </c>
      <c r="D374">
        <f>HYPERLINK("http://www.matrixscientific.com/162184.html","162184")</f>
        <v/>
      </c>
      <c r="E374" t="inlineStr"/>
      <c r="F374" t="inlineStr"/>
      <c r="G374">
        <f>HYPERLINK("http://astatechinc.com/CPSResult.php?CRNO=83135","83135")</f>
        <v/>
      </c>
      <c r="H374" t="inlineStr"/>
      <c r="I374" t="inlineStr"/>
      <c r="J374" t="inlineStr"/>
      <c r="K374">
        <f>HYPERLINK("http://aablocks.com/goods/Goods/detail?id=AA000N7U","AA000N7U")</f>
        <v/>
      </c>
      <c r="L374" t="inlineStr"/>
      <c r="M374" t="inlineStr"/>
      <c r="N374" t="inlineStr"/>
    </row>
    <row r="375">
      <c r="A375" t="inlineStr">
        <is>
          <t>COc1cccc(Nc2nnc(SCC(=O)O)s2)c1</t>
        </is>
      </c>
      <c r="B375" t="inlineStr">
        <is>
          <t>ZINC000003888890</t>
        </is>
      </c>
      <c r="C375" t="inlineStr"/>
      <c r="D375" t="inlineStr"/>
      <c r="E375" t="inlineStr"/>
      <c r="F375">
        <f>HYPERLINK("https://www.enaminestore.com/catalog/EN300-14574","EN300-14574")</f>
        <v/>
      </c>
      <c r="G375" t="inlineStr"/>
      <c r="H375" t="inlineStr"/>
      <c r="I375" t="inlineStr"/>
      <c r="J375" t="inlineStr"/>
      <c r="K375">
        <f>HYPERLINK("http://aablocks.com/goods/Goods/detail?id=AA005MDV","AA005MDV")</f>
        <v/>
      </c>
      <c r="L375" t="inlineStr"/>
      <c r="M375" t="inlineStr"/>
      <c r="N375" t="inlineStr"/>
    </row>
    <row r="376">
      <c r="A376" t="inlineStr">
        <is>
          <t>CSc1nc(O)c(Nc2cccc(C)c2)c(=O)[nH]1</t>
        </is>
      </c>
      <c r="B376" t="inlineStr">
        <is>
          <t>ZINC000017322642</t>
        </is>
      </c>
      <c r="C376" t="inlineStr"/>
      <c r="D376" t="inlineStr"/>
      <c r="E376" t="inlineStr"/>
      <c r="F376" t="inlineStr"/>
      <c r="G376" t="inlineStr"/>
      <c r="H376">
        <f>HYPERLINK("http://www.sigmaaldrich.com/catalog/search?term=PH005513&amp;interface=All&amp;N=0&amp;mode=match%20partialmax&amp;lang=en&amp;region=US&amp;focus=product","PH005513")</f>
        <v/>
      </c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Brc1cnc(Nc2ccncc2)nc1</t>
        </is>
      </c>
      <c r="B377" t="inlineStr">
        <is>
          <t>ZINC000001496961</t>
        </is>
      </c>
      <c r="C377">
        <f>HYPERLINK("http://www.combi-blocks.com/cgi-bin/find.cgi?QC-8576","QC-8576")</f>
        <v/>
      </c>
      <c r="D377" t="inlineStr"/>
      <c r="E377" t="inlineStr"/>
      <c r="F377" t="inlineStr"/>
      <c r="G377">
        <f>HYPERLINK("http://astatechinc.com/CPSResult.php?CRNO=83222","83222")</f>
        <v/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COc1cc(Nc2nc(CC(C)=O)ns2)cc(OC)c1</t>
        </is>
      </c>
      <c r="B378" t="inlineStr">
        <is>
          <t>ZINC000040478810</t>
        </is>
      </c>
      <c r="C378" t="inlineStr"/>
      <c r="D378" t="inlineStr"/>
      <c r="E378">
        <f>HYPERLINK("https://aksci.com/item_detail.php?cat=HTS027921","HTS027921")</f>
        <v/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CCOC(=O)c1ccnc(Nc2ccc(C#N)cc2)n1</t>
        </is>
      </c>
      <c r="B379" t="inlineStr">
        <is>
          <t>ZINC000076818170</t>
        </is>
      </c>
      <c r="C379" t="inlineStr"/>
      <c r="D379">
        <f>HYPERLINK("http://www.matrixscientific.com/077030.html","077030")</f>
        <v/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CCOc1ccc(Nc2ncccc2C(=O)O)cc1</t>
        </is>
      </c>
      <c r="B380" t="inlineStr">
        <is>
          <t>ZINC000000930768</t>
        </is>
      </c>
      <c r="C380">
        <f>HYPERLINK("http://www.combi-blocks.com/cgi-bin/find.cgi?ST-0704","ST-0704")</f>
        <v/>
      </c>
      <c r="D380">
        <f>HYPERLINK("http://www.matrixscientific.com/159650.html","159650")</f>
        <v/>
      </c>
      <c r="E380" t="inlineStr"/>
      <c r="F380">
        <f>HYPERLINK("https://www.enaminestore.com/catalog/EN300-09884","EN300-09884")</f>
        <v/>
      </c>
      <c r="G380" t="inlineStr"/>
      <c r="H380" t="inlineStr"/>
      <c r="I380" t="inlineStr"/>
      <c r="J380" t="inlineStr"/>
      <c r="K380">
        <f>HYPERLINK("http://aablocks.com/goods/Goods/detail?id=AA00DTC0","AA00DTC0")</f>
        <v/>
      </c>
      <c r="L380" t="inlineStr"/>
      <c r="M380" t="inlineStr"/>
      <c r="N380" t="inlineStr"/>
    </row>
    <row r="381">
      <c r="A381" t="inlineStr">
        <is>
          <t>CCOc1ccccc1Nc1nnc(S)s1</t>
        </is>
      </c>
      <c r="B381" t="inlineStr">
        <is>
          <t>ZINC000005686538</t>
        </is>
      </c>
      <c r="C381" t="inlineStr"/>
      <c r="D381" t="inlineStr"/>
      <c r="E381" t="inlineStr"/>
      <c r="F381">
        <f>HYPERLINK("https://www.enaminestore.com/catalog/EN300-03398","EN300-03398")</f>
        <v/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CCOC(=O)c1c(C)n[nH]c1Nc1ccc(OC)cc1</t>
        </is>
      </c>
      <c r="B382" t="inlineStr">
        <is>
          <t>ZINC000005386708</t>
        </is>
      </c>
      <c r="C382" t="inlineStr"/>
      <c r="D382" t="inlineStr"/>
      <c r="E382" t="inlineStr"/>
      <c r="F382" t="inlineStr"/>
      <c r="G382" t="inlineStr"/>
      <c r="H382">
        <f>HYPERLINK("http://www.sigmaaldrich.com/catalog/search?term=S934666&amp;interface=All&amp;N=0&amp;mode=match%20partialmax&amp;lang=en&amp;region=US&amp;focus=product","S934666")</f>
        <v/>
      </c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Cc1cnc(Cl)nc1Nc1ccc2oc(=O)[nH]c2c1</t>
        </is>
      </c>
      <c r="B383" t="inlineStr">
        <is>
          <t>ZINC000095837058</t>
        </is>
      </c>
      <c r="C383" t="inlineStr"/>
      <c r="D383">
        <f>HYPERLINK("http://www.matrixscientific.com/145103.html","145103")</f>
        <v/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CCc1ccc(Nc2nc(C)c(CC)c(=O)[nH]2)cc1</t>
        </is>
      </c>
      <c r="B384" t="inlineStr">
        <is>
          <t>ZINC000066324455</t>
        </is>
      </c>
      <c r="C384">
        <f>HYPERLINK("http://www.combi-blocks.com/cgi-bin/find.cgi?QY-3069","QY-3069")</f>
        <v/>
      </c>
      <c r="D384">
        <f>HYPERLINK("http://www.matrixscientific.com/066124.html","066124")</f>
        <v/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Fc1ccccc1Nc1nnc(Br)o1</t>
        </is>
      </c>
      <c r="B385" t="inlineStr">
        <is>
          <t>ZINC000306287245</t>
        </is>
      </c>
      <c r="C385" t="inlineStr"/>
      <c r="D385">
        <f>HYPERLINK("http://www.matrixscientific.com/147377.html","147377")</f>
        <v/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Brc1ccnc(Nc2ccccn2)c1</t>
        </is>
      </c>
      <c r="B386" t="inlineStr">
        <is>
          <t>ZINC000095775860</t>
        </is>
      </c>
      <c r="C386" t="inlineStr"/>
      <c r="D386" t="inlineStr"/>
      <c r="E386" t="inlineStr"/>
      <c r="F386">
        <f>HYPERLINK("https://www.enaminestore.com/catalog/EN300-170186","EN300-170186")</f>
        <v/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COC(=O)c1ccc(Nc2nccc(Cl)n2)cc1</t>
        </is>
      </c>
      <c r="B387" t="inlineStr">
        <is>
          <t>ZINC000200991779</t>
        </is>
      </c>
      <c r="C387" t="inlineStr"/>
      <c r="D387">
        <f>HYPERLINK("http://www.matrixscientific.com/132252.html","132252")</f>
        <v/>
      </c>
      <c r="E387" t="inlineStr"/>
      <c r="F387" t="inlineStr"/>
      <c r="G387">
        <f>HYPERLINK("http://astatechinc.com/CPSResult.php?CRNO=S11692","S11692")</f>
        <v/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Cc1cc(C)c2nc(Nc3nc(C)cc(=O)[nH]3)nc(C)c2c1</t>
        </is>
      </c>
      <c r="B388" t="inlineStr">
        <is>
          <t>ZINC000095883201</t>
        </is>
      </c>
      <c r="C388">
        <f>HYPERLINK("http://www.combi-blocks.com/cgi-bin/find.cgi?QY-4909","QY-4909")</f>
        <v/>
      </c>
      <c r="D388">
        <f>HYPERLINK("http://www.matrixscientific.com/080523.html","080523")</f>
        <v/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COc1ccc(C)cc1Nc1nc(C(=O)O)cs1</t>
        </is>
      </c>
      <c r="B389" t="inlineStr">
        <is>
          <t>ZINC000033507940</t>
        </is>
      </c>
      <c r="C389" t="inlineStr"/>
      <c r="D389" t="inlineStr"/>
      <c r="E389" t="inlineStr"/>
      <c r="F389">
        <f>HYPERLINK("https://www.enaminestore.com/catalog/EN300-237523","EN300-237523")</f>
        <v/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CCOc1ccc(Nc2nc(CC(=O)O)cs2)cc1</t>
        </is>
      </c>
      <c r="B390" t="inlineStr">
        <is>
          <t>ZINC000000372816</t>
        </is>
      </c>
      <c r="C390" t="inlineStr"/>
      <c r="D390">
        <f>HYPERLINK("http://www.matrixscientific.com/011836.html","011836")</f>
        <v/>
      </c>
      <c r="E390" t="inlineStr"/>
      <c r="F390">
        <f>HYPERLINK("https://www.enaminestore.com/catalog/EN300-234750","EN300-234750")</f>
        <v/>
      </c>
      <c r="G390" t="inlineStr"/>
      <c r="H390">
        <f>HYPERLINK("http://www.sigmaaldrich.com/catalog/search?term=CDS017490&amp;interface=All&amp;N=0&amp;mode=match%20partialmax&amp;lang=en&amp;region=US&amp;focus=product","CDS017490")</f>
        <v/>
      </c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Cn1ncc2c(Nc3ccccc3)nc(Cl)nc21</t>
        </is>
      </c>
      <c r="B391" t="inlineStr">
        <is>
          <t>ZINC000016837595</t>
        </is>
      </c>
      <c r="C391" t="inlineStr"/>
      <c r="D391">
        <f>HYPERLINK("http://www.matrixscientific.com/136630.html","136630")</f>
        <v/>
      </c>
      <c r="E391" t="inlineStr"/>
      <c r="F391">
        <f>HYPERLINK("https://www.enaminestore.com/catalog/EN300-238978","EN300-238978")</f>
        <v/>
      </c>
      <c r="G391" t="inlineStr"/>
      <c r="H391" t="inlineStr"/>
      <c r="I391" t="inlineStr"/>
      <c r="J391" t="inlineStr"/>
      <c r="K391" t="inlineStr"/>
      <c r="L391">
        <f>HYPERLINK("http://www.achemblock.com/catalogsearch/result/?q=L19277","L19277")</f>
        <v/>
      </c>
      <c r="M391" t="inlineStr"/>
      <c r="N391" t="inlineStr"/>
    </row>
    <row r="392">
      <c r="A392" t="inlineStr">
        <is>
          <t>COc1ccc(Nc2nc(Cl)nc3c2cnn3C)cc1</t>
        </is>
      </c>
      <c r="B392" t="inlineStr">
        <is>
          <t>ZINC000021778336</t>
        </is>
      </c>
      <c r="C392" t="inlineStr"/>
      <c r="D392" t="inlineStr"/>
      <c r="E392" t="inlineStr"/>
      <c r="F392" t="inlineStr"/>
      <c r="G392" t="inlineStr"/>
      <c r="H392">
        <f>HYPERLINK("http://www.sigmaaldrich.com/catalog/search?term=CDS023690&amp;interface=All&amp;N=0&amp;mode=match%20partialmax&amp;lang=en&amp;region=US&amp;focus=product","CDS023690")</f>
        <v/>
      </c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Clc1nc(Nc2cc(C3CC3)[nH]n2)c2cccn2n1</t>
        </is>
      </c>
      <c r="B393" t="inlineStr">
        <is>
          <t>ZINC000095698981</t>
        </is>
      </c>
      <c r="C393" t="inlineStr"/>
      <c r="D393">
        <f>HYPERLINK("http://www.matrixscientific.com/144083.html","144083")</f>
        <v/>
      </c>
      <c r="E393">
        <f>HYPERLINK("https://aksci.com/item_detail.php?cat=3175AH","3175AH")</f>
        <v/>
      </c>
      <c r="F393" t="inlineStr"/>
      <c r="G393">
        <f>HYPERLINK("http://astatechinc.com/CPSResult.php?CRNO=P16274","P16274")</f>
        <v/>
      </c>
      <c r="H393" t="inlineStr"/>
      <c r="I393" t="inlineStr"/>
      <c r="J393" t="inlineStr"/>
      <c r="K393" t="inlineStr"/>
      <c r="L393">
        <f>HYPERLINK("http://www.achemblock.com/catalogsearch/result/?q=L18236","L18236")</f>
        <v/>
      </c>
      <c r="M393" t="inlineStr"/>
      <c r="N393" t="inlineStr"/>
    </row>
    <row r="394">
      <c r="A394" t="inlineStr">
        <is>
          <t>COc1ccc(Nc2nc(C(=O)O)cs2)cc1</t>
        </is>
      </c>
      <c r="B394" t="inlineStr">
        <is>
          <t>ZINC000002528923</t>
        </is>
      </c>
      <c r="C394" t="inlineStr"/>
      <c r="D394">
        <f>HYPERLINK("http://www.matrixscientific.com/048005.html","048005")</f>
        <v/>
      </c>
      <c r="E394">
        <f>HYPERLINK("https://aksci.com/item_detail.php?cat=2297AA","2297AA")</f>
        <v/>
      </c>
      <c r="F394">
        <f>HYPERLINK("https://www.enaminestore.com/catalog/EN300-82573","EN300-82573")</f>
        <v/>
      </c>
      <c r="G394" t="inlineStr"/>
      <c r="H394" t="inlineStr"/>
      <c r="I394" t="inlineStr"/>
      <c r="J394" t="inlineStr"/>
      <c r="K394">
        <f>HYPERLINK("http://aablocks.com/goods/Goods/detail?id=AA01AK06","AA01AK06")</f>
        <v/>
      </c>
      <c r="L394" t="inlineStr"/>
      <c r="M394" t="inlineStr"/>
      <c r="N394" t="inlineStr"/>
    </row>
    <row r="395">
      <c r="A395" t="inlineStr">
        <is>
          <t>Cc1ccnc(Nc2nc(-c3cn[nH]c3)c(C)s2)n1</t>
        </is>
      </c>
      <c r="B395" t="inlineStr">
        <is>
          <t>ZINC000072188048</t>
        </is>
      </c>
      <c r="C395" t="inlineStr"/>
      <c r="D395" t="inlineStr"/>
      <c r="E395" t="inlineStr"/>
      <c r="F395" t="inlineStr"/>
      <c r="G395">
        <f>HYPERLINK("http://astatechinc.com/CPSResult.php?CRNO=A11684","A11684")</f>
        <v/>
      </c>
      <c r="H395" t="inlineStr"/>
      <c r="I395" t="inlineStr"/>
      <c r="J395" t="inlineStr"/>
      <c r="K395">
        <f>HYPERLINK("http://aablocks.com/goods/Goods/detail?id=AA000KNT","AA000KNT")</f>
        <v/>
      </c>
      <c r="L395">
        <f>HYPERLINK("http://www.achemblock.com/catalogsearch/result/?q=M22544","M22544")</f>
        <v/>
      </c>
      <c r="M395" t="inlineStr"/>
      <c r="N395" t="inlineStr"/>
    </row>
    <row r="396">
      <c r="A396" t="inlineStr">
        <is>
          <t>Cn1ncc2c(Nc3ccc(F)cc3)nc(Cl)nc21</t>
        </is>
      </c>
      <c r="B396" t="inlineStr">
        <is>
          <t>ZINC000013365976</t>
        </is>
      </c>
      <c r="C396" t="inlineStr"/>
      <c r="D396">
        <f>HYPERLINK("http://www.matrixscientific.com/136632.html","136632")</f>
        <v/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COc1ccccc1Nc1ncc(Br)cn1</t>
        </is>
      </c>
      <c r="B397" t="inlineStr">
        <is>
          <t>ZINC000071630694</t>
        </is>
      </c>
      <c r="C397" t="inlineStr"/>
      <c r="D397" t="inlineStr"/>
      <c r="E397" t="inlineStr"/>
      <c r="F397">
        <f>HYPERLINK("https://www.enaminestore.com/catalog/EN300-134553","EN300-134553")</f>
        <v/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COc1cccc(Nc2nc(Cl)nc3[nH]cnc23)c1</t>
        </is>
      </c>
      <c r="B398" t="inlineStr">
        <is>
          <t>ZINC000040937719</t>
        </is>
      </c>
      <c r="C398" t="inlineStr"/>
      <c r="D398" t="inlineStr"/>
      <c r="E398" t="inlineStr"/>
      <c r="F398">
        <f>HYPERLINK("https://www.enaminestore.com/catalog/EN300-252845","EN300-252845")</f>
        <v/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CCOC(=O)c1c(Nc2ccccc2)nn(C)c1C</t>
        </is>
      </c>
      <c r="B399" t="inlineStr">
        <is>
          <t>ZINC000039648398</t>
        </is>
      </c>
      <c r="C399" t="inlineStr"/>
      <c r="D399" t="inlineStr"/>
      <c r="E399" t="inlineStr"/>
      <c r="F399" t="inlineStr"/>
      <c r="G399" t="inlineStr"/>
      <c r="H399">
        <f>HYPERLINK("http://www.sigmaaldrich.com/catalog/search?term=T134996&amp;interface=All&amp;N=0&amp;mode=match%20partialmax&amp;lang=en&amp;region=US&amp;focus=product","T134996")</f>
        <v/>
      </c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COc1ccc(OC)c(Nc2nc(CC(=O)O)cs2)c1</t>
        </is>
      </c>
      <c r="B400" t="inlineStr">
        <is>
          <t>ZINC000008024864</t>
        </is>
      </c>
      <c r="C400" t="inlineStr"/>
      <c r="D400" t="inlineStr"/>
      <c r="E400" t="inlineStr"/>
      <c r="F400">
        <f>HYPERLINK("https://www.enaminestore.com/catalog/EN300-238021","EN300-238021")</f>
        <v/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COc1ccc(Nc2ncc(C(=O)O)s2)c(OC)c1</t>
        </is>
      </c>
      <c r="B401" t="inlineStr">
        <is>
          <t>ZINC000156131142</t>
        </is>
      </c>
      <c r="C401" t="inlineStr"/>
      <c r="D401" t="inlineStr"/>
      <c r="E401" t="inlineStr"/>
      <c r="F401">
        <f>HYPERLINK("https://www.enaminestore.com/catalog/EN300-379532","EN300-379532")</f>
        <v/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CSc1ncc(C(=O)O)c(Nc2ccccc2)n1</t>
        </is>
      </c>
      <c r="B402" t="inlineStr">
        <is>
          <t>ZINC000020385545</t>
        </is>
      </c>
      <c r="C402">
        <f>HYPERLINK("http://www.combi-blocks.com/cgi-bin/find.cgi?QA-0325","QA-0325")</f>
        <v/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COc1ccc(Nc2nc(CC(=O)O)cs2)cc1</t>
        </is>
      </c>
      <c r="B403" t="inlineStr">
        <is>
          <t>ZINC000002584206</t>
        </is>
      </c>
      <c r="C403" t="inlineStr"/>
      <c r="D403">
        <f>HYPERLINK("http://www.matrixscientific.com/011835.html","011835")</f>
        <v/>
      </c>
      <c r="E403">
        <f>HYPERLINK("https://aksci.com/item_detail.php?cat=0583AE","0583AE")</f>
        <v/>
      </c>
      <c r="F403" t="inlineStr"/>
      <c r="G403" t="inlineStr"/>
      <c r="H403">
        <f>HYPERLINK("http://www.sigmaaldrich.com/catalog/search?term=CDS016927&amp;interface=All&amp;N=0&amp;mode=match%20partialmax&amp;lang=en&amp;region=US&amp;focus=product","CDS016927")</f>
        <v/>
      </c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COc1ccccc1Nc1ncc(C(=O)O)s1</t>
        </is>
      </c>
      <c r="B404" t="inlineStr">
        <is>
          <t>ZINC000156130208</t>
        </is>
      </c>
      <c r="C404" t="inlineStr"/>
      <c r="D404" t="inlineStr"/>
      <c r="E404" t="inlineStr"/>
      <c r="F404">
        <f>HYPERLINK("https://www.enaminestore.com/catalog/EN300-383676","EN300-383676")</f>
        <v/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Cc1cc(=O)[nH]c(Nc2cccc(C(F)(F)F)c2)n1</t>
        </is>
      </c>
      <c r="B405" t="inlineStr">
        <is>
          <t>ZINC000005581437</t>
        </is>
      </c>
      <c r="C405" t="inlineStr"/>
      <c r="D405" t="inlineStr"/>
      <c r="E405" t="inlineStr"/>
      <c r="F405" t="inlineStr"/>
      <c r="G405" t="inlineStr"/>
      <c r="H405">
        <f>HYPERLINK("http://www.sigmaaldrich.com/catalog/search?term=L123439&amp;interface=All&amp;N=0&amp;mode=match%20partialmax&amp;lang=en&amp;region=US&amp;focus=product","L123439")</f>
        <v/>
      </c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CCOC(=O)c1cnc(Nc2cc(Cl)nc(C)n2)s1</t>
        </is>
      </c>
      <c r="B406" t="inlineStr">
        <is>
          <t>ZINC000198329791</t>
        </is>
      </c>
      <c r="C406" t="inlineStr"/>
      <c r="D406">
        <f>HYPERLINK("http://www.matrixscientific.com/162183.html","162183")</f>
        <v/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COc1ccc(C)cc1Nc1nnc(S)s1</t>
        </is>
      </c>
      <c r="B407" t="inlineStr">
        <is>
          <t>ZINC000006183889</t>
        </is>
      </c>
      <c r="C407" t="inlineStr"/>
      <c r="D407" t="inlineStr"/>
      <c r="E407" t="inlineStr"/>
      <c r="F407">
        <f>HYPERLINK("https://www.enaminestore.com/catalog/EN300-03138","EN300-03138")</f>
        <v/>
      </c>
      <c r="G407" t="inlineStr"/>
      <c r="H407" t="inlineStr"/>
      <c r="I407" t="inlineStr"/>
      <c r="J407" t="inlineStr"/>
      <c r="K407">
        <f>HYPERLINK("http://aablocks.com/goods/Goods/detail?id=AA00I7E9","AA00I7E9")</f>
        <v/>
      </c>
      <c r="L407" t="inlineStr"/>
      <c r="M407" t="inlineStr"/>
      <c r="N407" t="inlineStr"/>
    </row>
    <row r="408">
      <c r="A408" t="inlineStr">
        <is>
          <t>COc1ccc(Nc2ncc(C(=O)O)s2)cc1</t>
        </is>
      </c>
      <c r="B408" t="inlineStr">
        <is>
          <t>ZINC000156126973</t>
        </is>
      </c>
      <c r="C408" t="inlineStr"/>
      <c r="D408" t="inlineStr"/>
      <c r="E408" t="inlineStr"/>
      <c r="F408">
        <f>HYPERLINK("https://www.enaminestore.com/catalog/EN300-384081","EN300-384081")</f>
        <v/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COc1cnc(Cl)nc1Nc1ccc2cn[nH]c2c1</t>
        </is>
      </c>
      <c r="B409" t="inlineStr">
        <is>
          <t>ZINC000095802926</t>
        </is>
      </c>
      <c r="C409">
        <f>HYPERLINK("http://www.combi-blocks.com/cgi-bin/find.cgi?QD-2202","QD-2202")</f>
        <v/>
      </c>
      <c r="D409" t="inlineStr"/>
      <c r="E409" t="inlineStr"/>
      <c r="F409" t="inlineStr"/>
      <c r="G409">
        <f>HYPERLINK("http://astatechinc.com/CPSResult.php?CRNO=83316","83316")</f>
        <v/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COc1ccc(Nc2nc(C(=O)O)cs2)c(OC)c1</t>
        </is>
      </c>
      <c r="B410" t="inlineStr">
        <is>
          <t>ZINC000002528917</t>
        </is>
      </c>
      <c r="C410" t="inlineStr"/>
      <c r="D410">
        <f>HYPERLINK("http://www.matrixscientific.com/137071.html","137071")</f>
        <v/>
      </c>
      <c r="E410" t="inlineStr"/>
      <c r="F410">
        <f>HYPERLINK("https://www.enaminestore.com/catalog/EN300-234728","EN300-234728")</f>
        <v/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COc1ccc(Nc2ccnc(Cl)n2)c(OC)c1</t>
        </is>
      </c>
      <c r="B411" t="inlineStr">
        <is>
          <t>ZINC000036472499</t>
        </is>
      </c>
      <c r="C411" t="inlineStr"/>
      <c r="D411" t="inlineStr"/>
      <c r="E411" t="inlineStr"/>
      <c r="F411" t="inlineStr"/>
      <c r="G411">
        <f>HYPERLINK("http://astatechinc.com/CPSResult.php?CRNO=W18018","W18018")</f>
        <v/>
      </c>
      <c r="H411" t="inlineStr"/>
      <c r="I411" t="inlineStr"/>
      <c r="J411" t="inlineStr"/>
      <c r="K411">
        <f>HYPERLINK("http://aablocks.com/goods/Goods/detail?id=AA019EX9","AA019EX9")</f>
        <v/>
      </c>
      <c r="L411">
        <f>HYPERLINK("http://www.achemblock.com/catalogsearch/result/?q=P51009","P51009")</f>
        <v/>
      </c>
      <c r="M411" t="inlineStr"/>
      <c r="N411" t="inlineStr"/>
    </row>
    <row r="412">
      <c r="A412" t="inlineStr">
        <is>
          <t>COc1ccc(Nc2cc(Cl)ncn2)c(OC)c1</t>
        </is>
      </c>
      <c r="B412" t="inlineStr">
        <is>
          <t>ZINC000040431960</t>
        </is>
      </c>
      <c r="C412" t="inlineStr"/>
      <c r="D412" t="inlineStr"/>
      <c r="E412" t="inlineStr"/>
      <c r="F412">
        <f>HYPERLINK("https://www.enaminestore.com/catalog/EN300-122924","EN300-122924")</f>
        <v/>
      </c>
      <c r="G412" t="inlineStr"/>
      <c r="H412" t="inlineStr"/>
      <c r="I412" t="inlineStr"/>
      <c r="J412" t="inlineStr"/>
      <c r="K412">
        <f>HYPERLINK("http://aablocks.com/goods/Goods/detail?id=AA01A3KQ","AA01A3KQ")</f>
        <v/>
      </c>
      <c r="L412" t="inlineStr"/>
      <c r="M412" t="inlineStr"/>
      <c r="N412" t="inlineStr"/>
    </row>
    <row r="413">
      <c r="A413" t="inlineStr">
        <is>
          <t>Brc1cnc(Nc2ccccc2)nc1</t>
        </is>
      </c>
      <c r="B413" t="inlineStr">
        <is>
          <t>ZINC000001495463</t>
        </is>
      </c>
      <c r="C413">
        <f>HYPERLINK("http://www.combi-blocks.com/cgi-bin/find.cgi?PY-7996","PY-7996")</f>
        <v/>
      </c>
      <c r="D413" t="inlineStr"/>
      <c r="E413">
        <f>HYPERLINK("https://aksci.com/item_detail.php?cat=V8665","V8665")</f>
        <v/>
      </c>
      <c r="F413">
        <f>HYPERLINK("https://www.enaminestore.com/catalog/EN300-5017722","EN300-5017722")</f>
        <v/>
      </c>
      <c r="G413">
        <f>HYPERLINK("http://astatechinc.com/CPSResult.php?CRNO=30031","30031")</f>
        <v/>
      </c>
      <c r="H413" t="inlineStr"/>
      <c r="I413" t="inlineStr"/>
      <c r="J413" t="inlineStr"/>
      <c r="K413">
        <f>HYPERLINK("http://aablocks.com/goods/Goods/detail?id=AA00GS1W","AA00GS1W")</f>
        <v/>
      </c>
      <c r="L413" t="inlineStr"/>
      <c r="M413" t="inlineStr"/>
      <c r="N413">
        <f>HYPERLINK("https://www.biosynth.com/en/products/life-science/other-biochemicals/products/J-501558","J-501558")</f>
        <v/>
      </c>
    </row>
    <row r="414">
      <c r="A414" t="inlineStr">
        <is>
          <t>CCOc1ccc(Nc2nc(C)c(C)c(=O)[nH]2)cc1</t>
        </is>
      </c>
      <c r="B414" t="inlineStr">
        <is>
          <t>ZINC000013637053</t>
        </is>
      </c>
      <c r="C414">
        <f>HYPERLINK("http://www.combi-blocks.com/cgi-bin/find.cgi?QZ-3942","QZ-3942")</f>
        <v/>
      </c>
      <c r="D414">
        <f>HYPERLINK("http://www.matrixscientific.com/066121.html","066121")</f>
        <v/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CC(=O)Cc1nsc(Nc2ccc(F)cc2)n1</t>
        </is>
      </c>
      <c r="B415" t="inlineStr">
        <is>
          <t>ZINC000000213089</t>
        </is>
      </c>
      <c r="C415" t="inlineStr"/>
      <c r="D415" t="inlineStr"/>
      <c r="E415">
        <f>HYPERLINK("https://aksci.com/item_detail.php?cat=HTS027926","HTS027926")</f>
        <v/>
      </c>
      <c r="F415">
        <f>HYPERLINK("https://www.enaminestore.com/catalog/EN300-264816","EN300-264816")</f>
        <v/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CCOc1ccc(Nc2nc(CC(C)=O)ns2)cc1</t>
        </is>
      </c>
      <c r="B416" t="inlineStr">
        <is>
          <t>ZINC000000414013</t>
        </is>
      </c>
      <c r="C416" t="inlineStr"/>
      <c r="D416" t="inlineStr"/>
      <c r="E416">
        <f>HYPERLINK("https://aksci.com/item_detail.php?cat=HTS027919","HTS027919")</f>
        <v/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COc1cccc(Nc2ncc(C(=O)O)s2)c1</t>
        </is>
      </c>
      <c r="B417" t="inlineStr">
        <is>
          <t>ZINC000156152569</t>
        </is>
      </c>
      <c r="C417" t="inlineStr"/>
      <c r="D417" t="inlineStr"/>
      <c r="E417" t="inlineStr"/>
      <c r="F417">
        <f>HYPERLINK("https://www.enaminestore.com/catalog/EN300-383678","EN300-383678")</f>
        <v/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COc1ccccc1Nc1nc(C(=O)O)cs1</t>
        </is>
      </c>
      <c r="B418" t="inlineStr">
        <is>
          <t>ZINC000002528924</t>
        </is>
      </c>
      <c r="C418" t="inlineStr"/>
      <c r="D418" t="inlineStr"/>
      <c r="E418" t="inlineStr"/>
      <c r="F418" t="inlineStr"/>
      <c r="G418" t="inlineStr"/>
      <c r="H418">
        <f>HYPERLINK("http://www.sigmaaldrich.com/catalog/search?term=CDS010273&amp;interface=All&amp;N=0&amp;mode=match%20partialmax&amp;lang=en&amp;region=US&amp;focus=product","CDS010273")</f>
        <v/>
      </c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COC(=O)c1sccc1Nc1nc(C)cc(C)n1</t>
        </is>
      </c>
      <c r="B419" t="inlineStr">
        <is>
          <t>ZINC000000154208</t>
        </is>
      </c>
      <c r="C419" t="inlineStr"/>
      <c r="D419">
        <f>HYPERLINK("http://www.matrixscientific.com/009391.html","009391")</f>
        <v/>
      </c>
      <c r="E419">
        <f>HYPERLINK("https://aksci.com/item_detail.php?cat=2297AE","2297AE")</f>
        <v/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COC(=O)c1cnc(Nc2cccc(C)c2)nc1C</t>
        </is>
      </c>
      <c r="B420" t="inlineStr">
        <is>
          <t>ZINC000072406628</t>
        </is>
      </c>
      <c r="C420">
        <f>HYPERLINK("http://www.combi-blocks.com/cgi-bin/find.cgi?QY-3619","QY-3619")</f>
        <v/>
      </c>
      <c r="D420">
        <f>HYPERLINK("http://www.matrixscientific.com/080472.html","080472")</f>
        <v/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COc1ccc(Nc2ncccc2C(=O)O)c(OC)c1</t>
        </is>
      </c>
      <c r="B421" t="inlineStr">
        <is>
          <t>ZINC000005611551</t>
        </is>
      </c>
      <c r="C421">
        <f>HYPERLINK("http://www.combi-blocks.com/cgi-bin/find.cgi?QZ-5140","QZ-5140")</f>
        <v/>
      </c>
      <c r="D421">
        <f>HYPERLINK("http://www.matrixscientific.com/159654.html","159654")</f>
        <v/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CSc1ncc(C(=O)O)c(Nc2ccc(C)cc2)n1</t>
        </is>
      </c>
      <c r="B422" t="inlineStr">
        <is>
          <t>ZINC000020385557</t>
        </is>
      </c>
      <c r="C422">
        <f>HYPERLINK("http://www.combi-blocks.com/cgi-bin/find.cgi?SS-7708","SS-7708")</f>
        <v/>
      </c>
      <c r="D422" t="inlineStr"/>
      <c r="E422">
        <f>HYPERLINK("https://aksci.com/item_detail.php?cat=4867AH","4867AH")</f>
        <v/>
      </c>
      <c r="F422" t="inlineStr"/>
      <c r="G422">
        <f>HYPERLINK("http://astatechinc.com/CPSResult.php?CRNO=AR3275","AR3275")</f>
        <v/>
      </c>
      <c r="H422" t="inlineStr"/>
      <c r="I422" t="inlineStr"/>
      <c r="J422" t="inlineStr"/>
      <c r="K422" t="inlineStr"/>
      <c r="L422" t="inlineStr"/>
      <c r="M422">
        <f>HYPERLINK("http://www.chemimpex.com/category/search/24110/2?filter=&amp;search=24110&amp;type=q&amp;keywordoption=ANY&amp;cid=2&amp;fltrdesc=","24110")</f>
        <v/>
      </c>
      <c r="N422" t="inlineStr"/>
    </row>
    <row r="423">
      <c r="A423" t="inlineStr">
        <is>
          <t>CC(=O)Cc1nsc(Nc2ccccc2F)n1</t>
        </is>
      </c>
      <c r="B423" t="inlineStr">
        <is>
          <t>ZINC000096517139</t>
        </is>
      </c>
      <c r="C423" t="inlineStr"/>
      <c r="D423" t="inlineStr"/>
      <c r="E423" t="inlineStr"/>
      <c r="F423">
        <f>HYPERLINK("https://www.enaminestore.com/catalog/EN300-265615","EN300-265615")</f>
        <v/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COc1cccc(C(=O)O)c1Nc1ccccc1C(=O)O</t>
        </is>
      </c>
      <c r="B424" t="inlineStr">
        <is>
          <t>ZINC000022006227</t>
        </is>
      </c>
      <c r="C424" t="inlineStr"/>
      <c r="D424" t="inlineStr"/>
      <c r="E424">
        <f>HYPERLINK("https://aksci.com/item_detail.php?cat=4108AC","4108AC")</f>
        <v/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CC1(C)OB(c2cnc(Nc3ccccc3)nc2)OC1(C)C</t>
        </is>
      </c>
      <c r="B425" t="inlineStr">
        <is>
          <t>ZINC000169904995</t>
        </is>
      </c>
      <c r="C425">
        <f>HYPERLINK("http://www.combi-blocks.com/cgi-bin/find.cgi?PN-5935","PN-5935")</f>
        <v/>
      </c>
      <c r="D425">
        <f>HYPERLINK("http://www.matrixscientific.com/092704.html","092704")</f>
        <v/>
      </c>
      <c r="E425" t="inlineStr"/>
      <c r="F425" t="inlineStr"/>
      <c r="G425" t="inlineStr"/>
      <c r="H425">
        <f>HYPERLINK("http://www.sigmaaldrich.com/catalog/search?term=CDS023835&amp;interface=All&amp;N=0&amp;mode=match%20partialmax&amp;lang=en&amp;region=US&amp;focus=product","CDS023835")</f>
        <v/>
      </c>
      <c r="I425" t="inlineStr"/>
      <c r="J425" t="inlineStr"/>
      <c r="K425">
        <f>HYPERLINK("http://aablocks.com/goods/Goods/detail?id=AA003T8B","AA003T8B")</f>
        <v/>
      </c>
      <c r="L425" t="inlineStr"/>
      <c r="M425" t="inlineStr"/>
      <c r="N425" t="inlineStr"/>
    </row>
    <row r="426">
      <c r="A426" t="inlineStr">
        <is>
          <t>COc1ccc(Nc2nccc(OC)c2C#N)cc1</t>
        </is>
      </c>
      <c r="B426" t="inlineStr">
        <is>
          <t>ZINC000001387789</t>
        </is>
      </c>
      <c r="C426" t="inlineStr"/>
      <c r="D426">
        <f>HYPERLINK("http://www.matrixscientific.com/169591.html","169591")</f>
        <v/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N#Cc1cccc(Nc2nc(Cl)nc(Cl)n2)c1</t>
        </is>
      </c>
      <c r="B427" t="inlineStr">
        <is>
          <t>ZINC000000152821</t>
        </is>
      </c>
      <c r="C427" t="inlineStr"/>
      <c r="D427" t="inlineStr"/>
      <c r="E427">
        <f>HYPERLINK("https://aksci.com/item_detail.php?cat=Y7565","Y7565")</f>
        <v/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>
        <f>HYPERLINK("https://www.biosynth.com/en/products/life-science/other-biochemicals/products/W-205647","W-205647")</f>
        <v/>
      </c>
    </row>
    <row r="428">
      <c r="A428" t="inlineStr">
        <is>
          <t>CCOC(=O)c1csc(Nc2ccc(OC)cc2)n1</t>
        </is>
      </c>
      <c r="B428" t="inlineStr">
        <is>
          <t>ZINC000004245005</t>
        </is>
      </c>
      <c r="C428" t="inlineStr"/>
      <c r="D428" t="inlineStr"/>
      <c r="E428" t="inlineStr"/>
      <c r="F428">
        <f>HYPERLINK("https://www.enaminestore.com/catalog/EN300-82196","EN300-82196")</f>
        <v/>
      </c>
      <c r="G428" t="inlineStr"/>
      <c r="H428" t="inlineStr"/>
      <c r="I428" t="inlineStr"/>
      <c r="J428" t="inlineStr"/>
      <c r="K428">
        <f>HYPERLINK("http://aablocks.com/goods/Goods/detail?id=AA000STA","AA000STA")</f>
        <v/>
      </c>
      <c r="L428" t="inlineStr"/>
      <c r="M428" t="inlineStr"/>
      <c r="N428" t="inlineStr"/>
    </row>
    <row r="429">
      <c r="A429" t="inlineStr">
        <is>
          <t>COc1ccc(OC)c(Nc2ncc(C(C)=O)s2)c1</t>
        </is>
      </c>
      <c r="B429" t="inlineStr">
        <is>
          <t>ZINC000012336562</t>
        </is>
      </c>
      <c r="C429" t="inlineStr"/>
      <c r="D429">
        <f>HYPERLINK("http://www.matrixscientific.com/046743.html","046743")</f>
        <v/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Cc1nc(Nc2ccccc2)[nH]c(=O)c1Cc1ccccc1</t>
        </is>
      </c>
      <c r="B430" t="inlineStr">
        <is>
          <t>ZINC000009939338</t>
        </is>
      </c>
      <c r="C430">
        <f>HYPERLINK("http://www.combi-blocks.com/cgi-bin/find.cgi?QZ-3145","QZ-3145")</f>
        <v/>
      </c>
      <c r="D430">
        <f>HYPERLINK("http://www.matrixscientific.com/066125.html","066125")</f>
        <v/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Cc1ccc(Nc2ncc(Br)cn2)cc1</t>
        </is>
      </c>
      <c r="B431" t="inlineStr">
        <is>
          <t>ZINC000067119667</t>
        </is>
      </c>
      <c r="C431" t="inlineStr"/>
      <c r="D431" t="inlineStr"/>
      <c r="E431" t="inlineStr"/>
      <c r="F431">
        <f>HYPERLINK("https://www.enaminestore.com/catalog/EN300-314875","EN300-314875")</f>
        <v/>
      </c>
      <c r="G431" t="inlineStr"/>
      <c r="H431" t="inlineStr"/>
      <c r="I431" t="inlineStr"/>
      <c r="J431" t="inlineStr"/>
      <c r="K431">
        <f>HYPERLINK("http://aablocks.com/goods/Goods/detail?id=AA01BV8X","AA01BV8X")</f>
        <v/>
      </c>
      <c r="L431" t="inlineStr"/>
      <c r="M431" t="inlineStr"/>
      <c r="N431" t="inlineStr"/>
    </row>
    <row r="432">
      <c r="A432" t="inlineStr">
        <is>
          <t>CCOC(=O)c1sc(Nc2ccccc2)nc1C</t>
        </is>
      </c>
      <c r="B432" t="inlineStr">
        <is>
          <t>ZINC000009329040</t>
        </is>
      </c>
      <c r="C432" t="inlineStr"/>
      <c r="D432" t="inlineStr"/>
      <c r="E432" t="inlineStr"/>
      <c r="F432">
        <f>HYPERLINK("https://www.enaminestore.com/catalog/EN300-36852","EN300-36852")</f>
        <v/>
      </c>
      <c r="G432" t="inlineStr"/>
      <c r="H432" t="inlineStr"/>
      <c r="I432" t="inlineStr"/>
      <c r="J432" t="inlineStr"/>
      <c r="K432">
        <f>HYPERLINK("http://aablocks.com/goods/Goods/detail?id=AA019MMB","AA019MMB")</f>
        <v/>
      </c>
      <c r="L432" t="inlineStr"/>
      <c r="M432" t="inlineStr"/>
      <c r="N432" t="inlineStr"/>
    </row>
    <row r="433">
      <c r="A433" t="inlineStr">
        <is>
          <t>COC(=O)c1cc2[nH]cnc2c(F)c1Nc1ccccc1</t>
        </is>
      </c>
      <c r="B433" t="inlineStr">
        <is>
          <t>ZINC000031773309</t>
        </is>
      </c>
      <c r="C433" t="inlineStr"/>
      <c r="D433" t="inlineStr"/>
      <c r="E433">
        <f>HYPERLINK("https://aksci.com/item_detail.php?cat=Y6318","Y6318")</f>
        <v/>
      </c>
      <c r="F433" t="inlineStr"/>
      <c r="G433">
        <f>HYPERLINK("http://astatechinc.com/CPSResult.php?CRNO=F15218","F15218")</f>
        <v/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COC(=O)c1cc2c(ncn2C)c(F)c1Nc1ccccc1</t>
        </is>
      </c>
      <c r="B434" t="inlineStr">
        <is>
          <t>ZINC000202329077</t>
        </is>
      </c>
      <c r="C434" t="inlineStr"/>
      <c r="D434" t="inlineStr"/>
      <c r="E434" t="inlineStr"/>
      <c r="F434" t="inlineStr"/>
      <c r="G434">
        <f>HYPERLINK("http://astatechinc.com/CPSResult.php?CRNO=C11736","C11736")</f>
        <v/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Cc1ccc(Nc2nc(Cl)nc3c2cnn3C)cc1C</t>
        </is>
      </c>
      <c r="B435" t="inlineStr">
        <is>
          <t>ZINC000016837599</t>
        </is>
      </c>
      <c r="C435" t="inlineStr"/>
      <c r="D435">
        <f>HYPERLINK("http://www.matrixscientific.com/136633.html","136633")</f>
        <v/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Cc1cccc(Nc2nnc(SCC(=O)O)s2)c1C</t>
        </is>
      </c>
      <c r="B436" t="inlineStr">
        <is>
          <t>ZINC000020303643</t>
        </is>
      </c>
      <c r="C436" t="inlineStr"/>
      <c r="D436" t="inlineStr"/>
      <c r="E436" t="inlineStr"/>
      <c r="F436">
        <f>HYPERLINK("https://www.enaminestore.com/catalog/EN300-126325","EN300-126325")</f>
        <v/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CCOC(=O)c1sc(Nc2ccc(OC)cc2)nc1C</t>
        </is>
      </c>
      <c r="B437" t="inlineStr">
        <is>
          <t>ZINC000006620302</t>
        </is>
      </c>
      <c r="C437" t="inlineStr"/>
      <c r="D437">
        <f>HYPERLINK("http://www.matrixscientific.com/087251.html","087251")</f>
        <v/>
      </c>
      <c r="E437">
        <f>HYPERLINK("https://aksci.com/item_detail.php?cat=8642AC","8642AC")</f>
        <v/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Cc1cc(Nc2ccc3ccccc3c2)n2ncnc2n1</t>
        </is>
      </c>
      <c r="B438" t="inlineStr">
        <is>
          <t>ZINC000009186742</t>
        </is>
      </c>
      <c r="C438" t="inlineStr"/>
      <c r="D438" t="inlineStr"/>
      <c r="E438" t="inlineStr"/>
      <c r="F438">
        <f>HYPERLINK("https://www.enaminestore.com/catalog/EN300-201731","EN300-201731")</f>
        <v/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CC1(c2cccc(Nc3ccnc(Cl)n3)c2)OCCO1</t>
        </is>
      </c>
      <c r="B439" t="inlineStr">
        <is>
          <t>ZINC000098213658</t>
        </is>
      </c>
      <c r="C439" t="inlineStr"/>
      <c r="D439">
        <f>HYPERLINK("http://www.matrixscientific.com/134404.html","134404")</f>
        <v/>
      </c>
      <c r="E439" t="inlineStr"/>
      <c r="F439">
        <f>HYPERLINK("https://www.enaminestore.com/catalog/EN300-1698682","EN300-1698682")</f>
        <v/>
      </c>
      <c r="G439" t="inlineStr"/>
      <c r="H439" t="inlineStr"/>
      <c r="I439" t="inlineStr"/>
      <c r="J439" t="inlineStr"/>
      <c r="K439" t="inlineStr"/>
      <c r="L439">
        <f>HYPERLINK("http://www.achemblock.com/catalogsearch/result/?q=L19831","L19831")</f>
        <v/>
      </c>
      <c r="M439" t="inlineStr"/>
      <c r="N439" t="inlineStr"/>
    </row>
    <row r="440">
      <c r="A440" t="inlineStr">
        <is>
          <t>CCOC(=O)c1cnc(Nc2ccc(C)cc2)nc1C</t>
        </is>
      </c>
      <c r="B440" t="inlineStr">
        <is>
          <t>ZINC000014607440</t>
        </is>
      </c>
      <c r="C440">
        <f>HYPERLINK("http://www.combi-blocks.com/cgi-bin/find.cgi?QZ-8458","QZ-8458")</f>
        <v/>
      </c>
      <c r="D440">
        <f>HYPERLINK("http://www.matrixscientific.com/066248.html","066248")</f>
        <v/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FC(F)(F)Oc1ccc(Nc2nnc(S)s2)cc1</t>
        </is>
      </c>
      <c r="B441" t="inlineStr">
        <is>
          <t>ZINC000003888746</t>
        </is>
      </c>
      <c r="C441" t="inlineStr"/>
      <c r="D441" t="inlineStr"/>
      <c r="E441" t="inlineStr"/>
      <c r="F441">
        <f>HYPERLINK("https://www.enaminestore.com/catalog/EN300-12829","EN300-12829")</f>
        <v/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Cc1ccccc1Nc1nc(Cl)nc2c1cnn2C</t>
        </is>
      </c>
      <c r="B442" t="inlineStr">
        <is>
          <t>ZINC000016837589</t>
        </is>
      </c>
      <c r="C442" t="inlineStr"/>
      <c r="D442">
        <f>HYPERLINK("http://www.matrixscientific.com/136627.html","136627")</f>
        <v/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Cc1c2ccc(Nc3ccnc(Cl)n3)cc2nn1C</t>
        </is>
      </c>
      <c r="B443" t="inlineStr">
        <is>
          <t>ZINC000035976996</t>
        </is>
      </c>
      <c r="C443" t="inlineStr"/>
      <c r="D443">
        <f>HYPERLINK("http://www.matrixscientific.com/095743.html","095743")</f>
        <v/>
      </c>
      <c r="E443">
        <f>HYPERLINK("https://aksci.com/item_detail.php?cat=X3179","X3179")</f>
        <v/>
      </c>
      <c r="F443" t="inlineStr"/>
      <c r="G443">
        <f>HYPERLINK("http://astatechinc.com/CPSResult.php?CRNO=F11990","F11990")</f>
        <v/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CCOc1ccc(Nc2n[nH]c(=S)s2)cc1</t>
        </is>
      </c>
      <c r="B444" t="inlineStr">
        <is>
          <t>ZINC000005270681</t>
        </is>
      </c>
      <c r="C444" t="inlineStr"/>
      <c r="D444" t="inlineStr"/>
      <c r="E444" t="inlineStr"/>
      <c r="F444">
        <f>HYPERLINK("https://www.enaminestore.com/catalog/EN300-03280","EN300-03280")</f>
        <v/>
      </c>
      <c r="G444" t="inlineStr"/>
      <c r="H444" t="inlineStr"/>
      <c r="I444" t="inlineStr"/>
      <c r="J444" t="inlineStr"/>
      <c r="K444">
        <f>HYPERLINK("http://aablocks.com/goods/Goods/detail?id=AA006E4R","AA006E4R")</f>
        <v/>
      </c>
      <c r="L444" t="inlineStr"/>
      <c r="M444" t="inlineStr"/>
      <c r="N444" t="inlineStr"/>
    </row>
    <row r="445">
      <c r="A445" t="inlineStr">
        <is>
          <t>Cc1cc(Nc2ccc(Cl)nn2)n(-c2ccccc2)n1</t>
        </is>
      </c>
      <c r="B445" t="inlineStr">
        <is>
          <t>ZINC000002650242</t>
        </is>
      </c>
      <c r="C445" t="inlineStr"/>
      <c r="D445" t="inlineStr"/>
      <c r="E445" t="inlineStr"/>
      <c r="F445">
        <f>HYPERLINK("https://www.enaminestore.com/catalog/EN300-08902","EN300-08902")</f>
        <v/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COc1ccc(OC)c(Nc2nc(C)c(C(C)=O)s2)c1</t>
        </is>
      </c>
      <c r="B446" t="inlineStr">
        <is>
          <t>ZINC000000440433</t>
        </is>
      </c>
      <c r="C446" t="inlineStr"/>
      <c r="D446">
        <f>HYPERLINK("http://www.matrixscientific.com/046744.html","046744")</f>
        <v/>
      </c>
      <c r="E446">
        <f>HYPERLINK("https://aksci.com/item_detail.php?cat=2496AE","2496AE")</f>
        <v/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>
        <f>HYPERLINK("https://www.biosynth.com/en/products/life-science/other-biochemicals/products/J-502872","J-502872")</f>
        <v/>
      </c>
    </row>
    <row r="447">
      <c r="A447" t="inlineStr">
        <is>
          <t>CC1(C)CC(=O)c2c(Nc3ccccc3)n[nH]c2C1</t>
        </is>
      </c>
      <c r="B447" t="inlineStr">
        <is>
          <t>ZINC000007499285</t>
        </is>
      </c>
      <c r="C447" t="inlineStr"/>
      <c r="D447">
        <f>HYPERLINK("http://www.matrixscientific.com/118789.html","118789")</f>
        <v/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Cn1nc(Nc2ccccc2)s/c1=N\c1ccccc1</t>
        </is>
      </c>
      <c r="B448" t="inlineStr">
        <is>
          <t>ZINC000071773606</t>
        </is>
      </c>
      <c r="C448" t="inlineStr"/>
      <c r="D448" t="inlineStr"/>
      <c r="E448" t="inlineStr"/>
      <c r="F448" t="inlineStr"/>
      <c r="G448" t="inlineStr"/>
      <c r="H448">
        <f>HYPERLINK("http://www.sigmaaldrich.com/catalog/search?term=PH006549&amp;interface=All&amp;N=0&amp;mode=match%20partialmax&amp;lang=en&amp;region=US&amp;focus=product","PH006549")</f>
        <v/>
      </c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CCOC(=O)c1csc(Nc2ccc(F)cc2)n1</t>
        </is>
      </c>
      <c r="B449" t="inlineStr">
        <is>
          <t>ZINC000095929217</t>
        </is>
      </c>
      <c r="C449" t="inlineStr"/>
      <c r="D449">
        <f>HYPERLINK("http://www.matrixscientific.com/130733.html","130733")</f>
        <v/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CCc1ccc(Nc2nnc(SCC(=O)O)s2)cc1</t>
        </is>
      </c>
      <c r="B450" t="inlineStr">
        <is>
          <t>ZINC000003342804</t>
        </is>
      </c>
      <c r="C450" t="inlineStr"/>
      <c r="D450" t="inlineStr"/>
      <c r="E450" t="inlineStr"/>
      <c r="F450">
        <f>HYPERLINK("https://www.enaminestore.com/catalog/EN300-06621","EN300-06621")</f>
        <v/>
      </c>
      <c r="G450" t="inlineStr"/>
      <c r="H450" t="inlineStr"/>
      <c r="I450" t="inlineStr"/>
      <c r="J450" t="inlineStr"/>
      <c r="K450">
        <f>HYPERLINK("http://aablocks.com/goods/Goods/detail?id=AA00IA4C","AA00IA4C")</f>
        <v/>
      </c>
      <c r="L450" t="inlineStr"/>
      <c r="M450" t="inlineStr"/>
      <c r="N450" t="inlineStr"/>
    </row>
    <row r="451">
      <c r="A451" t="inlineStr">
        <is>
          <t>CCCCc1ccc2nc(Nc3nc(C)cc(=O)[nH]3)[nH]c2c1</t>
        </is>
      </c>
      <c r="B451" t="inlineStr">
        <is>
          <t>ZINC000032265912</t>
        </is>
      </c>
      <c r="C451" t="inlineStr"/>
      <c r="D451" t="inlineStr"/>
      <c r="E451" t="inlineStr"/>
      <c r="F451" t="inlineStr"/>
      <c r="G451" t="inlineStr"/>
      <c r="H451">
        <f>HYPERLINK("http://www.sigmaaldrich.com/catalog/search?term=PH005565&amp;interface=All&amp;N=0&amp;mode=match%20partialmax&amp;lang=en&amp;region=US&amp;focus=product","PH005565")</f>
        <v/>
      </c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CC(=O)Cc1nsc(Nc2ccc(C)c(C)c2)n1</t>
        </is>
      </c>
      <c r="B452" t="inlineStr">
        <is>
          <t>ZINC000040478811</t>
        </is>
      </c>
      <c r="C452" t="inlineStr"/>
      <c r="D452" t="inlineStr"/>
      <c r="E452">
        <f>HYPERLINK("https://aksci.com/item_detail.php?cat=HTS027923","HTS027923")</f>
        <v/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CCOC(=O)c1cnc(SC)nc1Nc1ccccc1</t>
        </is>
      </c>
      <c r="B453" t="inlineStr">
        <is>
          <t>ZINC000000342383</t>
        </is>
      </c>
      <c r="C453" t="inlineStr"/>
      <c r="D453" t="inlineStr"/>
      <c r="E453">
        <f>HYPERLINK("https://aksci.com/item_detail.php?cat=1428AA","1428AA")</f>
        <v/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CCc1ccc(Nc2nc(CC(=O)O)cs2)cc1</t>
        </is>
      </c>
      <c r="B454" t="inlineStr">
        <is>
          <t>ZINC000000874114</t>
        </is>
      </c>
      <c r="C454" t="inlineStr"/>
      <c r="D454" t="inlineStr"/>
      <c r="E454" t="inlineStr"/>
      <c r="F454" t="inlineStr"/>
      <c r="G454" t="inlineStr"/>
      <c r="H454">
        <f>HYPERLINK("http://www.sigmaaldrich.com/catalog/search?term=OTV000417&amp;interface=All&amp;N=0&amp;mode=match%20partialmax&amp;lang=en&amp;region=US&amp;focus=product","OTV000417")</f>
        <v/>
      </c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Cc1cc(F)cc(Nc2ncc(Br)cn2)c1</t>
        </is>
      </c>
      <c r="B455" t="inlineStr">
        <is>
          <t>ZINC000091526966</t>
        </is>
      </c>
      <c r="C455" t="inlineStr"/>
      <c r="D455" t="inlineStr"/>
      <c r="E455" t="inlineStr"/>
      <c r="F455">
        <f>HYPERLINK("https://www.enaminestore.com/catalog/EN300-296027","EN300-296027")</f>
        <v/>
      </c>
      <c r="G455" t="inlineStr"/>
      <c r="H455" t="inlineStr"/>
      <c r="I455" t="inlineStr"/>
      <c r="J455" t="inlineStr"/>
      <c r="K455">
        <f>HYPERLINK("http://aablocks.com/goods/Goods/detail?id=AA01B465","AA01B465")</f>
        <v/>
      </c>
      <c r="L455" t="inlineStr"/>
      <c r="M455" t="inlineStr"/>
      <c r="N455" t="inlineStr"/>
    </row>
    <row r="456">
      <c r="A456" t="inlineStr">
        <is>
          <t>Cc1ccc(Nc2nccc(C(F)(F)F)n2)cc1C(=O)O</t>
        </is>
      </c>
      <c r="B456" t="inlineStr">
        <is>
          <t>ZINC000081586058</t>
        </is>
      </c>
      <c r="C456" t="inlineStr"/>
      <c r="D456" t="inlineStr"/>
      <c r="E456" t="inlineStr"/>
      <c r="F456">
        <f>HYPERLINK("https://www.enaminestore.com/catalog/EN300-399479","EN300-399479")</f>
        <v/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c1ccc(Nc2nnc(-c3cccnc3)s2)cc1</t>
        </is>
      </c>
      <c r="B457" t="inlineStr">
        <is>
          <t>ZINC000001257835</t>
        </is>
      </c>
      <c r="C457" t="inlineStr"/>
      <c r="D457">
        <f>HYPERLINK("http://www.matrixscientific.com/039887.html","039887")</f>
        <v/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COc1cccc(Nc2nc3c(Cl)ncnc3s2)c1</t>
        </is>
      </c>
      <c r="B458" t="inlineStr">
        <is>
          <t>ZINC000071257063</t>
        </is>
      </c>
      <c r="C458">
        <f>HYPERLINK("http://www.combi-blocks.com/cgi-bin/find.cgi?QA-4101","QA-4101")</f>
        <v/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CS(=O)(=O)c1ccc2c(c1)Nc1ccccc1S2</t>
        </is>
      </c>
      <c r="B459" t="inlineStr">
        <is>
          <t>ZINC000005141410</t>
        </is>
      </c>
      <c r="C459">
        <f>HYPERLINK("http://www.combi-blocks.com/cgi-bin/find.cgi?QJ-2990","QJ-2990")</f>
        <v/>
      </c>
      <c r="D459" t="inlineStr"/>
      <c r="E459">
        <f>HYPERLINK("https://aksci.com/item_detail.php?cat=1579AB","1579AB")</f>
        <v/>
      </c>
      <c r="F459" t="inlineStr"/>
      <c r="G459">
        <f>HYPERLINK("http://astatechinc.com/CPSResult.php?CRNO=29823","29823")</f>
        <v/>
      </c>
      <c r="H459" t="inlineStr"/>
      <c r="I459" t="inlineStr"/>
      <c r="J459">
        <f>HYPERLINK("http://www.ambeed.com/search/Search.html?keyword=A132301","A132301")</f>
        <v/>
      </c>
      <c r="K459" t="inlineStr"/>
      <c r="L459" t="inlineStr"/>
      <c r="M459" t="inlineStr"/>
      <c r="N459" t="inlineStr"/>
    </row>
    <row r="460">
      <c r="A460" t="inlineStr">
        <is>
          <t>CCCCCOc1ccc(Nc2nc(C)cc(=O)[nH]2)cc1</t>
        </is>
      </c>
      <c r="B460" t="inlineStr">
        <is>
          <t>ZINC000032919425</t>
        </is>
      </c>
      <c r="C460" t="inlineStr"/>
      <c r="D460">
        <f>HYPERLINK("http://www.matrixscientific.com/079617.html","079617")</f>
        <v/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Fc1cccc(Nc2ncc(Br)cn2)c1</t>
        </is>
      </c>
      <c r="B461" t="inlineStr">
        <is>
          <t>ZINC000071599523</t>
        </is>
      </c>
      <c r="C461" t="inlineStr"/>
      <c r="D461" t="inlineStr"/>
      <c r="E461" t="inlineStr"/>
      <c r="F461">
        <f>HYPERLINK("https://www.enaminestore.com/catalog/EN300-295430","EN300-295430")</f>
        <v/>
      </c>
      <c r="G461" t="inlineStr"/>
      <c r="H461" t="inlineStr"/>
      <c r="I461" t="inlineStr"/>
      <c r="J461" t="inlineStr"/>
      <c r="K461">
        <f>HYPERLINK("http://aablocks.com/goods/Goods/detail?id=AA01B3WX","AA01B3WX")</f>
        <v/>
      </c>
      <c r="L461" t="inlineStr"/>
      <c r="M461" t="inlineStr"/>
      <c r="N461" t="inlineStr"/>
    </row>
    <row r="462">
      <c r="A462" t="inlineStr">
        <is>
          <t>c1ccc(-c2nnn[nH]2)c(Nc2cccc3c2CCCC3)c1</t>
        </is>
      </c>
      <c r="B462" t="inlineStr">
        <is>
          <t>ZINC000006716824</t>
        </is>
      </c>
      <c r="C462" t="inlineStr"/>
      <c r="D462" t="inlineStr"/>
      <c r="E462" t="inlineStr"/>
      <c r="F462" t="inlineStr"/>
      <c r="G462" t="inlineStr"/>
      <c r="H462">
        <f>HYPERLINK("http://www.sigmaaldrich.com/catalog/search?term=B2186&amp;interface=All&amp;N=0&amp;mode=match%20partialmax&amp;lang=en&amp;region=US&amp;focus=product","B2186")</f>
        <v/>
      </c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N#COc1ccc(Nc2ccc(OC#N)cc2)cc1</t>
        </is>
      </c>
      <c r="B463" t="inlineStr">
        <is>
          <t>ZINC000000392554</t>
        </is>
      </c>
      <c r="C463" t="inlineStr"/>
      <c r="D463" t="inlineStr"/>
      <c r="E463" t="inlineStr"/>
      <c r="F463" t="inlineStr"/>
      <c r="G463" t="inlineStr"/>
      <c r="H463">
        <f>HYPERLINK("http://www.sigmaaldrich.com/catalog/search?term=S226823&amp;interface=All&amp;N=0&amp;mode=match%20partialmax&amp;lang=en&amp;region=US&amp;focus=product","S226823")</f>
        <v/>
      </c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Fc1ccc(Nc2nc(Cl)nc(Cl)n2)cc1</t>
        </is>
      </c>
      <c r="B464" t="inlineStr">
        <is>
          <t>ZINC000002160541</t>
        </is>
      </c>
      <c r="C464" t="inlineStr"/>
      <c r="D464" t="inlineStr"/>
      <c r="E464" t="inlineStr"/>
      <c r="F464" t="inlineStr"/>
      <c r="G464" t="inlineStr"/>
      <c r="H464" t="inlineStr"/>
      <c r="I464">
        <f>HYPERLINK("https://www.alfa.com/en/catalog/H50548","H50548")</f>
        <v/>
      </c>
      <c r="J464" t="inlineStr"/>
      <c r="K464" t="inlineStr"/>
      <c r="L464" t="inlineStr"/>
      <c r="M464" t="inlineStr"/>
      <c r="N464" t="inlineStr"/>
    </row>
    <row r="465">
      <c r="A465" t="inlineStr">
        <is>
          <t>CCc1cccc(C)c1Nc1nnc(S)s1</t>
        </is>
      </c>
      <c r="B465" t="inlineStr">
        <is>
          <t>ZINC000006649965</t>
        </is>
      </c>
      <c r="C465" t="inlineStr"/>
      <c r="D465" t="inlineStr"/>
      <c r="E465" t="inlineStr"/>
      <c r="F465">
        <f>HYPERLINK("https://www.enaminestore.com/catalog/EN300-15012","EN300-15012")</f>
        <v/>
      </c>
      <c r="G465" t="inlineStr"/>
      <c r="H465" t="inlineStr"/>
      <c r="I465" t="inlineStr"/>
      <c r="J465" t="inlineStr"/>
      <c r="K465">
        <f>HYPERLINK("http://aablocks.com/goods/Goods/detail?id=AA00GUAT","AA00GUAT")</f>
        <v/>
      </c>
      <c r="L465" t="inlineStr"/>
      <c r="M465" t="inlineStr"/>
      <c r="N465" t="inlineStr"/>
    </row>
    <row r="466">
      <c r="A466" t="inlineStr">
        <is>
          <t>FC(F)(F)c1ccnc(Nc2nccc(Cl)n2)c1</t>
        </is>
      </c>
      <c r="B466" t="inlineStr">
        <is>
          <t>ZINC000098181732</t>
        </is>
      </c>
      <c r="C466">
        <f>HYPERLINK("http://www.combi-blocks.com/cgi-bin/find.cgi?QJ-4448","QJ-4448")</f>
        <v/>
      </c>
      <c r="D466">
        <f>HYPERLINK("http://www.matrixscientific.com/145641.html","145641")</f>
        <v/>
      </c>
      <c r="E466" t="inlineStr"/>
      <c r="F466" t="inlineStr"/>
      <c r="G466">
        <f>HYPERLINK("http://astatechinc.com/CPSResult.php?CRNO=27970","27970")</f>
        <v/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CC(=O)c1ccc(Nc2ccccc2C(=O)O)cc1</t>
        </is>
      </c>
      <c r="B467" t="inlineStr">
        <is>
          <t>ZINC000025496963</t>
        </is>
      </c>
      <c r="C467" t="inlineStr"/>
      <c r="D467" t="inlineStr"/>
      <c r="E467" t="inlineStr"/>
      <c r="F467">
        <f>HYPERLINK("https://www.enaminestore.com/catalog/EN300-322940","EN300-322940")</f>
        <v/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CCOC(=O)c1csc(Nc2cc(F)cc(F)c2)n1</t>
        </is>
      </c>
      <c r="B468" t="inlineStr">
        <is>
          <t>ZINC000112209990</t>
        </is>
      </c>
      <c r="C468" t="inlineStr"/>
      <c r="D468">
        <f>HYPERLINK("http://www.matrixscientific.com/130735.html","130735")</f>
        <v/>
      </c>
      <c r="E468" t="inlineStr"/>
      <c r="F468">
        <f>HYPERLINK("https://www.enaminestore.com/catalog/EN300-6507870","EN300-6507870")</f>
        <v/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O=c1oc(Nc2cccc(F)c2)nc2ccccc12</t>
        </is>
      </c>
      <c r="B469" t="inlineStr">
        <is>
          <t>ZINC000004040834</t>
        </is>
      </c>
      <c r="C469" t="inlineStr"/>
      <c r="D469">
        <f>HYPERLINK("http://www.matrixscientific.com/170041.html","170041")</f>
        <v/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COc1cc2ncnc(Nc3ccccc3)c2cc1OC</t>
        </is>
      </c>
      <c r="B470" t="inlineStr">
        <is>
          <t>ZINC000000116934</t>
        </is>
      </c>
      <c r="C470">
        <f>HYPERLINK("http://www.combi-blocks.com/cgi-bin/find.cgi?QM-5005","QM-5005")</f>
        <v/>
      </c>
      <c r="D470" t="inlineStr"/>
      <c r="E470">
        <f>HYPERLINK("https://aksci.com/item_detail.php?cat=2810AL","2810AL")</f>
        <v/>
      </c>
      <c r="F470" t="inlineStr"/>
      <c r="G470" t="inlineStr"/>
      <c r="H470" t="inlineStr"/>
      <c r="I470" t="inlineStr"/>
      <c r="J470" t="inlineStr"/>
      <c r="K470" t="inlineStr"/>
      <c r="L470">
        <f>HYPERLINK("http://www.achemblock.com/catalogsearch/result/?q=O33727","O33727")</f>
        <v/>
      </c>
      <c r="M470" t="inlineStr"/>
      <c r="N470" t="inlineStr"/>
    </row>
    <row r="471">
      <c r="A471" t="inlineStr">
        <is>
          <t>O=c1oc(Nc2ccccc2F)nc2ccccc12</t>
        </is>
      </c>
      <c r="B471" t="inlineStr">
        <is>
          <t>ZINC000004040832</t>
        </is>
      </c>
      <c r="C471" t="inlineStr"/>
      <c r="D471">
        <f>HYPERLINK("http://www.matrixscientific.com/170040.html","170040")</f>
        <v/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Cc1cc(Nc2ccc3c(c2)CCCC3)c(C(=O)O)c(O)n1</t>
        </is>
      </c>
      <c r="B472" t="inlineStr">
        <is>
          <t>ZINC000584880370</t>
        </is>
      </c>
      <c r="C472" t="inlineStr"/>
      <c r="D472" t="inlineStr"/>
      <c r="E472" t="inlineStr"/>
      <c r="F472">
        <f>HYPERLINK("https://www.enaminestore.com/catalog/EN300-352261","EN300-352261")</f>
        <v/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Cc1cccc(C)c1Nc1nnc(SCC(=O)O)s1</t>
        </is>
      </c>
      <c r="B473" t="inlineStr">
        <is>
          <t>ZINC000003269548</t>
        </is>
      </c>
      <c r="C473" t="inlineStr"/>
      <c r="D473" t="inlineStr"/>
      <c r="E473" t="inlineStr"/>
      <c r="F473">
        <f>HYPERLINK("https://www.enaminestore.com/catalog/EN300-04991","EN300-04991")</f>
        <v/>
      </c>
      <c r="G473" t="inlineStr"/>
      <c r="H473">
        <f>HYPERLINK("http://www.sigmaaldrich.com/catalog/search?term=CDS014561|ALDRICH&amp;interface=All&amp;N=0&amp;mode=match%20partialmax&amp;lang=en&amp;region=US&amp;focus=product","CDS014561")</f>
        <v/>
      </c>
      <c r="I473" t="inlineStr"/>
      <c r="J473" t="inlineStr"/>
      <c r="K473">
        <f>HYPERLINK("http://aablocks.com/goods/Goods/detail?id=AA00IA03","AA00IA03")</f>
        <v/>
      </c>
      <c r="L473" t="inlineStr"/>
      <c r="M473" t="inlineStr"/>
      <c r="N473" t="inlineStr"/>
    </row>
    <row r="474">
      <c r="A474" t="inlineStr">
        <is>
          <t>FC(F)(F)c1ccnc(Nc2ccnc(Cl)n2)c1</t>
        </is>
      </c>
      <c r="B474" t="inlineStr">
        <is>
          <t>ZINC000095629673</t>
        </is>
      </c>
      <c r="C474" t="inlineStr"/>
      <c r="D474">
        <f>HYPERLINK("http://www.matrixscientific.com/120617.html","120617")</f>
        <v/>
      </c>
      <c r="E474" t="inlineStr"/>
      <c r="F474" t="inlineStr"/>
      <c r="G474">
        <f>HYPERLINK("http://astatechinc.com/CPSResult.php?CRNO=F50776","F50776")</f>
        <v/>
      </c>
      <c r="H474" t="inlineStr"/>
      <c r="I474" t="inlineStr"/>
      <c r="J474" t="inlineStr"/>
      <c r="K474" t="inlineStr"/>
      <c r="L474">
        <f>HYPERLINK("http://www.achemblock.com/catalogsearch/result/?q=O32697","O32697")</f>
        <v/>
      </c>
      <c r="M474" t="inlineStr"/>
      <c r="N474" t="inlineStr"/>
    </row>
    <row r="475">
      <c r="A475" t="inlineStr">
        <is>
          <t>COC(=O)c1cccc2c1Nc1ccccc1CC2</t>
        </is>
      </c>
      <c r="B475" t="inlineStr">
        <is>
          <t>ZINC000071772770</t>
        </is>
      </c>
      <c r="C475" t="inlineStr"/>
      <c r="D475" t="inlineStr"/>
      <c r="E475" t="inlineStr"/>
      <c r="F475" t="inlineStr"/>
      <c r="G475" t="inlineStr"/>
      <c r="H475">
        <f>HYPERLINK("http://www.sigmaaldrich.com/catalog/search?term=PH006463&amp;interface=All&amp;N=0&amp;mode=match%20partialmax&amp;lang=en&amp;region=US&amp;focus=product","PH006463")</f>
        <v/>
      </c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CCOC(=O)c1ncsc1Nc1ccc(C)cc1</t>
        </is>
      </c>
      <c r="B476" t="inlineStr">
        <is>
          <t>ZINC000071201787</t>
        </is>
      </c>
      <c r="C476" t="inlineStr"/>
      <c r="D476" t="inlineStr"/>
      <c r="E476" t="inlineStr"/>
      <c r="F476">
        <f>HYPERLINK("https://www.enaminestore.com/catalog/EN300-298910","EN300-298910")</f>
        <v/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COc1ccc(Nc2ccc(C(=O)O)cc2)c(OC)c1</t>
        </is>
      </c>
      <c r="B477" t="inlineStr">
        <is>
          <t>ZINC000050912939</t>
        </is>
      </c>
      <c r="C477" t="inlineStr"/>
      <c r="D477" t="inlineStr"/>
      <c r="E477" t="inlineStr"/>
      <c r="F477">
        <f>HYPERLINK("https://www.enaminestore.com/catalog/EN300-343593","EN300-343593")</f>
        <v/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CC(=O)c1sc(Nc2ccc(Cl)cn2)nc1C</t>
        </is>
      </c>
      <c r="B478" t="inlineStr">
        <is>
          <t>ZINC000012336580</t>
        </is>
      </c>
      <c r="C478" t="inlineStr"/>
      <c r="D478">
        <f>HYPERLINK("http://www.matrixscientific.com/046901.html","046901")</f>
        <v/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CC(=O)c1cnc(Nc2ccc(Cl)cn2)s1</t>
        </is>
      </c>
      <c r="B479" t="inlineStr">
        <is>
          <t>ZINC000012336582</t>
        </is>
      </c>
      <c r="C479" t="inlineStr"/>
      <c r="D479">
        <f>HYPERLINK("http://www.matrixscientific.com/046903.html","046903")</f>
        <v/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Cc1cc(Cl)nc(Nc2nc3ccccc3[nH]2)n1</t>
        </is>
      </c>
      <c r="B480" t="inlineStr">
        <is>
          <t>ZINC000013216525</t>
        </is>
      </c>
      <c r="C480" t="inlineStr"/>
      <c r="D480" t="inlineStr"/>
      <c r="E480">
        <f>HYPERLINK("https://aksci.com/item_detail.php?cat=5179AJ","5179AJ")</f>
        <v/>
      </c>
      <c r="F480" t="inlineStr"/>
      <c r="G480">
        <f>HYPERLINK("http://astatechinc.com/CPSResult.php?CRNO=AC6120","AC6120")</f>
        <v/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COC(=O)c1ccc(Nc2ccc(C(=O)OC)cc2)cc1</t>
        </is>
      </c>
      <c r="B481" t="inlineStr">
        <is>
          <t>ZINC000035050306</t>
        </is>
      </c>
      <c r="C481" t="inlineStr"/>
      <c r="D481" t="inlineStr"/>
      <c r="E481" t="inlineStr"/>
      <c r="F481" t="inlineStr"/>
      <c r="G481">
        <f>HYPERLINK("http://astatechinc.com/CPSResult.php?CRNO=AC4699","AC4699")</f>
        <v/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COc1ccc(Nc2ccc(OC)cc2C(=O)O)cc1</t>
        </is>
      </c>
      <c r="B482" t="inlineStr">
        <is>
          <t>ZINC000001729836</t>
        </is>
      </c>
      <c r="C482" t="inlineStr"/>
      <c r="D482">
        <f>HYPERLINK("http://www.matrixscientific.com/143672.html","143672")</f>
        <v/>
      </c>
      <c r="E482">
        <f>HYPERLINK("https://aksci.com/item_detail.php?cat=8356AB","8356AB")</f>
        <v/>
      </c>
      <c r="F482" t="inlineStr"/>
      <c r="G482">
        <f>HYPERLINK("http://astatechinc.com/CPSResult.php?CRNO=F18087","F18087")</f>
        <v/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COc1ccc(Nc2nc(C)cc(C)c2C#N)c(OC)c1</t>
        </is>
      </c>
      <c r="B483" t="inlineStr">
        <is>
          <t>ZINC000000468608</t>
        </is>
      </c>
      <c r="C483" t="inlineStr"/>
      <c r="D483">
        <f>HYPERLINK("http://www.matrixscientific.com/063023.html","063023")</f>
        <v/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N#Cc1ccc(Nc2nc(Cl)cc(Cl)n2)cc1</t>
        </is>
      </c>
      <c r="B484" t="inlineStr">
        <is>
          <t>ZINC000040435086</t>
        </is>
      </c>
      <c r="C484">
        <f>HYPERLINK("http://www.combi-blocks.com/cgi-bin/find.cgi?QB-7021","QB-7021")</f>
        <v/>
      </c>
      <c r="D484">
        <f>HYPERLINK("http://www.matrixscientific.com/090626.html","090626")</f>
        <v/>
      </c>
      <c r="E484">
        <f>HYPERLINK("https://aksci.com/item_detail.php?cat=W5466","W5466")</f>
        <v/>
      </c>
      <c r="F484" t="inlineStr"/>
      <c r="G484">
        <f>HYPERLINK("http://astatechinc.com/CPSResult.php?CRNO=74308","74308")</f>
        <v/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CCOC(=O)c1ccc(Nc2cccc(C#N)c2)cc1</t>
        </is>
      </c>
      <c r="B485" t="inlineStr">
        <is>
          <t>ZINC000002527488</t>
        </is>
      </c>
      <c r="C485">
        <f>HYPERLINK("http://www.combi-blocks.com/cgi-bin/find.cgi?QA-7979","QA-7979")</f>
        <v/>
      </c>
      <c r="D485" t="inlineStr"/>
      <c r="E485" t="inlineStr"/>
      <c r="F485" t="inlineStr"/>
      <c r="G485">
        <f>HYPERLINK("http://astatechinc.com/CPSResult.php?CRNO=67457","67457")</f>
        <v/>
      </c>
      <c r="H485" t="inlineStr"/>
      <c r="I485" t="inlineStr"/>
      <c r="J485" t="inlineStr"/>
      <c r="K485">
        <f>HYPERLINK("http://aablocks.com/goods/Goods/detail?id=AA006YBE","AA006YBE")</f>
        <v/>
      </c>
      <c r="L485" t="inlineStr"/>
      <c r="M485" t="inlineStr"/>
      <c r="N485" t="inlineStr"/>
    </row>
    <row r="486">
      <c r="A486" t="inlineStr">
        <is>
          <t>COc1ccnc(Nc2ccc(C)c(C)c2)c1C#N</t>
        </is>
      </c>
      <c r="B486" t="inlineStr">
        <is>
          <t>ZINC000001387802</t>
        </is>
      </c>
      <c r="C486" t="inlineStr"/>
      <c r="D486">
        <f>HYPERLINK("http://www.matrixscientific.com/162824.html","162824")</f>
        <v/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CCc1cccc(CC)c1Nc1nnc(S)s1</t>
        </is>
      </c>
      <c r="B487" t="inlineStr">
        <is>
          <t>ZINC000007718464</t>
        </is>
      </c>
      <c r="C487" t="inlineStr"/>
      <c r="D487" t="inlineStr"/>
      <c r="E487" t="inlineStr"/>
      <c r="F487">
        <f>HYPERLINK("https://www.enaminestore.com/catalog/EN300-15243","EN300-15243")</f>
        <v/>
      </c>
      <c r="G487" t="inlineStr"/>
      <c r="H487" t="inlineStr"/>
      <c r="I487" t="inlineStr"/>
      <c r="J487" t="inlineStr"/>
      <c r="K487">
        <f>HYPERLINK("http://aablocks.com/goods/Goods/detail?id=AA019M5I","AA019M5I")</f>
        <v/>
      </c>
      <c r="L487" t="inlineStr"/>
      <c r="M487" t="inlineStr"/>
      <c r="N487" t="inlineStr"/>
    </row>
    <row r="488">
      <c r="A488" t="inlineStr">
        <is>
          <t>CC(C)Oc1ccc(Nc2ccnc(Cl)n2)cc1</t>
        </is>
      </c>
      <c r="B488" t="inlineStr">
        <is>
          <t>ZINC000051849185</t>
        </is>
      </c>
      <c r="C488">
        <f>HYPERLINK("http://www.combi-blocks.com/cgi-bin/find.cgi?QA-9135","QA-9135")</f>
        <v/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S=c1[nH]nc(Nc2ccccc2)n1-c1ccccc1</t>
        </is>
      </c>
      <c r="B489" t="inlineStr">
        <is>
          <t>ZINC000002472777</t>
        </is>
      </c>
      <c r="C489">
        <f>HYPERLINK("http://www.combi-blocks.com/cgi-bin/find.cgi?QZ-0804","QZ-0804")</f>
        <v/>
      </c>
      <c r="D489">
        <f>HYPERLINK("http://www.matrixscientific.com/157177.html","157177")</f>
        <v/>
      </c>
      <c r="E489" t="inlineStr"/>
      <c r="F489" t="inlineStr"/>
      <c r="G489" t="inlineStr"/>
      <c r="H489">
        <f>HYPERLINK("http://www.sigmaaldrich.com/catalog/search?term=S48624&amp;interface=All&amp;N=0&amp;mode=match%20partialmax&amp;lang=en&amp;region=US&amp;focus=product","S48624")</f>
        <v/>
      </c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FC(F)(F)c1ccc(Nc2ccnc(Cl)n2)cc1</t>
        </is>
      </c>
      <c r="B490" t="inlineStr">
        <is>
          <t>ZINC000040448063</t>
        </is>
      </c>
      <c r="C490" t="inlineStr"/>
      <c r="D490">
        <f>HYPERLINK("http://www.matrixscientific.com/083972.html","083972")</f>
        <v/>
      </c>
      <c r="E490">
        <f>HYPERLINK("https://aksci.com/item_detail.php?cat=7810AC","7810AC")</f>
        <v/>
      </c>
      <c r="F490">
        <f>HYPERLINK("https://www.enaminestore.com/catalog/EN300-1268071","EN300-1268071")</f>
        <v/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Cc1ccccc1Nc1nc2c(Cl)ncnc2s1</t>
        </is>
      </c>
      <c r="B491" t="inlineStr">
        <is>
          <t>ZINC000071257062</t>
        </is>
      </c>
      <c r="C491">
        <f>HYPERLINK("http://www.combi-blocks.com/cgi-bin/find.cgi?QA-4083","QA-4083")</f>
        <v/>
      </c>
      <c r="D491" t="inlineStr"/>
      <c r="E491" t="inlineStr"/>
      <c r="F491" t="inlineStr"/>
      <c r="G491">
        <f>HYPERLINK("http://astatechinc.com/CPSResult.php?CRNO=N13067","N13067")</f>
        <v/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O=C(c1ccccc1)c1nnsc1Nc1ccccc1</t>
        </is>
      </c>
      <c r="B492" t="inlineStr">
        <is>
          <t>ZINC000071772073</t>
        </is>
      </c>
      <c r="C492" t="inlineStr"/>
      <c r="D492" t="inlineStr"/>
      <c r="E492" t="inlineStr"/>
      <c r="F492" t="inlineStr"/>
      <c r="G492" t="inlineStr"/>
      <c r="H492">
        <f>HYPERLINK("http://www.sigmaaldrich.com/catalog/search?term=PH005732&amp;interface=All&amp;N=0&amp;mode=match%20partialmax&amp;lang=en&amp;region=US&amp;focus=product","PH005732")</f>
        <v/>
      </c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FC(F)Sc1ccc(Nc2nnc(S)s2)cc1</t>
        </is>
      </c>
      <c r="B493" t="inlineStr">
        <is>
          <t>ZINC000006508067</t>
        </is>
      </c>
      <c r="C493" t="inlineStr"/>
      <c r="D493" t="inlineStr"/>
      <c r="E493" t="inlineStr"/>
      <c r="F493">
        <f>HYPERLINK("https://www.enaminestore.com/catalog/EN300-05064","EN300-05064")</f>
        <v/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Brc1cnc(Nc2ccccc2)s1</t>
        </is>
      </c>
      <c r="B494" t="inlineStr">
        <is>
          <t>ZINC000039212468</t>
        </is>
      </c>
      <c r="C494" t="inlineStr"/>
      <c r="D494" t="inlineStr"/>
      <c r="E494" t="inlineStr"/>
      <c r="F494" t="inlineStr"/>
      <c r="G494">
        <f>HYPERLINK("http://astatechinc.com/CPSResult.php?CRNO=O11390","O11390")</f>
        <v/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CSc1cccc(Nc2ccnc(Cl)n2)c1</t>
        </is>
      </c>
      <c r="B495" t="inlineStr">
        <is>
          <t>ZINC000054917663</t>
        </is>
      </c>
      <c r="C495" t="inlineStr"/>
      <c r="D495" t="inlineStr"/>
      <c r="E495" t="inlineStr"/>
      <c r="F495" t="inlineStr"/>
      <c r="G495">
        <f>HYPERLINK("http://astatechinc.com/CPSResult.php?CRNO=W10446","W10446")</f>
        <v/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FC(F)(F)c1ccccc1Nc1nnc(S)s1</t>
        </is>
      </c>
      <c r="B496" t="inlineStr">
        <is>
          <t>ZINC000003888747</t>
        </is>
      </c>
      <c r="C496" t="inlineStr"/>
      <c r="D496" t="inlineStr"/>
      <c r="E496" t="inlineStr"/>
      <c r="F496">
        <f>HYPERLINK("https://www.enaminestore.com/catalog/EN300-12830","EN300-12830")</f>
        <v/>
      </c>
      <c r="G496" t="inlineStr"/>
      <c r="H496" t="inlineStr"/>
      <c r="I496" t="inlineStr"/>
      <c r="J496" t="inlineStr"/>
      <c r="K496">
        <f>HYPERLINK("http://aablocks.com/goods/Goods/detail?id=AA00IDIW","AA00IDIW")</f>
        <v/>
      </c>
      <c r="L496" t="inlineStr"/>
      <c r="M496" t="inlineStr"/>
      <c r="N496" t="inlineStr"/>
    </row>
    <row r="497">
      <c r="A497" t="inlineStr">
        <is>
          <t>Cc1cc(Nc2ccccc2)ncc1Br</t>
        </is>
      </c>
      <c r="B497" t="inlineStr">
        <is>
          <t>ZINC000042783983</t>
        </is>
      </c>
      <c r="C497" t="inlineStr"/>
      <c r="D497">
        <f>HYPERLINK("http://www.matrixscientific.com/053148.html","053148")</f>
        <v/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Fc1ccc(Nc2ccc(Br)cn2)cc1</t>
        </is>
      </c>
      <c r="B498" t="inlineStr">
        <is>
          <t>ZINC000042376643</t>
        </is>
      </c>
      <c r="C498" t="inlineStr"/>
      <c r="D498">
        <f>HYPERLINK("http://www.matrixscientific.com/053494.html","053494")</f>
        <v/>
      </c>
      <c r="E498">
        <f>HYPERLINK("https://aksci.com/item_detail.php?cat=3189AF","3189AF")</f>
        <v/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Cc1cc(Br)cnc1Nc1ccccc1</t>
        </is>
      </c>
      <c r="B499" t="inlineStr">
        <is>
          <t>ZINC000042783985</t>
        </is>
      </c>
      <c r="C499" t="inlineStr"/>
      <c r="D499">
        <f>HYPERLINK("http://www.matrixscientific.com/053156.html","053156")</f>
        <v/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CC(C)c1ccc(Nc2ncccc2C(=O)O)cc1</t>
        </is>
      </c>
      <c r="B500" t="inlineStr">
        <is>
          <t>ZINC000000930774</t>
        </is>
      </c>
      <c r="C500">
        <f>HYPERLINK("http://www.combi-blocks.com/cgi-bin/find.cgi?QZ-8910","QZ-8910")</f>
        <v/>
      </c>
      <c r="D500">
        <f>HYPERLINK("http://www.matrixscientific.com/159651.html","159651")</f>
        <v/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Cc1ccc(Nc2ccc(Br)cn2)cc1</t>
        </is>
      </c>
      <c r="B501" t="inlineStr">
        <is>
          <t>ZINC000042249356</t>
        </is>
      </c>
      <c r="C501" t="inlineStr"/>
      <c r="D501">
        <f>HYPERLINK("http://www.matrixscientific.com/053365.html","053365")</f>
        <v/>
      </c>
      <c r="E501">
        <f>HYPERLINK("https://aksci.com/item_detail.php?cat=2082AD","2082AD")</f>
        <v/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COc1cccc(Nc2ncc(C(=O)O)c3ccccc23)c1</t>
        </is>
      </c>
      <c r="B502" t="inlineStr">
        <is>
          <t>ZINC000004034403</t>
        </is>
      </c>
      <c r="C502">
        <f>HYPERLINK("http://www.combi-blocks.com/cgi-bin/find.cgi?QZ-7738","QZ-7738")</f>
        <v/>
      </c>
      <c r="D502">
        <f>HYPERLINK("http://www.matrixscientific.com/037639.html","037639")</f>
        <v/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COc1ccc(Nc2ccc(Br)cn2)cc1</t>
        </is>
      </c>
      <c r="B503" t="inlineStr">
        <is>
          <t>ZINC000042249361</t>
        </is>
      </c>
      <c r="C503" t="inlineStr"/>
      <c r="D503">
        <f>HYPERLINK("http://www.matrixscientific.com/053519.html","053519")</f>
        <v/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COc1ccc(Nc2ncc(Br)cc2C)cc1</t>
        </is>
      </c>
      <c r="B504" t="inlineStr">
        <is>
          <t>ZINC000042784054</t>
        </is>
      </c>
      <c r="C504" t="inlineStr"/>
      <c r="D504">
        <f>HYPERLINK("http://www.matrixscientific.com/053518.html","053518")</f>
        <v/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Cc1ccc(Nc2nc3ccc(C)cc3c(=O)o2)cc1</t>
        </is>
      </c>
      <c r="B505" t="inlineStr">
        <is>
          <t>ZINC000000382826</t>
        </is>
      </c>
      <c r="C505" t="inlineStr"/>
      <c r="D505" t="inlineStr"/>
      <c r="E505">
        <f>HYPERLINK("https://aksci.com/item_detail.php?cat=Y0349","Y0349")</f>
        <v/>
      </c>
      <c r="F505" t="inlineStr"/>
      <c r="G505">
        <f>HYPERLINK("http://astatechinc.com/CPSResult.php?CRNO=C16537","C16537")</f>
        <v/>
      </c>
      <c r="H505" t="inlineStr"/>
      <c r="I505" t="inlineStr"/>
      <c r="J505" t="inlineStr"/>
      <c r="K505" t="inlineStr"/>
      <c r="L505">
        <f>HYPERLINK("http://www.achemblock.com/catalogsearch/result/?q=10736","10736")</f>
        <v/>
      </c>
      <c r="M505" t="inlineStr"/>
      <c r="N505" t="inlineStr"/>
    </row>
    <row r="506">
      <c r="A506" t="inlineStr">
        <is>
          <t>Cc1ccccc1Nc1ccc(Br)cn1</t>
        </is>
      </c>
      <c r="B506" t="inlineStr">
        <is>
          <t>ZINC000042376597</t>
        </is>
      </c>
      <c r="C506" t="inlineStr"/>
      <c r="D506">
        <f>HYPERLINK("http://www.matrixscientific.com/053313.html","053313")</f>
        <v/>
      </c>
      <c r="E506">
        <f>HYPERLINK("https://aksci.com/item_detail.php?cat=2077AD","2077AD")</f>
        <v/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CCOc1ccc(Nc2cc(C)nc(Cl)n2)cc1</t>
        </is>
      </c>
      <c r="B507" t="inlineStr">
        <is>
          <t>ZINC000013534099</t>
        </is>
      </c>
      <c r="C507" t="inlineStr"/>
      <c r="D507">
        <f>HYPERLINK("http://www.matrixscientific.com/034264.html","034264")</f>
        <v/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COC(=O)c1ccccc1Nc1ccnc(C(F)(F)F)c1</t>
        </is>
      </c>
      <c r="B508" t="inlineStr">
        <is>
          <t>ZINC000001405973</t>
        </is>
      </c>
      <c r="C508" t="inlineStr"/>
      <c r="D508">
        <f>HYPERLINK("http://www.matrixscientific.com/171217.html","171217")</f>
        <v/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COc1ccc(Nc2cc(C)c(Br)cn2)cc1</t>
        </is>
      </c>
      <c r="B509" t="inlineStr">
        <is>
          <t>ZINC000042784051</t>
        </is>
      </c>
      <c r="C509" t="inlineStr"/>
      <c r="D509">
        <f>HYPERLINK("http://www.matrixscientific.com/053511.html","053511")</f>
        <v/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CCCCc1ccc(Nc2nnc(S)s2)cc1</t>
        </is>
      </c>
      <c r="B510" t="inlineStr">
        <is>
          <t>ZINC000006146661</t>
        </is>
      </c>
      <c r="C510" t="inlineStr"/>
      <c r="D510" t="inlineStr"/>
      <c r="E510" t="inlineStr"/>
      <c r="F510">
        <f>HYPERLINK("https://www.enaminestore.com/catalog/EN300-03470","EN300-03470")</f>
        <v/>
      </c>
      <c r="G510" t="inlineStr"/>
      <c r="H510" t="inlineStr"/>
      <c r="I510" t="inlineStr"/>
      <c r="J510" t="inlineStr"/>
      <c r="K510">
        <f>HYPERLINK("http://aablocks.com/goods/Goods/detail?id=AA00ICIU","AA00ICIU")</f>
        <v/>
      </c>
      <c r="L510" t="inlineStr"/>
      <c r="M510" t="inlineStr"/>
      <c r="N510" t="inlineStr"/>
    </row>
    <row r="511">
      <c r="A511" t="inlineStr">
        <is>
          <t>c1ccc(Nc2nc(-c3ccccc3)ns2)cc1</t>
        </is>
      </c>
      <c r="B511" t="inlineStr">
        <is>
          <t>ZINC000006962136</t>
        </is>
      </c>
      <c r="C511" t="inlineStr"/>
      <c r="D511" t="inlineStr"/>
      <c r="E511" t="inlineStr"/>
      <c r="F511">
        <f>HYPERLINK("https://www.enaminestore.com/catalog/EN300-28891","EN300-28891")</f>
        <v/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COc1ccccc1Nc1ncc(C(=O)O)c2ccccc12</t>
        </is>
      </c>
      <c r="B512" t="inlineStr">
        <is>
          <t>ZINC000021365249</t>
        </is>
      </c>
      <c r="C512" t="inlineStr"/>
      <c r="D512">
        <f>HYPERLINK("http://www.matrixscientific.com/078562.html","078562")</f>
        <v/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COc1ccc(Nc2nc(Cl)cc(Cl)n2)cc1</t>
        </is>
      </c>
      <c r="B513" t="inlineStr">
        <is>
          <t>ZINC000012741221</t>
        </is>
      </c>
      <c r="C513" t="inlineStr"/>
      <c r="D513" t="inlineStr"/>
      <c r="E513" t="inlineStr"/>
      <c r="F513">
        <f>HYPERLINK("https://www.enaminestore.com/catalog/EN300-177521","EN300-177521")</f>
        <v/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Fc1ccccc1Nc1nc2c(Cl)ncnc2s1</t>
        </is>
      </c>
      <c r="B514" t="inlineStr">
        <is>
          <t>ZINC000071257061</t>
        </is>
      </c>
      <c r="C514">
        <f>HYPERLINK("http://www.combi-blocks.com/cgi-bin/find.cgi?QA-4076","QA-4076")</f>
        <v/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Cc1c(Nc2ncccc2C(=O)O)cccc1C(F)(F)F</t>
        </is>
      </c>
      <c r="B515" t="inlineStr">
        <is>
          <t>ZINC000000001467</t>
        </is>
      </c>
      <c r="C515" t="inlineStr"/>
      <c r="D515" t="inlineStr"/>
      <c r="E515">
        <f>HYPERLINK("https://aksci.com/item_detail.php?cat=H091","H091")</f>
        <v/>
      </c>
      <c r="F515" t="inlineStr"/>
      <c r="G515">
        <f>HYPERLINK("http://astatechinc.com/CPSResult.php?CRNO=H10204","H10204")</f>
        <v/>
      </c>
      <c r="H515">
        <f>HYPERLINK("http://www.sigmaaldrich.com/catalog/search?term=1274607&amp;interface=All&amp;N=0&amp;mode=match%20partialmax&amp;lang=en&amp;region=US&amp;focus=product","1274607")</f>
        <v/>
      </c>
      <c r="I515" t="inlineStr"/>
      <c r="J515" t="inlineStr"/>
      <c r="K515" t="inlineStr"/>
      <c r="L515" t="inlineStr"/>
      <c r="M515" t="inlineStr"/>
      <c r="N515">
        <f>HYPERLINK("https://www.biosynth.com/en/products/life-science/other-biochemicals/products/Q-201124","Q-201124")</f>
        <v/>
      </c>
    </row>
    <row r="516">
      <c r="A516" t="inlineStr">
        <is>
          <t>COc1ccc(Nc2ccc3ccccc3n2)cc1</t>
        </is>
      </c>
      <c r="B516" t="inlineStr">
        <is>
          <t>ZINC000059280144</t>
        </is>
      </c>
      <c r="C516">
        <f>HYPERLINK("http://www.combi-blocks.com/cgi-bin/find.cgi?QV-6758","QV-6758")</f>
        <v/>
      </c>
      <c r="D516" t="inlineStr"/>
      <c r="E516" t="inlineStr"/>
      <c r="F516" t="inlineStr"/>
      <c r="G516">
        <f>HYPERLINK("http://astatechinc.com/CPSResult.php?CRNO=F51670","F51670")</f>
        <v/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FC(F)(F)c1cccc(Nc2ccnc(Cl)n2)c1</t>
        </is>
      </c>
      <c r="B517" t="inlineStr">
        <is>
          <t>ZINC000040448064</t>
        </is>
      </c>
      <c r="C517">
        <f>HYPERLINK("http://www.combi-blocks.com/cgi-bin/find.cgi?QZ-2398","QZ-2398")</f>
        <v/>
      </c>
      <c r="D517">
        <f>HYPERLINK("http://www.matrixscientific.com/064263.html","064263")</f>
        <v/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CC(=O)c1sc(Nc2ccc(F)cc2)nc1C</t>
        </is>
      </c>
      <c r="B518" t="inlineStr">
        <is>
          <t>ZINC000000574013</t>
        </is>
      </c>
      <c r="C518" t="inlineStr"/>
      <c r="D518">
        <f>HYPERLINK("http://www.matrixscientific.com/046900.html","046900")</f>
        <v/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CC(C)Oc1ccc(Nc2cc(Cl)ncn2)cc1</t>
        </is>
      </c>
      <c r="B519" t="inlineStr">
        <is>
          <t>ZINC000048631106</t>
        </is>
      </c>
      <c r="C519">
        <f>HYPERLINK("http://www.combi-blocks.com/cgi-bin/find.cgi?QA-3199","QA-3199")</f>
        <v/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FC(F)(F)Oc1ccc(Nc2cc(Cl)ncn2)cc1</t>
        </is>
      </c>
      <c r="B520" t="inlineStr">
        <is>
          <t>ZINC000033822037</t>
        </is>
      </c>
      <c r="C520" t="inlineStr"/>
      <c r="D520" t="inlineStr"/>
      <c r="E520" t="inlineStr"/>
      <c r="F520">
        <f>HYPERLINK("https://www.enaminestore.com/catalog/EN300-1723956","EN300-1723956")</f>
        <v/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CCOc1ccc(Nc2nc(C)c(C(C)=O)s2)cc1</t>
        </is>
      </c>
      <c r="B521" t="inlineStr">
        <is>
          <t>ZINC000000064022</t>
        </is>
      </c>
      <c r="C521" t="inlineStr"/>
      <c r="D521" t="inlineStr"/>
      <c r="E521" t="inlineStr"/>
      <c r="F521" t="inlineStr"/>
      <c r="G521" t="inlineStr"/>
      <c r="H521">
        <f>HYPERLINK("http://www.sigmaaldrich.com/catalog/search?term=R623768&amp;interface=All&amp;N=0&amp;mode=match%20partialmax&amp;lang=en&amp;region=US&amp;focus=product","R623768")</f>
        <v/>
      </c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Cc1cccc(Nc2ccc(Br)cn2)c1</t>
        </is>
      </c>
      <c r="B522" t="inlineStr">
        <is>
          <t>ZINC000042376595</t>
        </is>
      </c>
      <c r="C522" t="inlineStr"/>
      <c r="D522">
        <f>HYPERLINK("http://www.matrixscientific.com/053339.html","053339")</f>
        <v/>
      </c>
      <c r="E522">
        <f>HYPERLINK("https://aksci.com/item_detail.php?cat=1546AD","1546AD")</f>
        <v/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Clc1ncc(Br)c(Nc2ccccc2)n1</t>
        </is>
      </c>
      <c r="B523" t="inlineStr">
        <is>
          <t>ZINC000026898624</t>
        </is>
      </c>
      <c r="C523" t="inlineStr"/>
      <c r="D523" t="inlineStr"/>
      <c r="E523" t="inlineStr"/>
      <c r="F523" t="inlineStr"/>
      <c r="G523">
        <f>HYPERLINK("http://astatechinc.com/CPSResult.php?CRNO=W18488","W18488")</f>
        <v/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Clc1nc(Nc2ccccc2)nc(-c2ccccc2)n1</t>
        </is>
      </c>
      <c r="B524" t="inlineStr">
        <is>
          <t>ZINC000031623285</t>
        </is>
      </c>
      <c r="C524" t="inlineStr"/>
      <c r="D524">
        <f>HYPERLINK("http://www.matrixscientific.com/133254.html","133254")</f>
        <v/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CC(C)c1ccc(Nc2nnc(S)s2)cc1</t>
        </is>
      </c>
      <c r="B525" t="inlineStr">
        <is>
          <t>ZINC000003243420</t>
        </is>
      </c>
      <c r="C525" t="inlineStr"/>
      <c r="D525" t="inlineStr"/>
      <c r="E525" t="inlineStr"/>
      <c r="F525">
        <f>HYPERLINK("https://www.enaminestore.com/catalog/EN300-03061","EN300-03061")</f>
        <v/>
      </c>
      <c r="G525" t="inlineStr"/>
      <c r="H525" t="inlineStr"/>
      <c r="I525" t="inlineStr"/>
      <c r="J525" t="inlineStr"/>
      <c r="K525">
        <f>HYPERLINK("http://aablocks.com/goods/Goods/detail?id=AA019H7Q","AA019H7Q")</f>
        <v/>
      </c>
      <c r="L525" t="inlineStr"/>
      <c r="M525" t="inlineStr"/>
      <c r="N525" t="inlineStr"/>
    </row>
    <row r="526">
      <c r="A526" t="inlineStr">
        <is>
          <t>FC(F)(F)c1cccc(Nc2ccc(Cl)nn2)c1</t>
        </is>
      </c>
      <c r="B526" t="inlineStr">
        <is>
          <t>ZINC000037329087</t>
        </is>
      </c>
      <c r="C526" t="inlineStr"/>
      <c r="D526" t="inlineStr"/>
      <c r="E526" t="inlineStr"/>
      <c r="F526">
        <f>HYPERLINK("https://www.enaminestore.com/catalog/EN300-76778","EN300-76778")</f>
        <v/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Cc1ccc(F)cc1Nc1ncc(C(=O)O)cc1Cl</t>
        </is>
      </c>
      <c r="B527" t="inlineStr">
        <is>
          <t>ZINC000021022339</t>
        </is>
      </c>
      <c r="C527" t="inlineStr"/>
      <c r="D527" t="inlineStr"/>
      <c r="E527" t="inlineStr"/>
      <c r="F527">
        <f>HYPERLINK("https://www.enaminestore.com/catalog/EN300-65995","EN300-65995")</f>
        <v/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FC(F)(F)c1cccc(Nc2cc(Cl)ncn2)c1</t>
        </is>
      </c>
      <c r="B528" t="inlineStr">
        <is>
          <t>ZINC000048631144</t>
        </is>
      </c>
      <c r="C528" t="inlineStr"/>
      <c r="D528">
        <f>HYPERLINK("http://www.matrixscientific.com/102548.html","102548")</f>
        <v/>
      </c>
      <c r="E528">
        <f>HYPERLINK("https://aksci.com/item_detail.php?cat=1193AF","1193AF")</f>
        <v/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CCOC(=O)c1ccc(Nc2cnc3ccccc3n2)cc1</t>
        </is>
      </c>
      <c r="B529" t="inlineStr">
        <is>
          <t>ZINC000001396292</t>
        </is>
      </c>
      <c r="C529" t="inlineStr"/>
      <c r="D529">
        <f>HYPERLINK("http://www.matrixscientific.com/169767.html","169767")</f>
        <v/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COC(=O)c1ccccc1Nc1cccc(C)c1C</t>
        </is>
      </c>
      <c r="B530" t="inlineStr">
        <is>
          <t>ZINC000002003714</t>
        </is>
      </c>
      <c r="C530">
        <f>HYPERLINK("http://www.combi-blocks.com/cgi-bin/find.cgi?QY-6631","QY-6631")</f>
        <v/>
      </c>
      <c r="D530">
        <f>HYPERLINK("http://www.matrixscientific.com/158926.html","158926")</f>
        <v/>
      </c>
      <c r="E530" t="inlineStr"/>
      <c r="F530" t="inlineStr"/>
      <c r="G530" t="inlineStr"/>
      <c r="H530">
        <f>HYPERLINK("http://www.sigmaaldrich.com/catalog/search?term=PH006200&amp;interface=All&amp;N=0&amp;mode=match%20partialmax&amp;lang=en&amp;region=US&amp;focus=product","PH006200")</f>
        <v/>
      </c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CCOC(=O)c1sc(Nc2ccccc2C)nc1C</t>
        </is>
      </c>
      <c r="B531" t="inlineStr">
        <is>
          <t>ZINC000004245077</t>
        </is>
      </c>
      <c r="C531" t="inlineStr"/>
      <c r="D531" t="inlineStr"/>
      <c r="E531" t="inlineStr"/>
      <c r="F531">
        <f>HYPERLINK("https://www.enaminestore.com/catalog/EN300-230413","EN300-230413")</f>
        <v/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Cc1ccc(Nc2nc3c(Cl)ncnc3s2)cc1</t>
        </is>
      </c>
      <c r="B532" t="inlineStr">
        <is>
          <t>ZINC000026896949</t>
        </is>
      </c>
      <c r="C532">
        <f>HYPERLINK("http://www.combi-blocks.com/cgi-bin/find.cgi?OR-7784","OR-7784")</f>
        <v/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COc1ccc(Nc2ccn(-c3ccccc3)n2)cc1</t>
        </is>
      </c>
      <c r="B533" t="inlineStr">
        <is>
          <t>ZINC000000003938</t>
        </is>
      </c>
      <c r="C533">
        <f>HYPERLINK("http://www.combi-blocks.com/cgi-bin/find.cgi?QC-9476","QC-9476")</f>
        <v/>
      </c>
      <c r="D533" t="inlineStr"/>
      <c r="E533">
        <f>HYPERLINK("https://aksci.com/item_detail.php?cat=3655AL","3655AL")</f>
        <v/>
      </c>
      <c r="F533" t="inlineStr"/>
      <c r="G533">
        <f>HYPERLINK("http://astatechinc.com/CPSResult.php?CRNO=FD7168","FD7168")</f>
        <v/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Fc1ccc(Nc2nc(Cl)ncc2Cl)cc1</t>
        </is>
      </c>
      <c r="B534" t="inlineStr">
        <is>
          <t>ZINC000086621779</t>
        </is>
      </c>
      <c r="C534" t="inlineStr"/>
      <c r="D534" t="inlineStr"/>
      <c r="E534" t="inlineStr"/>
      <c r="F534">
        <f>HYPERLINK("https://www.enaminestore.com/catalog/EN300-384009","EN300-384009")</f>
        <v/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CC(C)(C)c1ccc(Nc2ncccc2C(N)=S)cc1</t>
        </is>
      </c>
      <c r="B535" t="inlineStr">
        <is>
          <t>ZINC000021035208</t>
        </is>
      </c>
      <c r="C535" t="inlineStr"/>
      <c r="D535" t="inlineStr"/>
      <c r="E535" t="inlineStr"/>
      <c r="F535">
        <f>HYPERLINK("https://www.enaminestore.com/catalog/EN300-80297","EN300-80297")</f>
        <v/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Cc1ccccc1Nc1nc2ccc(CC(=O)O)cc2o1</t>
        </is>
      </c>
      <c r="B536" t="inlineStr">
        <is>
          <t>ZINC000090694223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>
        <f>HYPERLINK("http://www.achemblock.com/catalogsearch/result/?q=O33991","O33991")</f>
        <v/>
      </c>
      <c r="M536" t="inlineStr"/>
      <c r="N536" t="inlineStr"/>
    </row>
    <row r="537">
      <c r="A537" t="inlineStr">
        <is>
          <t>Cc1cnc(Nc2ccc3cnccc3c2)cc1F</t>
        </is>
      </c>
      <c r="B537" t="inlineStr">
        <is>
          <t>ZINC000953049940</t>
        </is>
      </c>
      <c r="C537" t="inlineStr"/>
      <c r="D537" t="inlineStr"/>
      <c r="E537" t="inlineStr"/>
      <c r="F537" t="inlineStr"/>
      <c r="G537">
        <f>HYPERLINK("http://astatechinc.com/CPSResult.php?CRNO=W16456","W16456")</f>
        <v/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CCOC(=O)c1ccc(Nc2nc3ccccc3o2)cc1</t>
        </is>
      </c>
      <c r="B538" t="inlineStr">
        <is>
          <t>ZINC000001704897</t>
        </is>
      </c>
      <c r="C538" t="inlineStr"/>
      <c r="D538" t="inlineStr"/>
      <c r="E538">
        <f>HYPERLINK("https://aksci.com/item_detail.php?cat=X5537","X5537")</f>
        <v/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N#Cc1ccccc1Nc1ccnc(C(F)(F)F)c1</t>
        </is>
      </c>
      <c r="B539" t="inlineStr">
        <is>
          <t>ZINC000001394277</t>
        </is>
      </c>
      <c r="C539" t="inlineStr"/>
      <c r="D539">
        <f>HYPERLINK("http://www.matrixscientific.com/166201.html","166201")</f>
        <v/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CCc1ccc(Nc2nc(C)cc(C)c2C#N)cc1</t>
        </is>
      </c>
      <c r="B540" t="inlineStr">
        <is>
          <t>ZINC000000337342</t>
        </is>
      </c>
      <c r="C540" t="inlineStr"/>
      <c r="D540">
        <f>HYPERLINK("http://www.matrixscientific.com/063025.html","063025")</f>
        <v/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N#Cc1cnc(Nc2ccc(F)c(F)c2)c(Cl)c1</t>
        </is>
      </c>
      <c r="B541" t="inlineStr">
        <is>
          <t>ZINC000057218409</t>
        </is>
      </c>
      <c r="C541" t="inlineStr"/>
      <c r="D541" t="inlineStr"/>
      <c r="E541" t="inlineStr"/>
      <c r="F541">
        <f>HYPERLINK("https://www.enaminestore.com/catalog/EN300-65080","EN300-65080")</f>
        <v/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COc1ccc(Nc2nc(CCl)cs2)cc1</t>
        </is>
      </c>
      <c r="B542" t="inlineStr">
        <is>
          <t>ZINC000002657869</t>
        </is>
      </c>
      <c r="C542" t="inlineStr"/>
      <c r="D542" t="inlineStr"/>
      <c r="E542" t="inlineStr"/>
      <c r="F542">
        <f>HYPERLINK("https://www.enaminestore.com/catalog/EN300-10432","EN300-10432")</f>
        <v/>
      </c>
      <c r="G542" t="inlineStr"/>
      <c r="H542" t="inlineStr"/>
      <c r="I542" t="inlineStr"/>
      <c r="J542" t="inlineStr"/>
      <c r="K542">
        <f>HYPERLINK("http://aablocks.com/goods/Goods/detail?id=AA00HAG4","AA00HAG4")</f>
        <v/>
      </c>
      <c r="L542" t="inlineStr"/>
      <c r="M542" t="inlineStr"/>
      <c r="N542" t="inlineStr"/>
    </row>
    <row r="543">
      <c r="A543" t="inlineStr">
        <is>
          <t>COc1cccc(Nc2nc(CCl)cs2)c1</t>
        </is>
      </c>
      <c r="B543" t="inlineStr">
        <is>
          <t>ZINC000048981128</t>
        </is>
      </c>
      <c r="C543" t="inlineStr"/>
      <c r="D543">
        <f>HYPERLINK("http://www.matrixscientific.com/137036.html","137036")</f>
        <v/>
      </c>
      <c r="E543" t="inlineStr"/>
      <c r="F543">
        <f>HYPERLINK("https://www.enaminestore.com/catalog/EN300-235085","EN300-235085")</f>
        <v/>
      </c>
      <c r="G543" t="inlineStr"/>
      <c r="H543" t="inlineStr"/>
      <c r="I543" t="inlineStr"/>
      <c r="J543" t="inlineStr"/>
      <c r="K543" t="inlineStr"/>
      <c r="L543">
        <f>HYPERLINK("http://www.achemblock.com/catalogsearch/result/?q=L20317","L20317")</f>
        <v/>
      </c>
      <c r="M543" t="inlineStr"/>
      <c r="N543" t="inlineStr"/>
    </row>
    <row r="544">
      <c r="A544" t="inlineStr">
        <is>
          <t>Cc1cc(Nc2ccccc2C)ncc1Br</t>
        </is>
      </c>
      <c r="B544" t="inlineStr">
        <is>
          <t>ZINC000042784015</t>
        </is>
      </c>
      <c r="C544" t="inlineStr"/>
      <c r="D544">
        <f>HYPERLINK("http://www.matrixscientific.com/053304.html","053304")</f>
        <v/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CC(=O)c1sc(Nc2cc(C)ccc2C)nc1C</t>
        </is>
      </c>
      <c r="B545" t="inlineStr">
        <is>
          <t>ZINC000006367301</t>
        </is>
      </c>
      <c r="C545" t="inlineStr"/>
      <c r="D545" t="inlineStr"/>
      <c r="E545" t="inlineStr"/>
      <c r="F545">
        <f>HYPERLINK("https://www.enaminestore.com/catalog/EN300-1082657","EN300-1082657")</f>
        <v/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CC(=O)c1c(Nc2cccc3ccccc23)oc(C)cc1=O</t>
        </is>
      </c>
      <c r="B546" t="inlineStr">
        <is>
          <t>ZINC000002581700</t>
        </is>
      </c>
      <c r="C546" t="inlineStr"/>
      <c r="D546" t="inlineStr"/>
      <c r="E546" t="inlineStr"/>
      <c r="F546" t="inlineStr"/>
      <c r="G546" t="inlineStr"/>
      <c r="H546">
        <f>HYPERLINK("http://www.sigmaaldrich.com/catalog/search?term=L124338&amp;interface=All&amp;N=0&amp;mode=match%20partialmax&amp;lang=en&amp;region=US&amp;focus=product","L124338")</f>
        <v/>
      </c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Cc1ccc(Nc2nc3sc(C(=O)O)cc3s2)cc1</t>
        </is>
      </c>
      <c r="B547" t="inlineStr">
        <is>
          <t>ZINC000020284649</t>
        </is>
      </c>
      <c r="C547" t="inlineStr"/>
      <c r="D547" t="inlineStr"/>
      <c r="E547" t="inlineStr"/>
      <c r="F547">
        <f>HYPERLINK("https://www.enaminestore.com/catalog/EN300-86766","EN300-86766")</f>
        <v/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Cc1ccccc1Nc1ncc(Br)cc1C</t>
        </is>
      </c>
      <c r="B548" t="inlineStr">
        <is>
          <t>ZINC000042784018</t>
        </is>
      </c>
      <c r="C548" t="inlineStr"/>
      <c r="D548">
        <f>HYPERLINK("http://www.matrixscientific.com/053312.html","053312")</f>
        <v/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c1ccc2c(c1)Nc1cc(-c3cc[nH]n3)ccc1S2</t>
        </is>
      </c>
      <c r="B549" t="inlineStr">
        <is>
          <t>ZINC000008730182</t>
        </is>
      </c>
      <c r="C549" t="inlineStr"/>
      <c r="D549">
        <f>HYPERLINK("http://www.matrixscientific.com/045537.html","045537")</f>
        <v/>
      </c>
      <c r="E549">
        <f>HYPERLINK("https://aksci.com/item_detail.php?cat=7112AE","7112AE")</f>
        <v/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COc1ccccc1Nc1nc(C(C)(C)C)cs1</t>
        </is>
      </c>
      <c r="B550" t="inlineStr">
        <is>
          <t>ZINC000000396052</t>
        </is>
      </c>
      <c r="C550" t="inlineStr"/>
      <c r="D550" t="inlineStr"/>
      <c r="E550" t="inlineStr"/>
      <c r="F550" t="inlineStr"/>
      <c r="G550" t="inlineStr"/>
      <c r="H550">
        <f>HYPERLINK("http://www.sigmaaldrich.com/catalog/search?term=L144320&amp;interface=All&amp;N=0&amp;mode=match%20partialmax&amp;lang=en&amp;region=US&amp;focus=product","L144320")</f>
        <v/>
      </c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CCOC(=O)c1ccc(Nc2ccc3ncsc3c2)cc1</t>
        </is>
      </c>
      <c r="B551" t="inlineStr">
        <is>
          <t>ZINC000002527489</t>
        </is>
      </c>
      <c r="C551">
        <f>HYPERLINK("http://www.combi-blocks.com/cgi-bin/find.cgi?QA-9597","QA-9597")</f>
        <v/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Cc1ccc(Nc2cc(C(=O)O)c3ccccc3n2)c(C)c1</t>
        </is>
      </c>
      <c r="B552" t="inlineStr">
        <is>
          <t>ZINC000000257713</t>
        </is>
      </c>
      <c r="C552">
        <f>HYPERLINK("http://www.combi-blocks.com/cgi-bin/find.cgi?QY-8106","QY-8106")</f>
        <v/>
      </c>
      <c r="D552">
        <f>HYPERLINK("http://www.matrixscientific.com/037752.html","037752")</f>
        <v/>
      </c>
      <c r="E552">
        <f>HYPERLINK("https://aksci.com/item_detail.php?cat=5520AD","5520AD")</f>
        <v/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Cc1ccc(Nc2nc3ccccc3s2)cc1F</t>
        </is>
      </c>
      <c r="B553" t="inlineStr">
        <is>
          <t>ZINC000004205911</t>
        </is>
      </c>
      <c r="C553" t="inlineStr"/>
      <c r="D553" t="inlineStr"/>
      <c r="E553" t="inlineStr"/>
      <c r="F553">
        <f>HYPERLINK("https://www.enaminestore.com/catalog/EN300-12850","EN300-12850")</f>
        <v/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c1ccc(-c2n[nH]nc2Nc2ccc3ccccc3c2)cc1</t>
        </is>
      </c>
      <c r="B554" t="inlineStr">
        <is>
          <t>ZINC000085220964</t>
        </is>
      </c>
      <c r="C554" t="inlineStr"/>
      <c r="D554">
        <f>HYPERLINK("http://www.matrixscientific.com/095413.html","095413")</f>
        <v/>
      </c>
      <c r="E554">
        <f>HYPERLINK("https://aksci.com/item_detail.php?cat=1918AA","1918AA")</f>
        <v/>
      </c>
      <c r="F554" t="inlineStr"/>
      <c r="G554">
        <f>HYPERLINK("http://astatechinc.com/CPSResult.php?CRNO=F14451","F14451")</f>
        <v/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COc1cccc(Nc2nc3ccccc3s2)c1</t>
        </is>
      </c>
      <c r="B555" t="inlineStr">
        <is>
          <t>ZINC000000067047</t>
        </is>
      </c>
      <c r="C555" t="inlineStr"/>
      <c r="D555" t="inlineStr"/>
      <c r="E555" t="inlineStr"/>
      <c r="F555">
        <f>HYPERLINK("https://www.enaminestore.com/catalog/EN300-02425","EN300-02425")</f>
        <v/>
      </c>
      <c r="G555" t="inlineStr"/>
      <c r="H555" t="inlineStr"/>
      <c r="I555" t="inlineStr"/>
      <c r="J555" t="inlineStr"/>
      <c r="K555">
        <f>HYPERLINK("http://aablocks.com/goods/Goods/detail?id=AA00I44J","AA00I44J")</f>
        <v/>
      </c>
      <c r="L555" t="inlineStr"/>
      <c r="M555" t="inlineStr"/>
      <c r="N555" t="inlineStr"/>
    </row>
    <row r="556">
      <c r="A556" t="inlineStr">
        <is>
          <t>COc1ccc(Nc2cccc(C(F)(F)F)c2)cc1</t>
        </is>
      </c>
      <c r="B556" t="inlineStr">
        <is>
          <t>ZINC000002512483</t>
        </is>
      </c>
      <c r="C556" t="inlineStr"/>
      <c r="D556">
        <f>HYPERLINK("http://www.matrixscientific.com/005432.html","005432")</f>
        <v/>
      </c>
      <c r="E556">
        <f>HYPERLINK("https://aksci.com/item_detail.php?cat=4606AD","4606AD")</f>
        <v/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CCOC(=O)Nc1ccc2c(c1)Sc1ccccc1N2</t>
        </is>
      </c>
      <c r="B557" t="inlineStr">
        <is>
          <t>ZINC000002583699</t>
        </is>
      </c>
      <c r="C557">
        <f>HYPERLINK("http://www.combi-blocks.com/cgi-bin/find.cgi?QA-1385","QA-1385")</f>
        <v/>
      </c>
      <c r="D557" t="inlineStr"/>
      <c r="E557">
        <f>HYPERLINK("https://aksci.com/item_detail.php?cat=C302","C302")</f>
        <v/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Fc1ccc(-c2csc(Nc3ccc(F)cn3)n2)cc1</t>
        </is>
      </c>
      <c r="B558" t="inlineStr">
        <is>
          <t>ZINC000049006107</t>
        </is>
      </c>
      <c r="C558" t="inlineStr"/>
      <c r="D558" t="inlineStr"/>
      <c r="E558">
        <f>HYPERLINK("https://aksci.com/item_detail.php?cat=HTS017512","HTS017512")</f>
        <v/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Cc1ccc(Nc2cc(C)c(Br)cn2)cc1</t>
        </is>
      </c>
      <c r="B559" t="inlineStr">
        <is>
          <t>ZINC000042784027</t>
        </is>
      </c>
      <c r="C559" t="inlineStr"/>
      <c r="D559">
        <f>HYPERLINK("http://www.matrixscientific.com/053356.html","053356")</f>
        <v/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COc1ccc(-c2csc(Nc3ccc(C)cn3)n2)cc1</t>
        </is>
      </c>
      <c r="B560" t="inlineStr">
        <is>
          <t>ZINC000000613282</t>
        </is>
      </c>
      <c r="C560" t="inlineStr"/>
      <c r="D560" t="inlineStr"/>
      <c r="E560">
        <f>HYPERLINK("https://aksci.com/item_detail.php?cat=HTS017507","HTS017507")</f>
        <v/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CCOc1ccc(-c2csc(Nc3ccccn3)n2)cc1</t>
        </is>
      </c>
      <c r="B561" t="inlineStr">
        <is>
          <t>ZINC000021364345</t>
        </is>
      </c>
      <c r="C561" t="inlineStr"/>
      <c r="D561" t="inlineStr"/>
      <c r="E561">
        <f>HYPERLINK("https://aksci.com/item_detail.php?cat=HTS017499","HTS017499")</f>
        <v/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COc1ccc(C)cc1Nc1nc2ccccc2s1</t>
        </is>
      </c>
      <c r="B562" t="inlineStr">
        <is>
          <t>ZINC000003227150</t>
        </is>
      </c>
      <c r="C562" t="inlineStr"/>
      <c r="D562" t="inlineStr"/>
      <c r="E562" t="inlineStr"/>
      <c r="F562">
        <f>HYPERLINK("https://www.enaminestore.com/catalog/EN300-02508","EN300-02508")</f>
        <v/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CC(C)(C)c1cccc(Nc2ccccc2C(=O)O)c1</t>
        </is>
      </c>
      <c r="B563" t="inlineStr">
        <is>
          <t>ZINC000021995278</t>
        </is>
      </c>
      <c r="C563">
        <f>HYPERLINK("http://www.combi-blocks.com/cgi-bin/find.cgi?QV-0239","QV-0239")</f>
        <v/>
      </c>
      <c r="D563" t="inlineStr"/>
      <c r="E563" t="inlineStr"/>
      <c r="F563" t="inlineStr"/>
      <c r="G563">
        <f>HYPERLINK("http://astatechinc.com/CPSResult.php?CRNO=C73324","C73324")</f>
        <v/>
      </c>
      <c r="H563" t="inlineStr"/>
      <c r="I563" t="inlineStr"/>
      <c r="J563">
        <f>HYPERLINK("http://www.ambeed.com/search/Search.html?keyword=A114143","A114143")</f>
        <v/>
      </c>
      <c r="K563" t="inlineStr"/>
      <c r="L563" t="inlineStr"/>
      <c r="M563" t="inlineStr"/>
      <c r="N563" t="inlineStr"/>
    </row>
    <row r="564">
      <c r="A564" t="inlineStr">
        <is>
          <t>S=c1nc(Nc2ccccc2)c2ccccc2[nH]1</t>
        </is>
      </c>
      <c r="B564" t="inlineStr">
        <is>
          <t>ZINC000017352036</t>
        </is>
      </c>
      <c r="C564" t="inlineStr"/>
      <c r="D564" t="inlineStr"/>
      <c r="E564" t="inlineStr"/>
      <c r="F564">
        <f>HYPERLINK("https://www.enaminestore.com/catalog/EN300-11251","EN300-11251")</f>
        <v/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Clc1nc(Nc2ccccc2)c2ccccc2n1</t>
        </is>
      </c>
      <c r="B565" t="inlineStr">
        <is>
          <t>ZINC000001556705</t>
        </is>
      </c>
      <c r="C565">
        <f>HYPERLINK("http://www.combi-blocks.com/cgi-bin/find.cgi?QW-9219","QW-9219")</f>
        <v/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Cc1cc(Br)cnc1Nc1ccc(F)cc1</t>
        </is>
      </c>
      <c r="B566" t="inlineStr">
        <is>
          <t>ZINC000042784049</t>
        </is>
      </c>
      <c r="C566" t="inlineStr"/>
      <c r="D566">
        <f>HYPERLINK("http://www.matrixscientific.com/053493.html","053493")</f>
        <v/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Cc1ccc(Nc2ncc(Br)cc2C)cc1</t>
        </is>
      </c>
      <c r="B567" t="inlineStr">
        <is>
          <t>ZINC000042784029</t>
        </is>
      </c>
      <c r="C567" t="inlineStr"/>
      <c r="D567">
        <f>HYPERLINK("http://www.matrixscientific.com/053364.html","053364")</f>
        <v/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Cc1ccccc1-c1nnc(Nc2ccccc2)s1</t>
        </is>
      </c>
      <c r="B568" t="inlineStr">
        <is>
          <t>ZINC000034925534</t>
        </is>
      </c>
      <c r="C568" t="inlineStr"/>
      <c r="D568">
        <f>HYPERLINK("http://www.matrixscientific.com/039888.html","039888")</f>
        <v/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Clc1nccnc1Oc1ccc(Nc2ccccn2)cc1</t>
        </is>
      </c>
      <c r="B569" t="inlineStr">
        <is>
          <t>ZINC000040449936</t>
        </is>
      </c>
      <c r="C569">
        <f>HYPERLINK("http://www.combi-blocks.com/cgi-bin/find.cgi?QA-7450","QA-7450")</f>
        <v/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COc1ccccc1Nc1nc2ccccc2s1</t>
        </is>
      </c>
      <c r="B570" t="inlineStr">
        <is>
          <t>ZINC000001667339</t>
        </is>
      </c>
      <c r="C570" t="inlineStr"/>
      <c r="D570" t="inlineStr"/>
      <c r="E570" t="inlineStr"/>
      <c r="F570">
        <f>HYPERLINK("https://www.enaminestore.com/catalog/EN300-02760","EN300-02760")</f>
        <v/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Cc1cc(Nc2ccc(F)cc2)n(-c2ccccc2)n1</t>
        </is>
      </c>
      <c r="B571" t="inlineStr">
        <is>
          <t>ZINC000004218694</t>
        </is>
      </c>
      <c r="C571" t="inlineStr"/>
      <c r="D571" t="inlineStr"/>
      <c r="E571" t="inlineStr"/>
      <c r="F571">
        <f>HYPERLINK("https://www.enaminestore.com/catalog/EN300-14993","EN300-14993")</f>
        <v/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Cc1cccc(Nc2ncc(Br)cc2C)c1</t>
        </is>
      </c>
      <c r="B572" t="inlineStr">
        <is>
          <t>ZINC000042784024</t>
        </is>
      </c>
      <c r="C572" t="inlineStr"/>
      <c r="D572">
        <f>HYPERLINK("http://www.matrixscientific.com/053338.html","053338")</f>
        <v/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Cc1nc(Nc2ccccc2)ncc1-c1ccc(F)cc1</t>
        </is>
      </c>
      <c r="B573" t="inlineStr">
        <is>
          <t>ZINC000159260050</t>
        </is>
      </c>
      <c r="C573" t="inlineStr"/>
      <c r="D573" t="inlineStr"/>
      <c r="E573" t="inlineStr"/>
      <c r="F573">
        <f>HYPERLINK("https://www.enaminestore.com/catalog/EN300-322782","EN300-322782")</f>
        <v/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Cc1sc2ncnc(Nc3ccc(F)cc3)c2c1C</t>
        </is>
      </c>
      <c r="B574" t="inlineStr">
        <is>
          <t>ZINC000000038263</t>
        </is>
      </c>
      <c r="C574" t="inlineStr"/>
      <c r="D574">
        <f>HYPERLINK("http://www.matrixscientific.com/135859.html","135859")</f>
        <v/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Cc1cccc(Nc2cc(C)c(Br)cn2)c1</t>
        </is>
      </c>
      <c r="B575" t="inlineStr">
        <is>
          <t>ZINC000042784021</t>
        </is>
      </c>
      <c r="C575" t="inlineStr"/>
      <c r="D575">
        <f>HYPERLINK("http://www.matrixscientific.com/053330.html","053330")</f>
        <v/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CCOc1ccc(Nc2nc3ccccc3s2)cc1</t>
        </is>
      </c>
      <c r="B576" t="inlineStr">
        <is>
          <t>ZINC000000351245</t>
        </is>
      </c>
      <c r="C576" t="inlineStr"/>
      <c r="D576" t="inlineStr"/>
      <c r="E576" t="inlineStr"/>
      <c r="F576">
        <f>HYPERLINK("https://www.enaminestore.com/catalog/EN300-02751","EN300-02751")</f>
        <v/>
      </c>
      <c r="G576" t="inlineStr"/>
      <c r="H576" t="inlineStr"/>
      <c r="I576" t="inlineStr"/>
      <c r="J576" t="inlineStr"/>
      <c r="K576">
        <f>HYPERLINK("http://aablocks.com/goods/Goods/detail?id=AA00FJSV","AA00FJSV")</f>
        <v/>
      </c>
      <c r="L576" t="inlineStr"/>
      <c r="M576" t="inlineStr"/>
      <c r="N576" t="inlineStr"/>
    </row>
    <row r="577">
      <c r="A577" t="inlineStr">
        <is>
          <t>FC(F)(F)c1cnc(Nc2ccccc2)c(Cl)c1</t>
        </is>
      </c>
      <c r="B577" t="inlineStr">
        <is>
          <t>ZINC000042783984</t>
        </is>
      </c>
      <c r="C577" t="inlineStr"/>
      <c r="D577">
        <f>HYPERLINK("http://www.matrixscientific.com/053150.html","053150")</f>
        <v/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CC(C)OC(=O)Nc1ccc2c(c1)Nc1ccccc1CC2</t>
        </is>
      </c>
      <c r="B578" t="inlineStr">
        <is>
          <t>ZINC000000275472</t>
        </is>
      </c>
      <c r="C578" t="inlineStr"/>
      <c r="D578" t="inlineStr"/>
      <c r="E578" t="inlineStr"/>
      <c r="F578" t="inlineStr"/>
      <c r="G578">
        <f>HYPERLINK("http://astatechinc.com/CPSResult.php?CRNO=W15015","W15015")</f>
        <v/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Fc1cnc(Cl)nc1Nc1cccc(C(F)(F)F)c1</t>
        </is>
      </c>
      <c r="B579" t="inlineStr">
        <is>
          <t>ZINC000091655165</t>
        </is>
      </c>
      <c r="C579" t="inlineStr"/>
      <c r="D579">
        <f>HYPERLINK("http://www.matrixscientific.com/171861.html","171861")</f>
        <v/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Fc1cnc(Cl)nc1Nc1ccc(C(F)(F)F)cc1</t>
        </is>
      </c>
      <c r="B580" t="inlineStr">
        <is>
          <t>ZINC000091655134</t>
        </is>
      </c>
      <c r="C580" t="inlineStr"/>
      <c r="D580">
        <f>HYPERLINK("http://www.matrixscientific.com/171860.html","171860")</f>
        <v/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CC(C)c1ccccc1Nc1ccc(C(=O)O)cc1</t>
        </is>
      </c>
      <c r="B581" t="inlineStr">
        <is>
          <t>ZINC000082715548</t>
        </is>
      </c>
      <c r="C581" t="inlineStr"/>
      <c r="D581" t="inlineStr"/>
      <c r="E581" t="inlineStr"/>
      <c r="F581">
        <f>HYPERLINK("https://www.enaminestore.com/catalog/EN300-343566","EN300-343566")</f>
        <v/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CC(=O)c1cnc(Nc2cccc(C(F)(F)F)c2)s1</t>
        </is>
      </c>
      <c r="B582" t="inlineStr">
        <is>
          <t>ZINC000096179325</t>
        </is>
      </c>
      <c r="C582" t="inlineStr"/>
      <c r="D582">
        <f>HYPERLINK("http://www.matrixscientific.com/102813.html","102813")</f>
        <v/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Cc1cc(Nc2ccc(F)cc2)ncc1Br</t>
        </is>
      </c>
      <c r="B583" t="inlineStr">
        <is>
          <t>ZINC000042784047</t>
        </is>
      </c>
      <c r="C583" t="inlineStr"/>
      <c r="D583">
        <f>HYPERLINK("http://www.matrixscientific.com/053485.html","053485")</f>
        <v/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CCCCNC(=O)Nc1ccc(Nc2ccccc2)cc1</t>
        </is>
      </c>
      <c r="B584" t="inlineStr">
        <is>
          <t>ZINC000001640197</t>
        </is>
      </c>
      <c r="C584" t="inlineStr"/>
      <c r="D584" t="inlineStr"/>
      <c r="E584" t="inlineStr"/>
      <c r="F584" t="inlineStr"/>
      <c r="G584" t="inlineStr"/>
      <c r="H584">
        <f>HYPERLINK("http://www.sigmaaldrich.com/catalog/search?term=S773700&amp;interface=All&amp;N=0&amp;mode=match%20partialmax&amp;lang=en&amp;region=US&amp;focus=product","S773700")</f>
        <v/>
      </c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Cc1nc(Nc2ccc(F)cc2)c2c3c(sc2n1)CCC3</t>
        </is>
      </c>
      <c r="B585" t="inlineStr">
        <is>
          <t>ZINC000000090173</t>
        </is>
      </c>
      <c r="C585" t="inlineStr"/>
      <c r="D585" t="inlineStr"/>
      <c r="E585" t="inlineStr"/>
      <c r="F585" t="inlineStr"/>
      <c r="G585" t="inlineStr"/>
      <c r="H585">
        <f>HYPERLINK("http://www.sigmaaldrich.com/catalog/search?term=R874272&amp;interface=All&amp;N=0&amp;mode=match%20partialmax&amp;lang=en&amp;region=US&amp;focus=product","R874272")</f>
        <v/>
      </c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CCOc1ccccc1-c1nnc(Nc2ccccc2)s1</t>
        </is>
      </c>
      <c r="B586" t="inlineStr">
        <is>
          <t>ZINC000034925538</t>
        </is>
      </c>
      <c r="C586" t="inlineStr"/>
      <c r="D586">
        <f>HYPERLINK("http://www.matrixscientific.com/039898.html","039898")</f>
        <v/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Cc1ccccc1Nc1nc2sc(C(=O)O)cc2s1</t>
        </is>
      </c>
      <c r="B587" t="inlineStr">
        <is>
          <t>ZINC000020284306</t>
        </is>
      </c>
      <c r="C587" t="inlineStr"/>
      <c r="D587" t="inlineStr"/>
      <c r="E587" t="inlineStr"/>
      <c r="F587">
        <f>HYPERLINK("https://www.enaminestore.com/catalog/EN300-54819","EN300-54819")</f>
        <v/>
      </c>
      <c r="G587" t="inlineStr"/>
      <c r="H587" t="inlineStr"/>
      <c r="I587" t="inlineStr"/>
      <c r="J587" t="inlineStr"/>
      <c r="K587">
        <f>HYPERLINK("http://aablocks.com/goods/Goods/detail?id=AA019XC4","AA019XC4")</f>
        <v/>
      </c>
      <c r="L587" t="inlineStr"/>
      <c r="M587" t="inlineStr"/>
      <c r="N587" t="inlineStr"/>
    </row>
    <row r="588">
      <c r="A588" t="inlineStr">
        <is>
          <t>Cc1ccc(Nc2nc(Cl)nc(Cl)c2Cl)cc1</t>
        </is>
      </c>
      <c r="B588" t="inlineStr">
        <is>
          <t>ZINC000003188734</t>
        </is>
      </c>
      <c r="C588" t="inlineStr"/>
      <c r="D588" t="inlineStr"/>
      <c r="E588" t="inlineStr"/>
      <c r="F588" t="inlineStr"/>
      <c r="G588" t="inlineStr"/>
      <c r="H588">
        <f>HYPERLINK("http://www.sigmaaldrich.com/catalog/search?term=R281808&amp;interface=All&amp;N=0&amp;mode=match%20partialmax&amp;lang=en&amp;region=US&amp;focus=product","R281808")</f>
        <v/>
      </c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CC(=O)c1cnc(Nc2ccccc2C(F)(F)F)s1</t>
        </is>
      </c>
      <c r="B589" t="inlineStr">
        <is>
          <t>ZINC000029753677</t>
        </is>
      </c>
      <c r="C589" t="inlineStr"/>
      <c r="D589">
        <f>HYPERLINK("http://www.matrixscientific.com/045923.html","045923")</f>
        <v/>
      </c>
      <c r="E589">
        <f>HYPERLINK("https://aksci.com/item_detail.php?cat=9061AC","9061AC")</f>
        <v/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>
        <f>HYPERLINK("https://www.biosynth.com/en/products/life-science/other-biochemicals/products/J-502871","J-502871")</f>
        <v/>
      </c>
    </row>
    <row r="590">
      <c r="A590" t="inlineStr">
        <is>
          <t>CC(C)(C)c1ccccc1Nc1ccc(C(=O)O)cc1</t>
        </is>
      </c>
      <c r="B590" t="inlineStr">
        <is>
          <t>ZINC000071174592</t>
        </is>
      </c>
      <c r="C590" t="inlineStr"/>
      <c r="D590" t="inlineStr"/>
      <c r="E590" t="inlineStr"/>
      <c r="F590">
        <f>HYPERLINK("https://www.enaminestore.com/catalog/EN300-343594","EN300-343594")</f>
        <v/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COc1ccc(OC)c(Nc2nc3ccccc3s2)c1</t>
        </is>
      </c>
      <c r="B591" t="inlineStr">
        <is>
          <t>ZINC000000390648</t>
        </is>
      </c>
      <c r="C591" t="inlineStr"/>
      <c r="D591" t="inlineStr"/>
      <c r="E591" t="inlineStr"/>
      <c r="F591" t="inlineStr"/>
      <c r="G591" t="inlineStr"/>
      <c r="H591">
        <f>HYPERLINK("http://www.sigmaaldrich.com/catalog/search?term=R962007&amp;interface=All&amp;N=0&amp;mode=match%20partialmax&amp;lang=en&amp;region=US&amp;focus=product","R962007")</f>
        <v/>
      </c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Cc1cc(C)n(-c2ccc(Nc3ccccc3)cc2)c(=O)c1</t>
        </is>
      </c>
      <c r="B592" t="inlineStr">
        <is>
          <t>ZINC000000395928</t>
        </is>
      </c>
      <c r="C592" t="inlineStr"/>
      <c r="D592" t="inlineStr"/>
      <c r="E592" t="inlineStr"/>
      <c r="F592" t="inlineStr"/>
      <c r="G592" t="inlineStr"/>
      <c r="H592">
        <f>HYPERLINK("http://www.sigmaaldrich.com/catalog/search?term=L133019&amp;interface=All&amp;N=0&amp;mode=match%20partialmax&amp;lang=en&amp;region=US&amp;focus=product","L133019")</f>
        <v/>
      </c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CC(=O)c1ccc(Nc2nc3ccccc3s2)cc1</t>
        </is>
      </c>
      <c r="B593" t="inlineStr">
        <is>
          <t>ZINC000003268208</t>
        </is>
      </c>
      <c r="C593" t="inlineStr"/>
      <c r="D593" t="inlineStr"/>
      <c r="E593" t="inlineStr"/>
      <c r="F593">
        <f>HYPERLINK("https://www.enaminestore.com/catalog/EN300-02341","EN300-02341")</f>
        <v/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CCOc1ccccc1Nc1nc2ccccc2s1</t>
        </is>
      </c>
      <c r="B594" t="inlineStr">
        <is>
          <t>ZINC000003227363</t>
        </is>
      </c>
      <c r="C594" t="inlineStr"/>
      <c r="D594" t="inlineStr"/>
      <c r="E594" t="inlineStr"/>
      <c r="F594">
        <f>HYPERLINK("https://www.enaminestore.com/catalog/EN300-02509","EN300-02509")</f>
        <v/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Cc1cccc(Nc2nc(-c3ccncc3)cs2)c1</t>
        </is>
      </c>
      <c r="B595" t="inlineStr">
        <is>
          <t>ZINC000000088369</t>
        </is>
      </c>
      <c r="C595">
        <f>HYPERLINK("http://www.combi-blocks.com/cgi-bin/find.cgi?QW-5463","QW-5463")</f>
        <v/>
      </c>
      <c r="D595" t="inlineStr"/>
      <c r="E595">
        <f>HYPERLINK("https://aksci.com/item_detail.php?cat=2732AH","2732AH")</f>
        <v/>
      </c>
      <c r="F595" t="inlineStr"/>
      <c r="G595">
        <f>HYPERLINK("http://astatechinc.com/CPSResult.php?CRNO=41547","41547")</f>
        <v/>
      </c>
      <c r="H595">
        <f>HYPERLINK("http://www.sigmaaldrich.com/catalog/search?term=S7448&amp;interface=All&amp;N=0&amp;mode=match%20partialmax&amp;lang=en&amp;region=US&amp;focus=product","S7448")</f>
        <v/>
      </c>
      <c r="I595" t="inlineStr"/>
      <c r="J595">
        <f>HYPERLINK("http://www.ambeed.com/search/Search.html?keyword=A134944","A134944")</f>
        <v/>
      </c>
      <c r="K595" t="inlineStr"/>
      <c r="L595">
        <f>HYPERLINK("http://www.achemblock.com/catalogsearch/result/?q=P51262","P51262")</f>
        <v/>
      </c>
      <c r="M595" t="inlineStr"/>
      <c r="N595" t="inlineStr"/>
    </row>
    <row r="596">
      <c r="A596" t="inlineStr">
        <is>
          <t>CCC(=O)c1ccc2c(c1)Nc1ccccc1S2</t>
        </is>
      </c>
      <c r="B596" t="inlineStr">
        <is>
          <t>ZINC000001848502</t>
        </is>
      </c>
      <c r="C596" t="inlineStr"/>
      <c r="D596" t="inlineStr"/>
      <c r="E596" t="inlineStr"/>
      <c r="F596" t="inlineStr"/>
      <c r="G596">
        <f>HYPERLINK("http://astatechinc.com/CPSResult.php?CRNO=W16325","W16325")</f>
        <v/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N#Cc1c(Nc2ccccc2)ccnc1Oc1ccccc1</t>
        </is>
      </c>
      <c r="B597" t="inlineStr">
        <is>
          <t>ZINC000000403665</t>
        </is>
      </c>
      <c r="C597" t="inlineStr"/>
      <c r="D597" t="inlineStr"/>
      <c r="E597" t="inlineStr"/>
      <c r="F597" t="inlineStr"/>
      <c r="G597" t="inlineStr"/>
      <c r="H597">
        <f>HYPERLINK("http://www.sigmaaldrich.com/catalog/search?term=R101907&amp;interface=All&amp;N=0&amp;mode=match%20partialmax&amp;lang=en&amp;region=US&amp;focus=product","R101907")</f>
        <v/>
      </c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Cc1cc(Nc2ccccc2)n2c(nc3ccccc32)c1C#N</t>
        </is>
      </c>
      <c r="B598" t="inlineStr">
        <is>
          <t>ZINC000000044597</t>
        </is>
      </c>
      <c r="C598" t="inlineStr"/>
      <c r="D598" t="inlineStr"/>
      <c r="E598" t="inlineStr"/>
      <c r="F598" t="inlineStr"/>
      <c r="G598" t="inlineStr"/>
      <c r="H598">
        <f>HYPERLINK("http://www.sigmaaldrich.com/catalog/search?term=R473375&amp;interface=All&amp;N=0&amp;mode=match%20partialmax&amp;lang=en&amp;region=US&amp;focus=product","R473375")</f>
        <v/>
      </c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FC(F)Oc1ccc(Nc2nc(CCl)cs2)cc1</t>
        </is>
      </c>
      <c r="B599" t="inlineStr">
        <is>
          <t>ZINC000048981132</t>
        </is>
      </c>
      <c r="C599" t="inlineStr"/>
      <c r="D599">
        <f>HYPERLINK("http://www.matrixscientific.com/137037.html","137037")</f>
        <v/>
      </c>
      <c r="E599" t="inlineStr"/>
      <c r="F599">
        <f>HYPERLINK("https://www.enaminestore.com/catalog/EN300-235086","EN300-235086")</f>
        <v/>
      </c>
      <c r="G599" t="inlineStr"/>
      <c r="H599" t="inlineStr"/>
      <c r="I599" t="inlineStr"/>
      <c r="J599" t="inlineStr"/>
      <c r="K599" t="inlineStr"/>
      <c r="L599">
        <f>HYPERLINK("http://www.achemblock.com/catalogsearch/result/?q=L20069","L20069")</f>
        <v/>
      </c>
      <c r="M599" t="inlineStr"/>
      <c r="N599" t="inlineStr"/>
    </row>
    <row r="600">
      <c r="A600" t="inlineStr">
        <is>
          <t>COc1ccccc1Nc1ccc(N=C=S)cc1</t>
        </is>
      </c>
      <c r="B600" t="inlineStr">
        <is>
          <t>ZINC000019093555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>
        <f>HYPERLINK("http://aablocks.com/goods/Goods/detail?id=AA006GTY","AA006GTY")</f>
        <v/>
      </c>
      <c r="L600" t="inlineStr"/>
      <c r="M600" t="inlineStr"/>
      <c r="N600" t="inlineStr"/>
    </row>
    <row r="601">
      <c r="A601" t="inlineStr">
        <is>
          <t>Cc1ccc(Nc2nc(CCl)cs2)cc1C</t>
        </is>
      </c>
      <c r="B601" t="inlineStr">
        <is>
          <t>ZINC000002657877</t>
        </is>
      </c>
      <c r="C601" t="inlineStr"/>
      <c r="D601" t="inlineStr"/>
      <c r="E601" t="inlineStr"/>
      <c r="F601">
        <f>HYPERLINK("https://www.enaminestore.com/catalog/EN300-10436","EN300-10436")</f>
        <v/>
      </c>
      <c r="G601" t="inlineStr"/>
      <c r="H601" t="inlineStr"/>
      <c r="I601" t="inlineStr"/>
      <c r="J601" t="inlineStr"/>
      <c r="K601">
        <f>HYPERLINK("http://aablocks.com/goods/Goods/detail?id=AA00HAGL","AA00HAGL")</f>
        <v/>
      </c>
      <c r="L601" t="inlineStr"/>
      <c r="M601" t="inlineStr"/>
      <c r="N601" t="inlineStr"/>
    </row>
    <row r="602">
      <c r="A602" t="inlineStr">
        <is>
          <t>COc1ccc(Nc2ccc(N=C=S)cc2)cc1</t>
        </is>
      </c>
      <c r="B602" t="inlineStr">
        <is>
          <t>ZINC000019093553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>
        <f>HYPERLINK("http://aablocks.com/goods/Goods/detail?id=AA00BERA","AA00BERA")</f>
        <v/>
      </c>
      <c r="L602" t="inlineStr"/>
      <c r="M602" t="inlineStr"/>
      <c r="N602" t="inlineStr"/>
    </row>
    <row r="603">
      <c r="A603" t="inlineStr">
        <is>
          <t>Cc1ccccc1Nc1ncc(C(F)(F)F)cc1Cl</t>
        </is>
      </c>
      <c r="B603" t="inlineStr">
        <is>
          <t>ZINC000042784016</t>
        </is>
      </c>
      <c r="C603" t="inlineStr"/>
      <c r="D603">
        <f>HYPERLINK("http://www.matrixscientific.com/053306.html","053306")</f>
        <v/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Cc1ccc(Nc2nc3ccccc3s2)c(C)c1</t>
        </is>
      </c>
      <c r="B604" t="inlineStr">
        <is>
          <t>ZINC000000067045</t>
        </is>
      </c>
      <c r="C604" t="inlineStr"/>
      <c r="D604" t="inlineStr"/>
      <c r="E604" t="inlineStr"/>
      <c r="F604">
        <f>HYPERLINK("https://www.enaminestore.com/catalog/EN300-12851","EN300-12851")</f>
        <v/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Cc1ccc(Nc2ncc(-c3cccs3)s2)cc1</t>
        </is>
      </c>
      <c r="B605" t="inlineStr">
        <is>
          <t>ZINC000000406594</t>
        </is>
      </c>
      <c r="C605" t="inlineStr"/>
      <c r="D605" t="inlineStr"/>
      <c r="E605" t="inlineStr"/>
      <c r="F605" t="inlineStr"/>
      <c r="G605" t="inlineStr"/>
      <c r="H605">
        <f>HYPERLINK("http://www.sigmaaldrich.com/catalog/search?term=R451568&amp;interface=All&amp;N=0&amp;mode=match%20partialmax&amp;lang=en&amp;region=US&amp;focus=product","R451568")</f>
        <v/>
      </c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Fc1ccc(Nc2ncc(C(F)(F)F)cc2Cl)cc1</t>
        </is>
      </c>
      <c r="B606" t="inlineStr">
        <is>
          <t>ZINC000042784048</t>
        </is>
      </c>
      <c r="C606" t="inlineStr"/>
      <c r="D606">
        <f>HYPERLINK("http://www.matrixscientific.com/053487.html","053487")</f>
        <v/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COc1ccccc1Nc1nc(-c2ccc(C)cc2)cs1</t>
        </is>
      </c>
      <c r="B607" t="inlineStr">
        <is>
          <t>ZINC000004567426</t>
        </is>
      </c>
      <c r="C607" t="inlineStr"/>
      <c r="D607" t="inlineStr"/>
      <c r="E607" t="inlineStr"/>
      <c r="F607">
        <f>HYPERLINK("https://www.enaminestore.com/catalog/EN300-06386","EN300-06386")</f>
        <v/>
      </c>
      <c r="G607" t="inlineStr"/>
      <c r="H607">
        <f>HYPERLINK("http://www.sigmaaldrich.com/catalog/search?term=L126314&amp;interface=All&amp;N=0&amp;mode=match%20partialmax&amp;lang=en&amp;region=US&amp;focus=product","L126314")</f>
        <v/>
      </c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COc1ccc(-c2csc(Nc3cccc(C)c3)n2)cc1</t>
        </is>
      </c>
      <c r="B608" t="inlineStr">
        <is>
          <t>ZINC000000407672</t>
        </is>
      </c>
      <c r="C608" t="inlineStr"/>
      <c r="D608" t="inlineStr"/>
      <c r="E608" t="inlineStr"/>
      <c r="F608" t="inlineStr"/>
      <c r="G608" t="inlineStr"/>
      <c r="H608">
        <f>HYPERLINK("http://www.sigmaaldrich.com/catalog/search?term=R684341&amp;interface=All&amp;N=0&amp;mode=match%20partialmax&amp;lang=en&amp;region=US&amp;focus=product","R684341")</f>
        <v/>
      </c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CCc1cccc(C)c1Nc1nc2ccccc2s1</t>
        </is>
      </c>
      <c r="B609" t="inlineStr">
        <is>
          <t>ZINC000000404882</t>
        </is>
      </c>
      <c r="C609" t="inlineStr"/>
      <c r="D609" t="inlineStr"/>
      <c r="E609" t="inlineStr"/>
      <c r="F609" t="inlineStr"/>
      <c r="G609" t="inlineStr"/>
      <c r="H609">
        <f>HYPERLINK("http://www.sigmaaldrich.com/catalog/search?term=R241873&amp;interface=All&amp;N=0&amp;mode=match%20partialmax&amp;lang=en&amp;region=US&amp;focus=product","R241873")</f>
        <v/>
      </c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COc1ccccc1Nc1nc(-c2cccs2)cs1</t>
        </is>
      </c>
      <c r="B610" t="inlineStr">
        <is>
          <t>ZINC000000281303</t>
        </is>
      </c>
      <c r="C610" t="inlineStr"/>
      <c r="D610" t="inlineStr"/>
      <c r="E610" t="inlineStr"/>
      <c r="F610" t="inlineStr"/>
      <c r="G610" t="inlineStr"/>
      <c r="H610">
        <f>HYPERLINK("http://www.sigmaaldrich.com/catalog/search?term=R443778&amp;interface=All&amp;N=0&amp;mode=match%20partialmax&amp;lang=en&amp;region=US&amp;focus=product","R443778")</f>
        <v/>
      </c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CCc1ccccc1Nc1nc2ccccc2s1</t>
        </is>
      </c>
      <c r="B611" t="inlineStr">
        <is>
          <t>ZINC000003888748</t>
        </is>
      </c>
      <c r="C611" t="inlineStr"/>
      <c r="D611" t="inlineStr"/>
      <c r="E611" t="inlineStr"/>
      <c r="F611">
        <f>HYPERLINK("https://www.enaminestore.com/catalog/EN300-12847","EN300-12847")</f>
        <v/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Cc1ccccc1-c1csc(Nc2ccccc2)n1</t>
        </is>
      </c>
      <c r="B612" t="inlineStr">
        <is>
          <t>ZINC000005712090</t>
        </is>
      </c>
      <c r="C612" t="inlineStr"/>
      <c r="D612" t="inlineStr"/>
      <c r="E612" t="inlineStr"/>
      <c r="F612" t="inlineStr"/>
      <c r="G612" t="inlineStr"/>
      <c r="H612">
        <f>HYPERLINK("http://www.sigmaaldrich.com/catalog/search?term=R602701&amp;interface=All&amp;N=0&amp;mode=match%20partialmax&amp;lang=en&amp;region=US&amp;focus=product","R602701")</f>
        <v/>
      </c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Cc1ccc(Nc2ncc(C(F)(F)F)cc2Cl)cc1</t>
        </is>
      </c>
      <c r="B613" t="inlineStr">
        <is>
          <t>ZINC000042784028</t>
        </is>
      </c>
      <c r="C613" t="inlineStr"/>
      <c r="D613">
        <f>HYPERLINK("http://www.matrixscientific.com/053358.html","053358")</f>
        <v/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Cc1nc(C)c(-c2csc(Nc3ccccc3)n2)s1</t>
        </is>
      </c>
      <c r="B614" t="inlineStr">
        <is>
          <t>ZINC000004116980</t>
        </is>
      </c>
      <c r="C614" t="inlineStr"/>
      <c r="D614" t="inlineStr"/>
      <c r="E614" t="inlineStr"/>
      <c r="F614">
        <f>HYPERLINK("https://www.enaminestore.com/catalog/EN300-41812","EN300-41812")</f>
        <v/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COc1ccc(Nc2nc(-c3cccs3)cs2)cc1</t>
        </is>
      </c>
      <c r="B615" t="inlineStr">
        <is>
          <t>ZINC000000295957</t>
        </is>
      </c>
      <c r="C615" t="inlineStr"/>
      <c r="D615" t="inlineStr"/>
      <c r="E615" t="inlineStr"/>
      <c r="F615" t="inlineStr"/>
      <c r="G615" t="inlineStr"/>
      <c r="H615">
        <f>HYPERLINK("http://www.sigmaaldrich.com/catalog/search?term=R443808&amp;interface=All&amp;N=0&amp;mode=match%20partialmax&amp;lang=en&amp;region=US&amp;focus=product","R443808")</f>
        <v/>
      </c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Cc1ccnc(Nc2nc(-c3ccc(C)cc3C)cs2)c1</t>
        </is>
      </c>
      <c r="B616" t="inlineStr">
        <is>
          <t>ZINC000021364362</t>
        </is>
      </c>
      <c r="C616" t="inlineStr"/>
      <c r="D616" t="inlineStr"/>
      <c r="E616">
        <f>HYPERLINK("https://aksci.com/item_detail.php?cat=HTS017502","HTS017502")</f>
        <v/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CCc1ccc(Nc2nc3ccccc3s2)cc1</t>
        </is>
      </c>
      <c r="B617" t="inlineStr">
        <is>
          <t>ZINC000003223608</t>
        </is>
      </c>
      <c r="C617" t="inlineStr"/>
      <c r="D617" t="inlineStr"/>
      <c r="E617" t="inlineStr"/>
      <c r="F617">
        <f>HYPERLINK("https://www.enaminestore.com/catalog/EN300-02457","EN300-02457")</f>
        <v/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COc1ccccc1Nc1c(Cl)c(C)nc(C)c1Cl</t>
        </is>
      </c>
      <c r="B618" t="inlineStr">
        <is>
          <t>ZINC000000392043</t>
        </is>
      </c>
      <c r="C618" t="inlineStr"/>
      <c r="D618" t="inlineStr"/>
      <c r="E618" t="inlineStr"/>
      <c r="F618" t="inlineStr"/>
      <c r="G618" t="inlineStr"/>
      <c r="H618">
        <f>HYPERLINK("http://www.sigmaaldrich.com/catalog/search?term=L100161&amp;interface=All&amp;N=0&amp;mode=match%20partialmax&amp;lang=en&amp;region=US&amp;focus=product","L100161")</f>
        <v/>
      </c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CCc1cccc(Nc2nc3ccccc3s2)c1</t>
        </is>
      </c>
      <c r="B619" t="inlineStr">
        <is>
          <t>ZINC000003888749</t>
        </is>
      </c>
      <c r="C619" t="inlineStr"/>
      <c r="D619" t="inlineStr"/>
      <c r="E619" t="inlineStr"/>
      <c r="F619">
        <f>HYPERLINK("https://www.enaminestore.com/catalog/EN300-12849","EN300-12849")</f>
        <v/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COc1ccc(-c2csc(Nc3ccccc3C)n2)cc1</t>
        </is>
      </c>
      <c r="B620" t="inlineStr">
        <is>
          <t>ZINC000000407338</t>
        </is>
      </c>
      <c r="C620" t="inlineStr"/>
      <c r="D620" t="inlineStr"/>
      <c r="E620" t="inlineStr"/>
      <c r="F620" t="inlineStr"/>
      <c r="G620" t="inlineStr"/>
      <c r="H620">
        <f>HYPERLINK("http://www.sigmaaldrich.com/catalog/search?term=L150312&amp;interface=All&amp;N=0&amp;mode=match%20partialmax&amp;lang=en&amp;region=US&amp;focus=product","L150312")</f>
        <v/>
      </c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Cc1cccc(Nc2nc3ccccc3s2)c1C</t>
        </is>
      </c>
      <c r="B621" t="inlineStr">
        <is>
          <t>ZINC000000392238</t>
        </is>
      </c>
      <c r="C621" t="inlineStr"/>
      <c r="D621" t="inlineStr"/>
      <c r="E621" t="inlineStr"/>
      <c r="F621">
        <f>HYPERLINK("https://www.enaminestore.com/catalog/EN300-12845","EN300-12845")</f>
        <v/>
      </c>
      <c r="G621" t="inlineStr"/>
      <c r="H621">
        <f>HYPERLINK("http://www.sigmaaldrich.com/catalog/search?term=L126918&amp;interface=All&amp;N=0&amp;mode=match%20partialmax&amp;lang=en&amp;region=US&amp;focus=product","L126918")</f>
        <v/>
      </c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c1ccc(Nc2nc(-c3cccs3)cs2)cc1</t>
        </is>
      </c>
      <c r="B622" t="inlineStr">
        <is>
          <t>ZINC000003206561</t>
        </is>
      </c>
      <c r="C622" t="inlineStr"/>
      <c r="D622" t="inlineStr"/>
      <c r="E622" t="inlineStr"/>
      <c r="F622" t="inlineStr"/>
      <c r="G622" t="inlineStr"/>
      <c r="H622">
        <f>HYPERLINK("http://www.sigmaaldrich.com/catalog/search?term=R425222&amp;interface=All&amp;N=0&amp;mode=match%20partialmax&amp;lang=en&amp;region=US&amp;focus=product","R425222")</f>
        <v/>
      </c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Cc1cccc(Nc2ncc(C(F)(F)F)cc2Cl)c1</t>
        </is>
      </c>
      <c r="B623" t="inlineStr">
        <is>
          <t>ZINC000042784022</t>
        </is>
      </c>
      <c r="C623" t="inlineStr"/>
      <c r="D623">
        <f>HYPERLINK("http://www.matrixscientific.com/053332.html","053332")</f>
        <v/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Cc1cccc(Nc2nc(-c3ccccc3)cs2)c1</t>
        </is>
      </c>
      <c r="B624" t="inlineStr">
        <is>
          <t>ZINC000000407173</t>
        </is>
      </c>
      <c r="C624" t="inlineStr"/>
      <c r="D624" t="inlineStr"/>
      <c r="E624" t="inlineStr"/>
      <c r="F624" t="inlineStr"/>
      <c r="G624" t="inlineStr"/>
      <c r="H624">
        <f>HYPERLINK("http://www.sigmaaldrich.com/catalog/search?term=R684546&amp;interface=All&amp;N=0&amp;mode=match%20partialmax&amp;lang=en&amp;region=US&amp;focus=product","R684546")</f>
        <v/>
      </c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c1ccc(Nc2ccncc2Oc2ccccc2)cc1</t>
        </is>
      </c>
      <c r="B625" t="inlineStr">
        <is>
          <t>ZINC000060293814</t>
        </is>
      </c>
      <c r="C625" t="inlineStr"/>
      <c r="D625" t="inlineStr"/>
      <c r="E625" t="inlineStr"/>
      <c r="F625" t="inlineStr"/>
      <c r="G625" t="inlineStr"/>
      <c r="H625">
        <f>HYPERLINK("http://www.sigmaaldrich.com/catalog/search?term=PH005633&amp;interface=All&amp;N=0&amp;mode=match%20partialmax&amp;lang=en&amp;region=US&amp;focus=product","PH005633")</f>
        <v/>
      </c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Fc1ccc(-c2csc(Nc3ccccc3)n2)cc1</t>
        </is>
      </c>
      <c r="B626" t="inlineStr">
        <is>
          <t>ZINC000001104834</t>
        </is>
      </c>
      <c r="C626" t="inlineStr"/>
      <c r="D626" t="inlineStr"/>
      <c r="E626" t="inlineStr"/>
      <c r="F626">
        <f>HYPERLINK("https://www.enaminestore.com/catalog/EN300-02939","EN300-02939")</f>
        <v/>
      </c>
      <c r="G626" t="inlineStr"/>
      <c r="H626" t="inlineStr"/>
      <c r="I626" t="inlineStr"/>
      <c r="J626" t="inlineStr"/>
      <c r="K626">
        <f>HYPERLINK("http://aablocks.com/goods/Goods/detail?id=AA009HTF","AA009HTF")</f>
        <v/>
      </c>
      <c r="L626" t="inlineStr"/>
      <c r="M626" t="inlineStr"/>
      <c r="N626" t="inlineStr"/>
    </row>
    <row r="627">
      <c r="A627" t="inlineStr">
        <is>
          <t>COc1ccc(Nc2c(Cl)c(C)nc(C)c2Cl)cc1</t>
        </is>
      </c>
      <c r="B627" t="inlineStr">
        <is>
          <t>ZINC000000392042</t>
        </is>
      </c>
      <c r="C627" t="inlineStr"/>
      <c r="D627" t="inlineStr"/>
      <c r="E627" t="inlineStr"/>
      <c r="F627" t="inlineStr"/>
      <c r="G627" t="inlineStr"/>
      <c r="H627">
        <f>HYPERLINK("http://www.sigmaaldrich.com/catalog/search?term=L100153&amp;interface=All&amp;N=0&amp;mode=match%20partialmax&amp;lang=en&amp;region=US&amp;focus=product","L100153")</f>
        <v/>
      </c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Cc1ccc(Nc2nc3ccccc3s2)cc1C</t>
        </is>
      </c>
      <c r="B628" t="inlineStr">
        <is>
          <t>ZINC000003888755</t>
        </is>
      </c>
      <c r="C628" t="inlineStr"/>
      <c r="D628" t="inlineStr"/>
      <c r="E628" t="inlineStr"/>
      <c r="F628">
        <f>HYPERLINK("https://www.enaminestore.com/catalog/EN300-12876","EN300-12876")</f>
        <v/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Cc1cc(C)cc(Nc2nc3ccccc3s2)c1</t>
        </is>
      </c>
      <c r="B629" t="inlineStr">
        <is>
          <t>ZINC000003243417</t>
        </is>
      </c>
      <c r="C629" t="inlineStr"/>
      <c r="D629" t="inlineStr"/>
      <c r="E629" t="inlineStr"/>
      <c r="F629">
        <f>HYPERLINK("https://www.enaminestore.com/catalog/EN300-02424","EN300-02424")</f>
        <v/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FC(F)(F)c1ccc2c(c1)Nc1ccccc1S2</t>
        </is>
      </c>
      <c r="B630" t="inlineStr">
        <is>
          <t>ZINC000000164387</t>
        </is>
      </c>
      <c r="C630">
        <f>HYPERLINK("http://www.combi-blocks.com/cgi-bin/find.cgi?OR-0931","OR-0931")</f>
        <v/>
      </c>
      <c r="D630">
        <f>HYPERLINK("http://www.matrixscientific.com/006026.html","006026")</f>
        <v/>
      </c>
      <c r="E630">
        <f>HYPERLINK("https://aksci.com/item_detail.php?cat=K682","K682")</f>
        <v/>
      </c>
      <c r="F630">
        <f>HYPERLINK("https://www.enaminestore.com/catalog/EN300-20475","EN300-20475")</f>
        <v/>
      </c>
      <c r="G630">
        <f>HYPERLINK("http://astatechinc.com/CPSResult.php?CRNO=O10543","O10543")</f>
        <v/>
      </c>
      <c r="H630" t="inlineStr"/>
      <c r="I630">
        <f>HYPERLINK("https://www.alfa.com/en/catalog/B20919","B20919")</f>
        <v/>
      </c>
      <c r="J630">
        <f>HYPERLINK("http://www.ambeed.com/search/Search.html?keyword=A203511","A203511")</f>
        <v/>
      </c>
      <c r="K630">
        <f>HYPERLINK("http://aablocks.com/goods/Goods/detail?id=AA0036OG","AA0036OG")</f>
        <v/>
      </c>
      <c r="L630" t="inlineStr"/>
      <c r="M630">
        <f>HYPERLINK("http://www.chemimpex.com/category/search/21259/2?filter=&amp;search=21259&amp;type=q&amp;keywordoption=ANY&amp;cid=2&amp;fltrdesc=","21259")</f>
        <v/>
      </c>
      <c r="N630">
        <f>HYPERLINK("https://www.biosynth.com/en/products/life-science/other-biochemicals/products/T-6400","T-6400")</f>
        <v/>
      </c>
    </row>
    <row r="631">
      <c r="A631" t="inlineStr">
        <is>
          <t>Cc1cccc(C)c1Nc1nc2ccccc2s1</t>
        </is>
      </c>
      <c r="B631" t="inlineStr">
        <is>
          <t>ZINC000000336406</t>
        </is>
      </c>
      <c r="C631" t="inlineStr"/>
      <c r="D631" t="inlineStr"/>
      <c r="E631" t="inlineStr"/>
      <c r="F631">
        <f>HYPERLINK("https://www.enaminestore.com/catalog/EN300-02422","EN300-02422")</f>
        <v/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Cc1ccccc1Nc1nc(-c2cccs2)cs1</t>
        </is>
      </c>
      <c r="B632" t="inlineStr">
        <is>
          <t>ZINC000000239141</t>
        </is>
      </c>
      <c r="C632" t="inlineStr"/>
      <c r="D632" t="inlineStr"/>
      <c r="E632" t="inlineStr"/>
      <c r="F632" t="inlineStr"/>
      <c r="G632" t="inlineStr"/>
      <c r="H632">
        <f>HYPERLINK("http://www.sigmaaldrich.com/catalog/search?term=R470147&amp;interface=All&amp;N=0&amp;mode=match%20partialmax&amp;lang=en&amp;region=US&amp;focus=product","R470147")</f>
        <v/>
      </c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Cc1ccccc1Nc1nc2c(C)cccc2s1</t>
        </is>
      </c>
      <c r="B633" t="inlineStr">
        <is>
          <t>ZINC000091945573</t>
        </is>
      </c>
      <c r="C633" t="inlineStr"/>
      <c r="D633" t="inlineStr"/>
      <c r="E633" t="inlineStr"/>
      <c r="F633">
        <f>HYPERLINK("https://www.enaminestore.com/catalog/EN300-1697343","EN300-1697343")</f>
        <v/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Cc1ccc(C)c(-c2csc(Nc3ccc(F)cn3)n2)c1</t>
        </is>
      </c>
      <c r="B634" t="inlineStr">
        <is>
          <t>ZINC000049006113</t>
        </is>
      </c>
      <c r="C634" t="inlineStr"/>
      <c r="D634" t="inlineStr"/>
      <c r="E634">
        <f>HYPERLINK("https://aksci.com/item_detail.php?cat=HTS017515","HTS017515")</f>
        <v/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CCOc1ccc(Nc2cccc3ccccc23)cc1</t>
        </is>
      </c>
      <c r="B635" t="inlineStr">
        <is>
          <t>ZINC000001683374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>
        <f>HYPERLINK("https://www.biosynth.com/en/products/life-science/other-biochemicals/products/W-110120","W-110120")</f>
        <v/>
      </c>
    </row>
    <row r="636">
      <c r="A636" t="inlineStr">
        <is>
          <t>Cc1ccccc1Nc1c(Cl)c(C)nc(C)c1Cl</t>
        </is>
      </c>
      <c r="B636" t="inlineStr">
        <is>
          <t>ZINC000002529554</t>
        </is>
      </c>
      <c r="C636" t="inlineStr"/>
      <c r="D636" t="inlineStr"/>
      <c r="E636" t="inlineStr"/>
      <c r="F636" t="inlineStr"/>
      <c r="G636" t="inlineStr"/>
      <c r="H636">
        <f>HYPERLINK("http://www.sigmaaldrich.com/catalog/search?term=L263052&amp;interface=All&amp;N=0&amp;mode=match%20partialmax&amp;lang=en&amp;region=US&amp;focus=product","L263052")</f>
        <v/>
      </c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c1ccc2c(Nc3nccc4ccccc34)cccc2c1</t>
        </is>
      </c>
      <c r="B637" t="inlineStr">
        <is>
          <t>ZINC000000390462</t>
        </is>
      </c>
      <c r="C637" t="inlineStr"/>
      <c r="D637" t="inlineStr"/>
      <c r="E637" t="inlineStr"/>
      <c r="F637" t="inlineStr"/>
      <c r="G637" t="inlineStr"/>
      <c r="H637">
        <f>HYPERLINK("http://www.sigmaaldrich.com/catalog/search?term=R947172&amp;interface=All&amp;N=0&amp;mode=match%20partialmax&amp;lang=en&amp;region=US&amp;focus=product","R947172")</f>
        <v/>
      </c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CCCCc1ccc(Nc2nccc3ccccc23)cc1</t>
        </is>
      </c>
      <c r="B638" t="inlineStr">
        <is>
          <t>ZINC000003953789</t>
        </is>
      </c>
      <c r="C638" t="inlineStr"/>
      <c r="D638" t="inlineStr"/>
      <c r="E638" t="inlineStr"/>
      <c r="F638" t="inlineStr"/>
      <c r="G638" t="inlineStr"/>
      <c r="H638">
        <f>HYPERLINK("http://www.sigmaaldrich.com/catalog/search?term=R549193&amp;interface=All&amp;N=0&amp;mode=match%20partialmax&amp;lang=en&amp;region=US&amp;focus=product","R549193")</f>
        <v/>
      </c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CC(C)c1ccc(Nc2ccc(C3CCCCC3)cc2)cc1</t>
        </is>
      </c>
      <c r="B639" t="inlineStr">
        <is>
          <t>ZINC000012649552</t>
        </is>
      </c>
      <c r="C639">
        <f>HYPERLINK("http://www.combi-blocks.com/cgi-bin/find.cgi?OR-8703","OR-8703")</f>
        <v/>
      </c>
      <c r="D639">
        <f>HYPERLINK("http://www.matrixscientific.com/131846.html","131846")</f>
        <v/>
      </c>
      <c r="E639">
        <f>HYPERLINK("https://aksci.com/item_detail.php?cat=W9134","W9134")</f>
        <v/>
      </c>
      <c r="F639" t="inlineStr"/>
      <c r="G639">
        <f>HYPERLINK("http://astatechinc.com/CPSResult.php?CRNO=59250","59250")</f>
        <v/>
      </c>
      <c r="H639" t="inlineStr"/>
      <c r="I639" t="inlineStr"/>
      <c r="J639" t="inlineStr"/>
      <c r="K639">
        <f>HYPERLINK("http://aablocks.com/goods/Goods/detail?id=AA0049IN","AA0049IN")</f>
        <v/>
      </c>
      <c r="L639" t="inlineStr"/>
      <c r="M639" t="inlineStr"/>
      <c r="N639">
        <f>HYPERLINK("https://www.biosynth.com/en/products/life-science/other-biochemicals/products/Q-102393","Q-102393")</f>
        <v/>
      </c>
    </row>
    <row r="640">
      <c r="A640" t="inlineStr">
        <is>
          <t>c1ccc2cc(Nc3cccc4ccccc34)ccc2c1</t>
        </is>
      </c>
      <c r="B640" t="inlineStr">
        <is>
          <t>ZINC000001420651</t>
        </is>
      </c>
      <c r="C640">
        <f>HYPERLINK("http://www.combi-blocks.com/cgi-bin/find.cgi?QH-9352","QH-9352")</f>
        <v/>
      </c>
      <c r="D640" t="inlineStr"/>
      <c r="E640">
        <f>HYPERLINK("https://aksci.com/item_detail.php?cat=1498AL","1498AL")</f>
        <v/>
      </c>
      <c r="F640" t="inlineStr"/>
      <c r="G640">
        <f>HYPERLINK("http://astatechinc.com/CPSResult.php?CRNO=19017","19017")</f>
        <v/>
      </c>
      <c r="H640">
        <f>HYPERLINK("http://www.sigmaaldrich.com/catalog/search?term=762660&amp;interface=All&amp;N=0&amp;mode=match%20partialmax&amp;lang=en&amp;region=US&amp;focus=product","762660")</f>
        <v/>
      </c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c1ccc2c(Nc3cccc4ccccc34)cccc2c1</t>
        </is>
      </c>
      <c r="B641" t="inlineStr">
        <is>
          <t>ZINC000001683190</t>
        </is>
      </c>
      <c r="C641">
        <f>HYPERLINK("http://www.combi-blocks.com/cgi-bin/find.cgi?QG-4617","QG-4617")</f>
        <v/>
      </c>
      <c r="D641" t="inlineStr"/>
      <c r="E641">
        <f>HYPERLINK("https://aksci.com/item_detail.php?cat=4374AL","4374AL")</f>
        <v/>
      </c>
      <c r="F641" t="inlineStr"/>
      <c r="G641">
        <f>HYPERLINK("http://astatechinc.com/CPSResult.php?CRNO=19018","19018")</f>
        <v/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CC(C)(C)c1ccc(Nc2ccc(C(C)(C)C)cc2)cc1</t>
        </is>
      </c>
      <c r="B642" t="inlineStr">
        <is>
          <t>ZINC000001785873</t>
        </is>
      </c>
      <c r="C642">
        <f>HYPERLINK("http://www.combi-blocks.com/cgi-bin/find.cgi?QJ-0588","QJ-0588")</f>
        <v/>
      </c>
      <c r="D642" t="inlineStr"/>
      <c r="E642">
        <f>HYPERLINK("https://aksci.com/item_detail.php?cat=3167AL","3167AL")</f>
        <v/>
      </c>
      <c r="F642" t="inlineStr"/>
      <c r="G642">
        <f>HYPERLINK("http://astatechinc.com/CPSResult.php?CRNO=19034","19034")</f>
        <v/>
      </c>
      <c r="H642" t="inlineStr"/>
      <c r="I642" t="inlineStr"/>
      <c r="J642">
        <f>HYPERLINK("http://www.ambeed.com/search/Search.html?keyword=A219315","A219315")</f>
        <v/>
      </c>
      <c r="K642" t="inlineStr"/>
      <c r="L642" t="inlineStr"/>
      <c r="M642" t="inlineStr"/>
      <c r="N642" t="inlineStr"/>
    </row>
    <row r="643">
      <c r="A643" t="inlineStr">
        <is>
          <t>CC1(C)c2ccccc2-c2ccc(Nc3ccccc3)cc21</t>
        </is>
      </c>
      <c r="B643" t="inlineStr">
        <is>
          <t>ZINC000085224771</t>
        </is>
      </c>
      <c r="C643">
        <f>HYPERLINK("http://www.combi-blocks.com/cgi-bin/find.cgi?QK-3487","QK-3487")</f>
        <v/>
      </c>
      <c r="D643">
        <f>HYPERLINK("http://www.matrixscientific.com/097145.html","097145")</f>
        <v/>
      </c>
      <c r="E643">
        <f>HYPERLINK("https://aksci.com/item_detail.php?cat=X0023","X0023")</f>
        <v/>
      </c>
      <c r="F643" t="inlineStr"/>
      <c r="G643">
        <f>HYPERLINK("http://astatechinc.com/CPSResult.php?CRNO=74349","74349")</f>
        <v/>
      </c>
      <c r="H643" t="inlineStr"/>
      <c r="I643" t="inlineStr"/>
      <c r="J643">
        <f>HYPERLINK("http://www.ambeed.com/search/Search.html?keyword=A398266","A398266")</f>
        <v/>
      </c>
      <c r="K643" t="inlineStr"/>
      <c r="L643" t="inlineStr"/>
      <c r="M643" t="inlineStr"/>
      <c r="N643" t="inlineStr"/>
    </row>
    <row r="644">
      <c r="A644" t="inlineStr">
        <is>
          <t>CC(C)c1ccc(Nc2ccc(C(C)(C)C)cc2)cc1</t>
        </is>
      </c>
      <c r="B644" t="inlineStr">
        <is>
          <t>ZINC000059552019</t>
        </is>
      </c>
      <c r="C644" t="inlineStr"/>
      <c r="D644" t="inlineStr"/>
      <c r="E644" t="inlineStr"/>
      <c r="F644" t="inlineStr"/>
      <c r="G644">
        <f>HYPERLINK("http://astatechinc.com/CPSResult.php?CRNO=T71335","T71335")</f>
        <v/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Cc1ccc(-c2csc(Nc3cc(C)ccc3C)n2)cc1</t>
        </is>
      </c>
      <c r="B645" t="inlineStr">
        <is>
          <t>ZINC000003326571</t>
        </is>
      </c>
      <c r="C645" t="inlineStr"/>
      <c r="D645" t="inlineStr"/>
      <c r="E645" t="inlineStr"/>
      <c r="F645">
        <f>HYPERLINK("https://www.enaminestore.com/catalog/EN300-06390","EN300-06390")</f>
        <v/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c1ccc(Nc2nc(-c3ccccc3)nc3ccccc23)cc1</t>
        </is>
      </c>
      <c r="B646" t="inlineStr">
        <is>
          <t>ZINC000013633698</t>
        </is>
      </c>
      <c r="C646" t="inlineStr"/>
      <c r="D646" t="inlineStr"/>
      <c r="E646" t="inlineStr"/>
      <c r="F646" t="inlineStr"/>
      <c r="G646">
        <f>HYPERLINK("http://astatechinc.com/CPSResult.php?CRNO=98587","98587")</f>
        <v/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Cc1cccc(C)c1Nc1nc(-c2ccccc2)cs1</t>
        </is>
      </c>
      <c r="B647" t="inlineStr">
        <is>
          <t>ZINC000000381927</t>
        </is>
      </c>
      <c r="C647">
        <f>HYPERLINK("http://www.combi-blocks.com/cgi-bin/find.cgi?QZ-8816","QZ-8816")</f>
        <v/>
      </c>
      <c r="D647">
        <f>HYPERLINK("http://www.matrixscientific.com/155690.html","155690")</f>
        <v/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CCc1ccc(-c2csc(Nc3ccccc3)n2)cc1</t>
        </is>
      </c>
      <c r="B648" t="inlineStr">
        <is>
          <t>ZINC000000392105</t>
        </is>
      </c>
      <c r="C648" t="inlineStr"/>
      <c r="D648" t="inlineStr"/>
      <c r="E648" t="inlineStr"/>
      <c r="F648" t="inlineStr"/>
      <c r="G648" t="inlineStr"/>
      <c r="H648">
        <f>HYPERLINK("http://www.sigmaaldrich.com/catalog/search?term=L112658&amp;interface=All&amp;N=0&amp;mode=match%20partialmax&amp;lang=en&amp;region=US&amp;focus=product","L112658")</f>
        <v/>
      </c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Cc1ccc(Nc2c(Cl)c(C)nc(C)c2Cl)cc1</t>
        </is>
      </c>
      <c r="B649" t="inlineStr">
        <is>
          <t>ZINC000000408074</t>
        </is>
      </c>
      <c r="C649" t="inlineStr"/>
      <c r="D649" t="inlineStr"/>
      <c r="E649" t="inlineStr"/>
      <c r="F649" t="inlineStr"/>
      <c r="G649" t="inlineStr"/>
      <c r="H649">
        <f>HYPERLINK("http://www.sigmaaldrich.com/catalog/search?term=R592285&amp;interface=All&amp;N=0&amp;mode=match%20partialmax&amp;lang=en&amp;region=US&amp;focus=product","R592285")</f>
        <v/>
      </c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Cc1cc(C)c(Nc2c(C)cc(C)cc2C)c(C)c1</t>
        </is>
      </c>
      <c r="B650" t="inlineStr">
        <is>
          <t>ZINC000038348654</t>
        </is>
      </c>
      <c r="C650">
        <f>HYPERLINK("http://www.combi-blocks.com/cgi-bin/find.cgi?QF-9213","QF-9213")</f>
        <v/>
      </c>
      <c r="D650" t="inlineStr"/>
      <c r="E650">
        <f>HYPERLINK("https://aksci.com/item_detail.php?cat=7685AL","7685AL")</f>
        <v/>
      </c>
      <c r="F650" t="inlineStr"/>
      <c r="G650">
        <f>HYPERLINK("http://astatechinc.com/CPSResult.php?CRNO=T71391","T71391")</f>
        <v/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CC(C)c1ccc(Nc2nc3ccccc3s2)cc1</t>
        </is>
      </c>
      <c r="B651" t="inlineStr">
        <is>
          <t>ZINC000003243180</t>
        </is>
      </c>
      <c r="C651" t="inlineStr"/>
      <c r="D651" t="inlineStr"/>
      <c r="E651" t="inlineStr"/>
      <c r="F651">
        <f>HYPERLINK("https://www.enaminestore.com/catalog/EN300-02419","EN300-02419")</f>
        <v/>
      </c>
      <c r="G651" t="inlineStr"/>
      <c r="H651" t="inlineStr"/>
      <c r="I651" t="inlineStr"/>
      <c r="J651" t="inlineStr"/>
      <c r="K651">
        <f>HYPERLINK("http://aablocks.com/goods/Goods/detail?id=AA019H0S","AA019H0S")</f>
        <v/>
      </c>
      <c r="L651" t="inlineStr"/>
      <c r="M651" t="inlineStr"/>
      <c r="N651" t="inlineStr"/>
    </row>
    <row r="652">
      <c r="A652" t="inlineStr">
        <is>
          <t>CC(C)(C)c1ccc(Nc2ccc3ccccc3c2)cc1</t>
        </is>
      </c>
      <c r="B652" t="inlineStr">
        <is>
          <t>ZINC000087493253</t>
        </is>
      </c>
      <c r="C652">
        <f>HYPERLINK("http://www.combi-blocks.com/cgi-bin/find.cgi?QD-9937","QD-9937")</f>
        <v/>
      </c>
      <c r="D652" t="inlineStr"/>
      <c r="E652">
        <f>HYPERLINK("https://aksci.com/item_detail.php?cat=X4169","X4169")</f>
        <v/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Cc1ccc(-c2csc(Nc3cccc(C)c3)n2)cc1</t>
        </is>
      </c>
      <c r="B653" t="inlineStr">
        <is>
          <t>ZINC000006215220</t>
        </is>
      </c>
      <c r="C653" t="inlineStr"/>
      <c r="D653" t="inlineStr"/>
      <c r="E653" t="inlineStr"/>
      <c r="F653" t="inlineStr"/>
      <c r="G653" t="inlineStr"/>
      <c r="H653">
        <f>HYPERLINK("http://www.sigmaaldrich.com/catalog/search?term=L120723&amp;interface=All&amp;N=0&amp;mode=match%20partialmax&amp;lang=en&amp;region=US&amp;focus=product","L120723")</f>
        <v/>
      </c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>Cc1cc(C)cc(Nc2nc(-c3ccc(F)cc3)cs2)c1</t>
        </is>
      </c>
      <c r="B654" t="inlineStr">
        <is>
          <t>ZINC000006609243</t>
        </is>
      </c>
      <c r="C654" t="inlineStr"/>
      <c r="D654" t="inlineStr"/>
      <c r="E654" t="inlineStr"/>
      <c r="F654">
        <f>HYPERLINK("https://www.enaminestore.com/catalog/EN300-06789","EN300-06789")</f>
        <v/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CC(C)(C)CC(C)(C)c1ccc(Nc2ccccc2)cc1</t>
        </is>
      </c>
      <c r="B655" t="inlineStr">
        <is>
          <t>ZINC000005138121</t>
        </is>
      </c>
      <c r="C655" t="inlineStr"/>
      <c r="D655" t="inlineStr"/>
      <c r="E655">
        <f>HYPERLINK("https://aksci.com/item_detail.php?cat=R276","R276")</f>
        <v/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Cc1ccc(Nc2ccc(-c3ccccc3)cc2)cc1</t>
        </is>
      </c>
      <c r="B656" t="inlineStr">
        <is>
          <t>ZINC000005330819</t>
        </is>
      </c>
      <c r="C656" t="inlineStr"/>
      <c r="D656">
        <f>HYPERLINK("http://www.matrixscientific.com/093772.html","093772")</f>
        <v/>
      </c>
      <c r="E656">
        <f>HYPERLINK("https://aksci.com/item_detail.php?cat=7347AA","7347AA")</f>
        <v/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c1ccc(-c2ccc(Nc3cccc4ccccc34)cc2)cc1</t>
        </is>
      </c>
      <c r="B657" t="inlineStr">
        <is>
          <t>ZINC000168897270</t>
        </is>
      </c>
      <c r="C657">
        <f>HYPERLINK("http://www.combi-blocks.com/cgi-bin/find.cgi?QV-3436","QV-3436")</f>
        <v/>
      </c>
      <c r="D657" t="inlineStr"/>
      <c r="E657" t="inlineStr"/>
      <c r="F657" t="inlineStr"/>
      <c r="G657">
        <f>HYPERLINK("http://astatechinc.com/CPSResult.php?CRNO=T70928","T70928")</f>
        <v/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Cc1ccc(-c2csc(Nc3c(C)cccc3C)n2)cc1</t>
        </is>
      </c>
      <c r="B658" t="inlineStr">
        <is>
          <t>ZINC000003278219</t>
        </is>
      </c>
      <c r="C658" t="inlineStr"/>
      <c r="D658" t="inlineStr"/>
      <c r="E658" t="inlineStr"/>
      <c r="F658">
        <f>HYPERLINK("https://www.enaminestore.com/catalog/EN300-06442","EN300-06442")</f>
        <v/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c1ccc(COc2ccc(Nc3ccccc3)cc2)cc1</t>
        </is>
      </c>
      <c r="B659" t="inlineStr">
        <is>
          <t>ZINC000000394143</t>
        </is>
      </c>
      <c r="C659" t="inlineStr"/>
      <c r="D659" t="inlineStr"/>
      <c r="E659" t="inlineStr"/>
      <c r="F659">
        <f>HYPERLINK("https://www.enaminestore.com/catalog/EN300-1705834","EN300-1705834")</f>
        <v/>
      </c>
      <c r="G659" t="inlineStr"/>
      <c r="H659">
        <f>HYPERLINK("http://www.sigmaaldrich.com/catalog/search?term=S384151&amp;interface=All&amp;N=0&amp;mode=match%20partialmax&amp;lang=en&amp;region=US&amp;focus=product","S384151")</f>
        <v/>
      </c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CCCCc1ccc(Nc2nc3ccccc3s2)cc1</t>
        </is>
      </c>
      <c r="B660" t="inlineStr">
        <is>
          <t>ZINC000003228781</t>
        </is>
      </c>
      <c r="C660" t="inlineStr"/>
      <c r="D660" t="inlineStr"/>
      <c r="E660" t="inlineStr"/>
      <c r="F660">
        <f>HYPERLINK("https://www.enaminestore.com/catalog/EN300-02821","EN300-02821")</f>
        <v/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C/C=C(/C)c1ccc2c(c1)Nc1ccccc1S2</t>
        </is>
      </c>
      <c r="B661" t="inlineStr">
        <is>
          <t>ZINC000071772927</t>
        </is>
      </c>
      <c r="C661" t="inlineStr"/>
      <c r="D661" t="inlineStr"/>
      <c r="E661" t="inlineStr"/>
      <c r="F661" t="inlineStr"/>
      <c r="G661" t="inlineStr"/>
      <c r="H661">
        <f>HYPERLINK("http://www.sigmaaldrich.com/catalog/search?term=PH006763&amp;interface=All&amp;N=0&amp;mode=match%20partialmax&amp;lang=en&amp;region=US&amp;focus=product","PH006763")</f>
        <v/>
      </c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c1ccc2cc(Nc3ccc4ccccc4c3)ccc2c1</t>
        </is>
      </c>
      <c r="B662" t="inlineStr">
        <is>
          <t>ZINC000001230843</t>
        </is>
      </c>
      <c r="C662" t="inlineStr"/>
      <c r="D662">
        <f>HYPERLINK("http://www.matrixscientific.com/097281.html","097281")</f>
        <v/>
      </c>
      <c r="E662">
        <f>HYPERLINK("https://aksci.com/item_detail.php?cat=V1098","V1098")</f>
        <v/>
      </c>
      <c r="F662" t="inlineStr"/>
      <c r="G662">
        <f>HYPERLINK("http://astatechinc.com/CPSResult.php?CRNO=60370","60370")</f>
        <v/>
      </c>
      <c r="H662">
        <f>HYPERLINK("http://www.sigmaaldrich.com/catalog/search?term=762679&amp;interface=All&amp;N=0&amp;mode=match%20partialmax&amp;lang=en&amp;region=US&amp;focus=product","762679")</f>
        <v/>
      </c>
      <c r="I662" t="inlineStr"/>
      <c r="J662" t="inlineStr"/>
      <c r="K662" t="inlineStr"/>
      <c r="L662" t="inlineStr"/>
      <c r="M662" t="inlineStr"/>
      <c r="N662">
        <f>HYPERLINK("https://www.biosynth.com/en/products/life-science/other-biochemicals/products/Q-102394","Q-102394")</f>
        <v/>
      </c>
    </row>
    <row r="663">
      <c r="A663" t="inlineStr">
        <is>
          <t>CCSc1ccc2c(c1)Nc1ccccc1S2</t>
        </is>
      </c>
      <c r="B663" t="inlineStr">
        <is>
          <t>ZINC000002556791</t>
        </is>
      </c>
      <c r="C663">
        <f>HYPERLINK("http://www.combi-blocks.com/cgi-bin/find.cgi?QV-5290","QV-5290")</f>
        <v/>
      </c>
      <c r="D663" t="inlineStr"/>
      <c r="E663">
        <f>HYPERLINK("https://aksci.com/item_detail.php?cat=V1726","V1726")</f>
        <v/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CC(C)c1ccccc1Nc1nc2ccccc2s1</t>
        </is>
      </c>
      <c r="B664" t="inlineStr">
        <is>
          <t>ZINC000003268206</t>
        </is>
      </c>
      <c r="C664" t="inlineStr"/>
      <c r="D664" t="inlineStr"/>
      <c r="E664" t="inlineStr"/>
      <c r="F664">
        <f>HYPERLINK("https://www.enaminestore.com/catalog/EN300-02340","EN300-02340")</f>
        <v/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CC(C)(C)c1cc2cccc(Nc3ccccc3F)c2[nH]1</t>
        </is>
      </c>
      <c r="B665" t="inlineStr">
        <is>
          <t>ZINC000006658182</t>
        </is>
      </c>
      <c r="C665">
        <f>HYPERLINK("http://www.combi-blocks.com/cgi-bin/find.cgi?QA-3875","QA-3875")</f>
        <v/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c1ccc(Nc2ccc3sc4ccccc4c3c2)cc1</t>
        </is>
      </c>
      <c r="B666" t="inlineStr">
        <is>
          <t>ZINC000114816368</t>
        </is>
      </c>
      <c r="C666" t="inlineStr"/>
      <c r="D666" t="inlineStr"/>
      <c r="E666" t="inlineStr"/>
      <c r="F666" t="inlineStr"/>
      <c r="G666">
        <f>HYPERLINK("http://astatechinc.com/CPSResult.php?CRNO=F18750","F18750")</f>
        <v/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c1ccc(Nc2cccc3cc4ccccc4cc23)cc1</t>
        </is>
      </c>
      <c r="B667" t="inlineStr">
        <is>
          <t>ZINC000044069359</t>
        </is>
      </c>
      <c r="C667">
        <f>HYPERLINK("http://www.combi-blocks.com/cgi-bin/find.cgi?QD-0893","QD-0893")</f>
        <v/>
      </c>
      <c r="D667" t="inlineStr"/>
      <c r="E667">
        <f>HYPERLINK("https://aksci.com/item_detail.php?cat=8655AL","8655AL")</f>
        <v/>
      </c>
      <c r="F667" t="inlineStr"/>
      <c r="G667">
        <f>HYPERLINK("http://astatechinc.com/CPSResult.php?CRNO=T73110","T73110")</f>
        <v/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c1ccc(Nc2c3ccccc3cc3ccccc23)cc1</t>
        </is>
      </c>
      <c r="B668" t="inlineStr">
        <is>
          <t>ZINC000034153438</t>
        </is>
      </c>
      <c r="C668">
        <f>HYPERLINK("http://www.combi-blocks.com/cgi-bin/find.cgi?QG-5811","QG-5811")</f>
        <v/>
      </c>
      <c r="D668" t="inlineStr"/>
      <c r="E668">
        <f>HYPERLINK("https://aksci.com/item_detail.php?cat=8658AL","8658AL")</f>
        <v/>
      </c>
      <c r="F668" t="inlineStr"/>
      <c r="G668">
        <f>HYPERLINK("http://astatechinc.com/CPSResult.php?CRNO=T71839","T71839")</f>
        <v/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c1ccc(Nc2cc3ccccc3c3ccccc23)cc1</t>
        </is>
      </c>
      <c r="B669" t="inlineStr">
        <is>
          <t>ZINC000086029458</t>
        </is>
      </c>
      <c r="C669" t="inlineStr"/>
      <c r="D669" t="inlineStr"/>
      <c r="E669">
        <f>HYPERLINK("https://aksci.com/item_detail.php?cat=3767AL","3767AL")</f>
        <v/>
      </c>
      <c r="F669" t="inlineStr"/>
      <c r="G669">
        <f>HYPERLINK("http://astatechinc.com/CPSResult.php?CRNO=19016","19016")</f>
        <v/>
      </c>
      <c r="H669">
        <f>HYPERLINK("http://www.sigmaaldrich.com/catalog/search?term=761966&amp;interface=All&amp;N=0&amp;mode=match%20partialmax&amp;lang=en&amp;region=US&amp;focus=product","761966")</f>
        <v/>
      </c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c1ccc(Nc2ccc3cc4ccccc4cc3c2)cc1</t>
        </is>
      </c>
      <c r="B670" t="inlineStr">
        <is>
          <t>ZINC000044069195</t>
        </is>
      </c>
      <c r="C670">
        <f>HYPERLINK("http://www.combi-blocks.com/cgi-bin/find.cgi?QG-9965","QG-9965")</f>
        <v/>
      </c>
      <c r="D670" t="inlineStr"/>
      <c r="E670">
        <f>HYPERLINK("https://aksci.com/item_detail.php?cat=8656AL","8656AL")</f>
        <v/>
      </c>
      <c r="F670" t="inlineStr"/>
      <c r="G670">
        <f>HYPERLINK("http://astatechinc.com/CPSResult.php?CRNO=T71589","T71589")</f>
        <v/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Cc1ccc(/N=N/c2ccc(Nc3ccccc3)cc2)cc1</t>
        </is>
      </c>
      <c r="B671" t="inlineStr">
        <is>
          <t>ZINC000004774713</t>
        </is>
      </c>
      <c r="C671" t="inlineStr"/>
      <c r="D671" t="inlineStr"/>
      <c r="E671" t="inlineStr"/>
      <c r="F671" t="inlineStr"/>
      <c r="G671" t="inlineStr"/>
      <c r="H671">
        <f>HYPERLINK("http://www.sigmaaldrich.com/catalog/search?term=S930504&amp;interface=All&amp;N=0&amp;mode=match%20partialmax&amp;lang=en&amp;region=US&amp;focus=product","S930504")</f>
        <v/>
      </c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c1ccc(/N=N/c2ccc(Nc3ccccc3)cc2)cc1</t>
        </is>
      </c>
      <c r="B672" t="inlineStr">
        <is>
          <t>ZINC000018066675</t>
        </is>
      </c>
      <c r="C672">
        <f>HYPERLINK("http://www.combi-blocks.com/cgi-bin/find.cgi?QB-7598","QB-7598")</f>
        <v/>
      </c>
      <c r="D672" t="inlineStr"/>
      <c r="E672">
        <f>HYPERLINK("https://aksci.com/item_detail.php?cat=5675AH","5675AH")</f>
        <v/>
      </c>
      <c r="F672" t="inlineStr"/>
      <c r="G672" t="inlineStr"/>
      <c r="H672">
        <f>HYPERLINK("http://www.sigmaaldrich.com/catalog/search?term=229164&amp;interface=All&amp;N=0&amp;mode=match%20partialmax&amp;lang=en&amp;region=US&amp;focus=product","229164")</f>
        <v/>
      </c>
      <c r="I672">
        <f>HYPERLINK("https://www.alfa.com/en/catalog/A18612","A18612")</f>
        <v/>
      </c>
      <c r="J672" t="inlineStr"/>
      <c r="K672" t="inlineStr"/>
      <c r="L672" t="inlineStr"/>
      <c r="M672">
        <f>HYPERLINK("http://www.chemimpex.com/category/search/22786/2?filter=&amp;search=22786&amp;type=q&amp;keywordoption=ANY&amp;cid=2&amp;fltrdesc=","22786")</f>
        <v/>
      </c>
      <c r="N672" t="inlineStr"/>
    </row>
    <row r="673">
      <c r="A673" t="inlineStr">
        <is>
          <t>CCc1ccccc1Nc1c2ccccc2nc2ccccc12</t>
        </is>
      </c>
      <c r="B673" t="inlineStr">
        <is>
          <t>ZINC000003953563</t>
        </is>
      </c>
      <c r="C673" t="inlineStr"/>
      <c r="D673" t="inlineStr"/>
      <c r="E673" t="inlineStr"/>
      <c r="F673" t="inlineStr"/>
      <c r="G673" t="inlineStr"/>
      <c r="H673">
        <f>HYPERLINK("http://www.sigmaaldrich.com/catalog/search?term=L139653&amp;interface=All&amp;N=0&amp;mode=match%20partialmax&amp;lang=en&amp;region=US&amp;focus=product","L139653")</f>
        <v/>
      </c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Cc1cccc(Nc2c3ccccc3nc3ccccc23)c1</t>
        </is>
      </c>
      <c r="B674" t="inlineStr">
        <is>
          <t>ZINC000003896839</t>
        </is>
      </c>
      <c r="C674" t="inlineStr"/>
      <c r="D674" t="inlineStr"/>
      <c r="E674" t="inlineStr"/>
      <c r="F674" t="inlineStr"/>
      <c r="G674" t="inlineStr"/>
      <c r="H674">
        <f>HYPERLINK("http://www.sigmaaldrich.com/catalog/search?term=S975761&amp;interface=All&amp;N=0&amp;mode=match%20partialmax&amp;lang=en&amp;region=US&amp;focus=product","S975761")</f>
        <v/>
      </c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c1ccc(N=Nc2ccc(Nc3ccccc3)cc2)cc1</t>
        </is>
      </c>
      <c r="B675" t="inlineStr">
        <is>
          <t>ZINC000254744471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>
        <f>HYPERLINK("http://aablocks.com/goods/Goods/detail?id=AA0003D5","AA0003D5")</f>
        <v/>
      </c>
      <c r="L675" t="inlineStr"/>
      <c r="M675" t="inlineStr"/>
      <c r="N675" t="inlineStr"/>
    </row>
    <row r="676">
      <c r="A676" t="inlineStr">
        <is>
          <t>C(=N/c1ccc(Nc2ccccc2)cc1)\c1ccccc1</t>
        </is>
      </c>
      <c r="B676" t="inlineStr">
        <is>
          <t>ZINC000017991428</t>
        </is>
      </c>
      <c r="C676" t="inlineStr"/>
      <c r="D676" t="inlineStr"/>
      <c r="E676" t="inlineStr"/>
      <c r="F676" t="inlineStr"/>
      <c r="G676" t="inlineStr"/>
      <c r="H676">
        <f>HYPERLINK("http://www.sigmaaldrich.com/catalog/search?term=S688932&amp;interface=All&amp;N=0&amp;mode=match%20partialmax&amp;lang=en&amp;region=US&amp;focus=product","S688932")</f>
        <v/>
      </c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CCCCCCCCOc1ccc(Nc2ccccc2)cc1</t>
        </is>
      </c>
      <c r="B677" t="inlineStr">
        <is>
          <t>ZINC000002160325</t>
        </is>
      </c>
      <c r="C677" t="inlineStr"/>
      <c r="D677" t="inlineStr"/>
      <c r="E677" t="inlineStr"/>
      <c r="F677" t="inlineStr"/>
      <c r="G677" t="inlineStr"/>
      <c r="H677">
        <f>HYPERLINK("http://www.sigmaaldrich.com/catalog/search?term=S513768&amp;interface=All&amp;N=0&amp;mode=match%20partialmax&amp;lang=en&amp;region=US&amp;focus=product","S513768")</f>
        <v/>
      </c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C(=N/c1ccc(Nc2ccccc2)cc1)\c1cccs1</t>
        </is>
      </c>
      <c r="B678" t="inlineStr">
        <is>
          <t>ZINC000000572151</t>
        </is>
      </c>
      <c r="C678" t="inlineStr"/>
      <c r="D678" t="inlineStr"/>
      <c r="E678" t="inlineStr"/>
      <c r="F678" t="inlineStr"/>
      <c r="G678" t="inlineStr"/>
      <c r="H678">
        <f>HYPERLINK("http://www.sigmaaldrich.com/catalog/search?term=S696579&amp;interface=All&amp;N=0&amp;mode=match%20partialmax&amp;lang=en&amp;region=US&amp;focus=product","S696579")</f>
        <v/>
      </c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C(=C/c1ccccc1)\C=N\c1ccc(Nc2ccccc2)cc1</t>
        </is>
      </c>
      <c r="B679" t="inlineStr">
        <is>
          <t>ZINC000005278465</t>
        </is>
      </c>
      <c r="C679" t="inlineStr"/>
      <c r="D679" t="inlineStr"/>
      <c r="E679" t="inlineStr"/>
      <c r="F679" t="inlineStr"/>
      <c r="G679" t="inlineStr"/>
      <c r="H679">
        <f>HYPERLINK("http://www.sigmaaldrich.com/catalog/search?term=S689181&amp;interface=All&amp;N=0&amp;mode=match%20partialmax&amp;lang=en&amp;region=US&amp;focus=product","S689181")</f>
        <v/>
      </c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Cc1ccc(/C=N/c2ccc(Nc3ccccc3)cc2)cc1</t>
        </is>
      </c>
      <c r="B680" t="inlineStr">
        <is>
          <t>ZINC000001233829</t>
        </is>
      </c>
      <c r="C680" t="inlineStr"/>
      <c r="D680" t="inlineStr"/>
      <c r="E680" t="inlineStr"/>
      <c r="F680" t="inlineStr"/>
      <c r="G680" t="inlineStr"/>
      <c r="H680">
        <f>HYPERLINK("http://www.sigmaaldrich.com/catalog/search?term=S688959&amp;interface=All&amp;N=0&amp;mode=match%20partialmax&amp;lang=en&amp;region=US&amp;focus=product","S688959")</f>
        <v/>
      </c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CCCCCCCCc1ccc(Nc2ccccc2)cc1</t>
        </is>
      </c>
      <c r="B681" t="inlineStr">
        <is>
          <t>ZINC000002243675</t>
        </is>
      </c>
      <c r="C681" t="inlineStr"/>
      <c r="D681" t="inlineStr"/>
      <c r="E681">
        <f>HYPERLINK("https://aksci.com/item_detail.php?cat=Z1663","Z1663")</f>
        <v/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Cc1ccc(Nc2nc3c(c(=O)[nH]c(=O)n3C)n2CCO)cc1</t>
        </is>
      </c>
      <c r="B682" t="inlineStr">
        <is>
          <t>ZINC000000537305</t>
        </is>
      </c>
      <c r="C682" t="inlineStr"/>
      <c r="D682" t="inlineStr"/>
      <c r="E682" t="inlineStr"/>
      <c r="F682" t="inlineStr"/>
      <c r="G682" t="inlineStr"/>
      <c r="H682">
        <f>HYPERLINK("http://www.sigmaaldrich.com/catalog/search?term=L217093&amp;interface=All&amp;N=0&amp;mode=match%20partialmax&amp;lang=en&amp;region=US&amp;focus=product","L217093")</f>
        <v/>
      </c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Cc1cccc(Nc2nc3c(c(=O)[nH]c(=O)n3C)n2CCO)c1</t>
        </is>
      </c>
      <c r="B683" t="inlineStr">
        <is>
          <t>ZINC000000539853</t>
        </is>
      </c>
      <c r="C683" t="inlineStr"/>
      <c r="D683" t="inlineStr"/>
      <c r="E683" t="inlineStr"/>
      <c r="F683" t="inlineStr"/>
      <c r="G683" t="inlineStr"/>
      <c r="H683">
        <f>HYPERLINK("http://www.sigmaaldrich.com/catalog/search?term=L217107&amp;interface=All&amp;N=0&amp;mode=match%20partialmax&amp;lang=en&amp;region=US&amp;focus=product","L217107")</f>
        <v/>
      </c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Cn1c(=O)[nH]c(=O)c2c1nc(Nc1ccccc1)n2CCO</t>
        </is>
      </c>
      <c r="B684" t="inlineStr">
        <is>
          <t>ZINC000000534236</t>
        </is>
      </c>
      <c r="C684" t="inlineStr"/>
      <c r="D684" t="inlineStr"/>
      <c r="E684" t="inlineStr"/>
      <c r="F684" t="inlineStr"/>
      <c r="G684" t="inlineStr"/>
      <c r="H684">
        <f>HYPERLINK("http://www.sigmaaldrich.com/catalog/search?term=L217166&amp;interface=All&amp;N=0&amp;mode=match%20partialmax&amp;lang=en&amp;region=US&amp;focus=product","L217166")</f>
        <v/>
      </c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CCOC(=O)c1cnc(Nc2nc3ccccc3o2)[nH]c1=O</t>
        </is>
      </c>
      <c r="B685" t="inlineStr">
        <is>
          <t>ZINC000005884315</t>
        </is>
      </c>
      <c r="C685" t="inlineStr"/>
      <c r="D685" t="inlineStr"/>
      <c r="E685">
        <f>HYPERLINK("https://aksci.com/item_detail.php?cat=6657AJ","6657AJ")</f>
        <v/>
      </c>
      <c r="F685" t="inlineStr"/>
      <c r="G685">
        <f>HYPERLINK("http://astatechinc.com/CPSResult.php?CRNO=AC6571","AC6571")</f>
        <v/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COc1ccc2c(C)nc(Nc3nc(=O)c(C)c(C)[nH]3)nc2c1</t>
        </is>
      </c>
      <c r="B686" t="inlineStr">
        <is>
          <t>ZINC000008838164</t>
        </is>
      </c>
      <c r="C686">
        <f>HYPERLINK("http://www.combi-blocks.com/cgi-bin/find.cgi?QW-4668","QW-4668")</f>
        <v/>
      </c>
      <c r="D686" t="inlineStr"/>
      <c r="E686" t="inlineStr"/>
      <c r="F686">
        <f>HYPERLINK("https://www.enaminestore.com/catalog/EN300-2007606","EN300-2007606")</f>
        <v/>
      </c>
      <c r="G686">
        <f>HYPERLINK("http://astatechinc.com/CPSResult.php?CRNO=C74930","C74930")</f>
        <v/>
      </c>
      <c r="H686">
        <f>HYPERLINK("http://www.sigmaaldrich.com/catalog/search?term=SML1409&amp;interface=All&amp;N=0&amp;mode=match%20partialmax&amp;lang=en&amp;region=US&amp;focus=product","SML1409")</f>
        <v/>
      </c>
      <c r="I686" t="inlineStr"/>
      <c r="J686" t="inlineStr"/>
      <c r="K686" t="inlineStr"/>
      <c r="L686">
        <f>HYPERLINK("http://www.achemblock.com/catalogsearch/result/?q=Q65750","Q65750")</f>
        <v/>
      </c>
      <c r="M686" t="inlineStr"/>
      <c r="N686" t="inlineStr"/>
    </row>
    <row r="687">
      <c r="A687" t="inlineStr">
        <is>
          <t>COc1ccc2cc(Nc3nc(F)nc(F)n3)c(=O)oc2c1</t>
        </is>
      </c>
      <c r="B687" t="inlineStr">
        <is>
          <t>ZINC000034317647</t>
        </is>
      </c>
      <c r="C687" t="inlineStr"/>
      <c r="D687" t="inlineStr"/>
      <c r="E687" t="inlineStr"/>
      <c r="F687" t="inlineStr"/>
      <c r="G687" t="inlineStr"/>
      <c r="H687">
        <f>HYPERLINK("http://www.sigmaaldrich.com/catalog/search?term=42726&amp;interface=All&amp;N=0&amp;mode=match%20partialmax&amp;lang=en&amp;region=US&amp;focus=product","42726")</f>
        <v/>
      </c>
      <c r="I687" t="inlineStr"/>
      <c r="J687" t="inlineStr"/>
      <c r="K687" t="inlineStr"/>
      <c r="L687" t="inlineStr"/>
      <c r="M687" t="inlineStr"/>
      <c r="N687">
        <f>HYPERLINK("https://www.biosynth.com/en/products/life-science/other-biochemicals/products/J-100121","J-100121")</f>
        <v/>
      </c>
    </row>
    <row r="688">
      <c r="A688" t="inlineStr">
        <is>
          <t>Cc1cc(C)n(C(=O)c2n[nH]nc2Nc2ccccc2F)n1</t>
        </is>
      </c>
      <c r="B688" t="inlineStr">
        <is>
          <t>ZINC000057352078</t>
        </is>
      </c>
      <c r="C688" t="inlineStr"/>
      <c r="D688" t="inlineStr"/>
      <c r="E688">
        <f>HYPERLINK("https://aksci.com/item_detail.php?cat=HTS028166","HTS028166")</f>
        <v/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Cc1nccc(Nc2cc(B3OC(C)(C)C(C)(C)O3)ccn2)n1</t>
        </is>
      </c>
      <c r="B689" t="inlineStr">
        <is>
          <t>ZINC001776010949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>
        <f>HYPERLINK("http://www.achemblock.com/catalogsearch/result/?q=Q69794","Q69794")</f>
        <v/>
      </c>
      <c r="M689" t="inlineStr"/>
      <c r="N689" t="inlineStr"/>
    </row>
    <row r="690">
      <c r="A690" t="inlineStr">
        <is>
          <t>Cc1cc(C)n(C(=O)Cc2nnc(Nc3ccccc3)s2)n1</t>
        </is>
      </c>
      <c r="B690" t="inlineStr">
        <is>
          <t>ZINC000067341890</t>
        </is>
      </c>
      <c r="C690" t="inlineStr"/>
      <c r="D690" t="inlineStr"/>
      <c r="E690">
        <f>HYPERLINK("https://aksci.com/item_detail.php?cat=HTS028954","HTS028954")</f>
        <v/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O=c1[nH]c(Nc2nc(C(F)(F)F)cs2)nc2c1CCCC2</t>
        </is>
      </c>
      <c r="B691" t="inlineStr">
        <is>
          <t>ZINC000001386713</t>
        </is>
      </c>
      <c r="C691" t="inlineStr"/>
      <c r="D691">
        <f>HYPERLINK("http://www.matrixscientific.com/165099.html","165099")</f>
        <v/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COC(=O)c1ccc(Nc2oc(C)cc(=O)c2C(C)=O)cc1</t>
        </is>
      </c>
      <c r="B692" t="inlineStr">
        <is>
          <t>ZINC000002581689</t>
        </is>
      </c>
      <c r="C692" t="inlineStr"/>
      <c r="D692" t="inlineStr"/>
      <c r="E692" t="inlineStr"/>
      <c r="F692" t="inlineStr"/>
      <c r="G692" t="inlineStr"/>
      <c r="H692">
        <f>HYPERLINK("http://www.sigmaaldrich.com/catalog/search?term=L124710&amp;interface=All&amp;N=0&amp;mode=match%20partialmax&amp;lang=en&amp;region=US&amp;focus=product","L124710")</f>
        <v/>
      </c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CCc1ccc(Nc2n[nH]nc2C(=O)n2nc(C)cc2C)cc1</t>
        </is>
      </c>
      <c r="B693" t="inlineStr">
        <is>
          <t>ZINC000057352074</t>
        </is>
      </c>
      <c r="C693" t="inlineStr"/>
      <c r="D693" t="inlineStr"/>
      <c r="E693">
        <f>HYPERLINK("https://aksci.com/item_detail.php?cat=HTS028164","HTS028164")</f>
        <v/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>Cc1nc(Nc2nc(=O)c3ccccc3[nH]2)nc2ccccc12</t>
        </is>
      </c>
      <c r="B694" t="inlineStr">
        <is>
          <t>ZINC000018193432</t>
        </is>
      </c>
      <c r="C694">
        <f>HYPERLINK("http://www.combi-blocks.com/cgi-bin/find.cgi?QY-6719","QY-6719")</f>
        <v/>
      </c>
      <c r="D694">
        <f>HYPERLINK("http://www.matrixscientific.com/080576.html","080576")</f>
        <v/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Cc1cc(C)n(C(=O)c2n[nH]nc2Nc2ccc(C)c(C)c2)n1</t>
        </is>
      </c>
      <c r="B695" t="inlineStr">
        <is>
          <t>ZINC000057352079</t>
        </is>
      </c>
      <c r="C695" t="inlineStr"/>
      <c r="D695" t="inlineStr"/>
      <c r="E695">
        <f>HYPERLINK("https://aksci.com/item_detail.php?cat=HTS028163","HTS028163")</f>
        <v/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CCOC(=O)c1n[nH]c(Nc2ccccc2)c1C(=O)OCC</t>
        </is>
      </c>
      <c r="B696" t="inlineStr">
        <is>
          <t>ZINC000006750547</t>
        </is>
      </c>
      <c r="C696" t="inlineStr"/>
      <c r="D696" t="inlineStr"/>
      <c r="E696" t="inlineStr"/>
      <c r="F696" t="inlineStr"/>
      <c r="G696" t="inlineStr"/>
      <c r="H696">
        <f>HYPERLINK("http://www.sigmaaldrich.com/catalog/search?term=T134988&amp;interface=All&amp;N=0&amp;mode=match%20partialmax&amp;lang=en&amp;region=US&amp;focus=product","T134988")</f>
        <v/>
      </c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OCC1(c2ccccc2Nc2nc(Cl)ncc2Cl)CC1</t>
        </is>
      </c>
      <c r="B697" t="inlineStr">
        <is>
          <t>ZINC000642813682</t>
        </is>
      </c>
      <c r="C697" t="inlineStr"/>
      <c r="D697" t="inlineStr"/>
      <c r="E697" t="inlineStr"/>
      <c r="F697" t="inlineStr"/>
      <c r="G697">
        <f>HYPERLINK("http://astatechinc.com/CPSResult.php?CRNO=A50911","A50911")</f>
        <v/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CCn1cnc2c(Nc3cc(F)cc(F)c3)nc(C#N)nc21</t>
        </is>
      </c>
      <c r="B698" t="inlineStr">
        <is>
          <t>ZINC000036379291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>
        <f>HYPERLINK("http://www.achemblock.com/catalogsearch/result/?q=Q70181","Q70181")</f>
        <v/>
      </c>
      <c r="M698" t="inlineStr"/>
      <c r="N698" t="inlineStr"/>
    </row>
    <row r="699">
      <c r="A699" t="inlineStr">
        <is>
          <t>CC(=O)c1ccc(Nc2c(C)n(C)n(-c3ccccc3)c2=O)cc1</t>
        </is>
      </c>
      <c r="B699" t="inlineStr">
        <is>
          <t>ZINC000003372955</t>
        </is>
      </c>
      <c r="C699" t="inlineStr"/>
      <c r="D699" t="inlineStr"/>
      <c r="E699" t="inlineStr"/>
      <c r="F699">
        <f>HYPERLINK("https://www.enaminestore.com/catalog/EN300-05749","EN300-05749")</f>
        <v/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COC(=O)c1cccc2c1Nc1c(cccc1C(=O)OC)CC2</t>
        </is>
      </c>
      <c r="B700" t="inlineStr">
        <is>
          <t>ZINC000071770351</t>
        </is>
      </c>
      <c r="C700" t="inlineStr"/>
      <c r="D700" t="inlineStr"/>
      <c r="E700" t="inlineStr"/>
      <c r="F700" t="inlineStr"/>
      <c r="G700" t="inlineStr"/>
      <c r="H700">
        <f>HYPERLINK("http://www.sigmaaldrich.com/catalog/search?term=PH004353&amp;interface=All&amp;N=0&amp;mode=match%20partialmax&amp;lang=en&amp;region=US&amp;focus=product","PH004353")</f>
        <v/>
      </c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c1cncc(Nc2ncc(-c3ccncn3)c(-c3ccco3)n2)c1</t>
        </is>
      </c>
      <c r="B701" t="inlineStr">
        <is>
          <t>ZINC000013981593</t>
        </is>
      </c>
      <c r="C701" t="inlineStr"/>
      <c r="D701" t="inlineStr"/>
      <c r="E701">
        <f>HYPERLINK("https://aksci.com/item_detail.php?cat=Y1268","Y1268")</f>
        <v/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COc1cnc(-c2ccccn2)nc1Nc1ccc2cn[nH]c2c1</t>
        </is>
      </c>
      <c r="B702" t="inlineStr">
        <is>
          <t>ZINC000095802933</t>
        </is>
      </c>
      <c r="C702">
        <f>HYPERLINK("http://www.combi-blocks.com/cgi-bin/find.cgi?QK-7668","QK-7668")</f>
        <v/>
      </c>
      <c r="D702" t="inlineStr"/>
      <c r="E702" t="inlineStr"/>
      <c r="F702" t="inlineStr"/>
      <c r="G702">
        <f>HYPERLINK("http://astatechinc.com/CPSResult.php?CRNO=83339","83339")</f>
        <v/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CCOC(=O)c1cnc(SC)nc1Nc1ccccc1C</t>
        </is>
      </c>
      <c r="B703" t="inlineStr">
        <is>
          <t>ZINC000000214219</t>
        </is>
      </c>
      <c r="C703" t="inlineStr"/>
      <c r="D703" t="inlineStr"/>
      <c r="E703">
        <f>HYPERLINK("https://aksci.com/item_detail.php?cat=1628AA","1628AA")</f>
        <v/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CC(C)S(=O)(=O)c1ccccc1Nc1ccnc(Cl)n1</t>
        </is>
      </c>
      <c r="B704" t="inlineStr">
        <is>
          <t>ZINC000116336096</t>
        </is>
      </c>
      <c r="C704" t="inlineStr"/>
      <c r="D704" t="inlineStr"/>
      <c r="E704" t="inlineStr"/>
      <c r="F704" t="inlineStr"/>
      <c r="G704">
        <f>HYPERLINK("http://astatechinc.com/CPSResult.php?CRNO=C13104","C13104")</f>
        <v/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COC(=O)c1ccc(C)c(Nc2nccc(-c3cccnc3)n2)c1</t>
        </is>
      </c>
      <c r="B705" t="inlineStr">
        <is>
          <t>ZINC000066352022</t>
        </is>
      </c>
      <c r="C705" t="inlineStr"/>
      <c r="D705">
        <f>HYPERLINK("http://www.matrixscientific.com/147550.html","147550")</f>
        <v/>
      </c>
      <c r="E705">
        <f>HYPERLINK("https://aksci.com/item_detail.php?cat=5473AC","5473AC")</f>
        <v/>
      </c>
      <c r="F705" t="inlineStr"/>
      <c r="G705">
        <f>HYPERLINK("http://astatechinc.com/CPSResult.php?CRNO=84787","84787")</f>
        <v/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Cc1ccc(C(=O)O)cc1Nc1nccc(-c2cccnc2)n1</t>
        </is>
      </c>
      <c r="B706" t="inlineStr">
        <is>
          <t>ZINC000038781402</t>
        </is>
      </c>
      <c r="C706">
        <f>HYPERLINK("http://www.combi-blocks.com/cgi-bin/find.cgi?QB-2839","QB-2839")</f>
        <v/>
      </c>
      <c r="D706">
        <f>HYPERLINK("http://www.matrixscientific.com/144046.html","144046")</f>
        <v/>
      </c>
      <c r="E706">
        <f>HYPERLINK("https://aksci.com/item_detail.php?cat=B638","B638")</f>
        <v/>
      </c>
      <c r="F706" t="inlineStr"/>
      <c r="G706">
        <f>HYPERLINK("http://astatechinc.com/CPSResult.php?CRNO=25737","25737")</f>
        <v/>
      </c>
      <c r="H706" t="inlineStr"/>
      <c r="I706" t="inlineStr"/>
      <c r="J706">
        <f>HYPERLINK("http://www.ambeed.com/search/Search.html?keyword=A114039","A114039")</f>
        <v/>
      </c>
      <c r="K706">
        <f>HYPERLINK("http://aablocks.com/goods/Goods/detail?id=AA00H90W","AA00H90W")</f>
        <v/>
      </c>
      <c r="L706" t="inlineStr"/>
      <c r="M706" t="inlineStr"/>
      <c r="N706">
        <f>HYPERLINK("https://www.biosynth.com/en/products/life-science/other-biochemicals/products/Q-101350","Q-101350")</f>
        <v/>
      </c>
    </row>
    <row r="707">
      <c r="A707" t="inlineStr">
        <is>
          <t>CC(C)(C)OC(=O)N1CCc2[nH]nc(Nc3ccccc3)c2C1</t>
        </is>
      </c>
      <c r="B707" t="inlineStr">
        <is>
          <t>ZINC000019083237</t>
        </is>
      </c>
      <c r="C707" t="inlineStr"/>
      <c r="D707" t="inlineStr"/>
      <c r="E707" t="inlineStr"/>
      <c r="F707" t="inlineStr"/>
      <c r="G707">
        <f>HYPERLINK("http://astatechinc.com/CPSResult.php?CRNO=97904","97904")</f>
        <v/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O=C1c2ccccc2C(=O)c2sc(Nc3cccnc3)nc21</t>
        </is>
      </c>
      <c r="B708" t="inlineStr">
        <is>
          <t>ZINC000072194233</t>
        </is>
      </c>
      <c r="C708" t="inlineStr"/>
      <c r="D708">
        <f>HYPERLINK("http://www.matrixscientific.com/069300.html","069300")</f>
        <v/>
      </c>
      <c r="E708">
        <f>HYPERLINK("https://aksci.com/item_detail.php?cat=3683AD","3683AD")</f>
        <v/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>
        <f>HYPERLINK("https://www.biosynth.com/en/products/life-science/other-biochemicals/products/W-205361","W-205361")</f>
        <v/>
      </c>
    </row>
    <row r="709">
      <c r="A709" t="inlineStr">
        <is>
          <t>COc1cc2ncnc(Nc3cccc(C#N)c3)c2cc1OC</t>
        </is>
      </c>
      <c r="B709" t="inlineStr">
        <is>
          <t>ZINC000095586969</t>
        </is>
      </c>
      <c r="C709">
        <f>HYPERLINK("http://www.combi-blocks.com/cgi-bin/find.cgi?QM-5021","QM-5021")</f>
        <v/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>COc1cc2ncnc(Nc3ccc(C#N)cc3)c2cc1OC</t>
        </is>
      </c>
      <c r="B710" t="inlineStr">
        <is>
          <t>ZINC000057524317</t>
        </is>
      </c>
      <c r="C710" t="inlineStr"/>
      <c r="D710" t="inlineStr"/>
      <c r="E710">
        <f>HYPERLINK("https://aksci.com/item_detail.php?cat=HTS008956","HTS008956")</f>
        <v/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Cc1cc(Nc2ccc(C(=O)O)cc2)c2cc(C(=O)O)ccc2n1</t>
        </is>
      </c>
      <c r="B711" t="inlineStr">
        <is>
          <t>ZINC000004226497</t>
        </is>
      </c>
      <c r="C711" t="inlineStr"/>
      <c r="D711" t="inlineStr"/>
      <c r="E711" t="inlineStr"/>
      <c r="F711" t="inlineStr"/>
      <c r="G711" t="inlineStr"/>
      <c r="H711">
        <f>HYPERLINK("http://www.sigmaaldrich.com/catalog/search?term=OTV000937&amp;interface=All&amp;N=0&amp;mode=match%20partialmax&amp;lang=en&amp;region=US&amp;focus=product","OTV000937")</f>
        <v/>
      </c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Cc1nc(Nc2ccc(Oc3ccccc3)cc2)[nH]c(=O)c1C</t>
        </is>
      </c>
      <c r="B712" t="inlineStr">
        <is>
          <t>ZINC000066324454</t>
        </is>
      </c>
      <c r="C712">
        <f>HYPERLINK("http://www.combi-blocks.com/cgi-bin/find.cgi?QY-3626","QY-3626")</f>
        <v/>
      </c>
      <c r="D712">
        <f>HYPERLINK("http://www.matrixscientific.com/066123.html","066123")</f>
        <v/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Cc1ccc(-c2cc(Nc3cccc(C(=O)O)c3)ncn2)cc1</t>
        </is>
      </c>
      <c r="B713" t="inlineStr">
        <is>
          <t>ZINC000032920049</t>
        </is>
      </c>
      <c r="C713" t="inlineStr"/>
      <c r="D713">
        <f>HYPERLINK("http://www.matrixscientific.com/038538.html","038538")</f>
        <v/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c1ccc(Nc2nn(-c3ccccc3)c[n+]2-c2ccccc2)cc1</t>
        </is>
      </c>
      <c r="B714" t="inlineStr">
        <is>
          <t>ZINC000012358841</t>
        </is>
      </c>
      <c r="C714">
        <f>HYPERLINK("http://www.combi-blocks.com/cgi-bin/find.cgi?QC-5875","QC-5875")</f>
        <v/>
      </c>
      <c r="D714" t="inlineStr"/>
      <c r="E714">
        <f>HYPERLINK("https://aksci.com/item_detail.php?cat=6550AF","6550AF")</f>
        <v/>
      </c>
      <c r="F714" t="inlineStr"/>
      <c r="G714" t="inlineStr"/>
      <c r="H714">
        <f>HYPERLINK("http://www.sigmaaldrich.com/catalog/search?term=243264&amp;interface=All&amp;N=0&amp;mode=match%20partialmax&amp;lang=en&amp;region=US&amp;focus=product","243264")</f>
        <v/>
      </c>
      <c r="I714">
        <f>HYPERLINK("https://www.alfa.com/en/catalog/A17809","A17809")</f>
        <v/>
      </c>
      <c r="J714" t="inlineStr"/>
      <c r="K714" t="inlineStr"/>
      <c r="L714" t="inlineStr"/>
      <c r="M714" t="inlineStr"/>
      <c r="N714" t="inlineStr"/>
    </row>
    <row r="715">
      <c r="A715" t="inlineStr">
        <is>
          <t>CC(=O)c1cnc(Nc2nc(C)c3cc(C)cc(C)c3n2)nc1C</t>
        </is>
      </c>
      <c r="B715" t="inlineStr">
        <is>
          <t>ZINC000010157433</t>
        </is>
      </c>
      <c r="C715">
        <f>HYPERLINK("http://www.combi-blocks.com/cgi-bin/find.cgi?QZ-6528","QZ-6528")</f>
        <v/>
      </c>
      <c r="D715">
        <f>HYPERLINK("http://www.matrixscientific.com/066342.html","066342")</f>
        <v/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Cc1c(-c2csc(Nc3ccccc3)n2)sc2ncnn12</t>
        </is>
      </c>
      <c r="B716" t="inlineStr">
        <is>
          <t>ZINC000001401916</t>
        </is>
      </c>
      <c r="C716" t="inlineStr"/>
      <c r="D716">
        <f>HYPERLINK("http://www.matrixscientific.com/167013.html","167013")</f>
        <v/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CCOC(=O)c1sc(Nc2ccccc2OCC)nc1C</t>
        </is>
      </c>
      <c r="B717" t="inlineStr">
        <is>
          <t>ZINC000012394350</t>
        </is>
      </c>
      <c r="C717" t="inlineStr"/>
      <c r="D717" t="inlineStr"/>
      <c r="E717" t="inlineStr"/>
      <c r="F717">
        <f>HYPERLINK("https://www.enaminestore.com/catalog/EN300-230693","EN300-230693")</f>
        <v/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>Cc1c(Nc2ncc(O)cc2C(=O)O)cccc1C(F)(F)F</t>
        </is>
      </c>
      <c r="B718" t="inlineStr">
        <is>
          <t>ZINC000022060677</t>
        </is>
      </c>
      <c r="C718" t="inlineStr"/>
      <c r="D718" t="inlineStr"/>
      <c r="E718" t="inlineStr"/>
      <c r="F718" t="inlineStr"/>
      <c r="G718" t="inlineStr"/>
      <c r="H718">
        <f>HYPERLINK("http://www.sigmaaldrich.com/catalog/search?term=32463&amp;interface=All&amp;N=0&amp;mode=match%20partialmax&amp;lang=en&amp;region=US&amp;focus=product","32463")</f>
        <v/>
      </c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Cc1cccc(Nc2nc(C(F)(F)F)c(C(=O)O)s2)c1</t>
        </is>
      </c>
      <c r="B719" t="inlineStr">
        <is>
          <t>ZINC000004245097</t>
        </is>
      </c>
      <c r="C719" t="inlineStr"/>
      <c r="D719" t="inlineStr"/>
      <c r="E719" t="inlineStr"/>
      <c r="F719">
        <f>HYPERLINK("https://www.enaminestore.com/catalog/EN300-230415","EN300-230415")</f>
        <v/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FC(F)(F)c1cccc(Nc2ncnc(-c3cccnc3)n2)c1</t>
        </is>
      </c>
      <c r="B720" t="inlineStr">
        <is>
          <t>ZINC000096179442</t>
        </is>
      </c>
      <c r="C720" t="inlineStr"/>
      <c r="D720">
        <f>HYPERLINK("http://www.matrixscientific.com/169824.html","169824")</f>
        <v/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COc1ccccc1Nc1cc(C)nc2ccc(C(=O)O)cc12</t>
        </is>
      </c>
      <c r="B721" t="inlineStr">
        <is>
          <t>ZINC000028354011</t>
        </is>
      </c>
      <c r="C721" t="inlineStr"/>
      <c r="D721" t="inlineStr"/>
      <c r="E721" t="inlineStr"/>
      <c r="F721" t="inlineStr"/>
      <c r="G721" t="inlineStr"/>
      <c r="H721">
        <f>HYPERLINK("http://www.sigmaaldrich.com/catalog/search?term=OTV000802&amp;interface=All&amp;N=0&amp;mode=match%20partialmax&amp;lang=en&amp;region=US&amp;focus=product","OTV000802")</f>
        <v/>
      </c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COc1ccc(Nc2nc3cc(CCC(=O)O)ccc3o2)cc1</t>
        </is>
      </c>
      <c r="B722" t="inlineStr">
        <is>
          <t>ZINC000584907121</t>
        </is>
      </c>
      <c r="C722" t="inlineStr"/>
      <c r="D722" t="inlineStr"/>
      <c r="E722" t="inlineStr"/>
      <c r="F722" t="inlineStr"/>
      <c r="G722">
        <f>HYPERLINK("http://astatechinc.com/CPSResult.php?CRNO=P16764","P16764")</f>
        <v/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Fc1ccc(Nc2nc(-c3ccc4c(c3)OCO4)cs2)nc1</t>
        </is>
      </c>
      <c r="B723" t="inlineStr">
        <is>
          <t>ZINC000049006103</t>
        </is>
      </c>
      <c r="C723" t="inlineStr"/>
      <c r="D723" t="inlineStr"/>
      <c r="E723">
        <f>HYPERLINK("https://aksci.com/item_detail.php?cat=HTS017510","HTS017510")</f>
        <v/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COc1ccc(OCc2nnc(Nc3ccccc3)s2)cc1</t>
        </is>
      </c>
      <c r="B724" t="inlineStr">
        <is>
          <t>ZINC000006625001</t>
        </is>
      </c>
      <c r="C724" t="inlineStr"/>
      <c r="D724" t="inlineStr"/>
      <c r="E724" t="inlineStr"/>
      <c r="F724" t="inlineStr"/>
      <c r="G724" t="inlineStr"/>
      <c r="H724">
        <f>HYPERLINK("http://www.sigmaaldrich.com/catalog/search?term=L122521&amp;interface=All&amp;N=0&amp;mode=match%20partialmax&amp;lang=en&amp;region=US&amp;focus=product","L122521")</f>
        <v/>
      </c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Cc1nc(Nc2ccc(F)cc2)[nH]c(=O)c1Cc1ccccc1</t>
        </is>
      </c>
      <c r="B725" t="inlineStr">
        <is>
          <t>ZINC000041595799</t>
        </is>
      </c>
      <c r="C725">
        <f>HYPERLINK("http://www.combi-blocks.com/cgi-bin/find.cgi?QY-3998","QY-3998")</f>
        <v/>
      </c>
      <c r="D725">
        <f>HYPERLINK("http://www.matrixscientific.com/066126.html","066126")</f>
        <v/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>Cc1ccc(-c2ccc(Nc3cccc(C(=O)O)c3)nn2)cc1</t>
        </is>
      </c>
      <c r="B726" t="inlineStr">
        <is>
          <t>ZINC000032920048</t>
        </is>
      </c>
      <c r="C726" t="inlineStr"/>
      <c r="D726">
        <f>HYPERLINK("http://www.matrixscientific.com/038537.html","038537")</f>
        <v/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Cc1cccc(-c2ccc(Nc3cccc(C(=O)O)c3)nn2)c1</t>
        </is>
      </c>
      <c r="B727" t="inlineStr">
        <is>
          <t>ZINC000032920036</t>
        </is>
      </c>
      <c r="C727" t="inlineStr"/>
      <c r="D727">
        <f>HYPERLINK("http://www.matrixscientific.com/038531.html","038531")</f>
        <v/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Cc1cccc(Nc2cc(Cl)nc(SCC(=O)O)n2)c1C</t>
        </is>
      </c>
      <c r="B728" t="inlineStr">
        <is>
          <t>ZINC000000001963</t>
        </is>
      </c>
      <c r="C728">
        <f>HYPERLINK("http://www.combi-blocks.com/cgi-bin/find.cgi?QF-2542","QF-2542")</f>
        <v/>
      </c>
      <c r="D728">
        <f>HYPERLINK("http://www.matrixscientific.com/147791.html","147791")</f>
        <v/>
      </c>
      <c r="E728">
        <f>HYPERLINK("https://aksci.com/item_detail.php?cat=Y0478","Y0478")</f>
        <v/>
      </c>
      <c r="F728" t="inlineStr"/>
      <c r="G728">
        <f>HYPERLINK("http://astatechinc.com/CPSResult.php?CRNO=C75388","C75388")</f>
        <v/>
      </c>
      <c r="H728">
        <f>HYPERLINK("http://www.sigmaaldrich.com/catalog/search?term=C7081&amp;interface=All&amp;N=0&amp;mode=match%20partialmax&amp;lang=en&amp;region=US&amp;focus=product","C7081")</f>
        <v/>
      </c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COc1ccc2nc(C)cc(Nc3ccccc3C(=O)O)c2c1</t>
        </is>
      </c>
      <c r="B729" t="inlineStr">
        <is>
          <t>ZINC000019703277</t>
        </is>
      </c>
      <c r="C729" t="inlineStr"/>
      <c r="D729">
        <f>HYPERLINK("http://www.matrixscientific.com/011423.html","011423")</f>
        <v/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>Cc1ccc(Nc2nc(C)c(Cc3ccccc3)c(=O)[nH]2)cc1</t>
        </is>
      </c>
      <c r="B730" t="inlineStr">
        <is>
          <t>ZINC000016809585</t>
        </is>
      </c>
      <c r="C730">
        <f>HYPERLINK("http://www.combi-blocks.com/cgi-bin/find.cgi?QZ-6878","QZ-6878")</f>
        <v/>
      </c>
      <c r="D730">
        <f>HYPERLINK("http://www.matrixscientific.com/080508.html","080508")</f>
        <v/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COc1ccccc1Nc1nc2sc(C(=O)O)cc2s1</t>
        </is>
      </c>
      <c r="B731" t="inlineStr">
        <is>
          <t>ZINC000022165831</t>
        </is>
      </c>
      <c r="C731" t="inlineStr"/>
      <c r="D731" t="inlineStr"/>
      <c r="E731" t="inlineStr"/>
      <c r="F731">
        <f>HYPERLINK("https://www.enaminestore.com/catalog/EN300-39999","EN300-39999")</f>
        <v/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O=C1c2ccccc2C(=O)c2sc(Nc3ccc(F)cc3)nc21</t>
        </is>
      </c>
      <c r="B732" t="inlineStr">
        <is>
          <t>ZINC000072194231</t>
        </is>
      </c>
      <c r="C732" t="inlineStr"/>
      <c r="D732">
        <f>HYPERLINK("http://www.matrixscientific.com/069298.html","069298")</f>
        <v/>
      </c>
      <c r="E732">
        <f>HYPERLINK("https://aksci.com/item_detail.php?cat=7516AD","7516AD")</f>
        <v/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Cc1cc(Nc2nccs2)n2c(nc3ccccc32)c1C#N</t>
        </is>
      </c>
      <c r="B733" t="inlineStr">
        <is>
          <t>ZINC000000408524</t>
        </is>
      </c>
      <c r="C733" t="inlineStr"/>
      <c r="D733" t="inlineStr"/>
      <c r="E733" t="inlineStr"/>
      <c r="F733" t="inlineStr"/>
      <c r="G733" t="inlineStr"/>
      <c r="H733">
        <f>HYPERLINK("http://www.sigmaaldrich.com/catalog/search?term=R633925&amp;interface=All&amp;N=0&amp;mode=match%20partialmax&amp;lang=en&amp;region=US&amp;focus=product","R633925")</f>
        <v/>
      </c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Cc1ccc(Nc2c3ccccc3nc3c2c(C)nn3C)cc1</t>
        </is>
      </c>
      <c r="B734" t="inlineStr">
        <is>
          <t>ZINC000002529551</t>
        </is>
      </c>
      <c r="C734" t="inlineStr"/>
      <c r="D734" t="inlineStr"/>
      <c r="E734" t="inlineStr"/>
      <c r="F734" t="inlineStr"/>
      <c r="G734" t="inlineStr"/>
      <c r="H734">
        <f>HYPERLINK("http://www.sigmaaldrich.com/catalog/search?term=L263028&amp;interface=All&amp;N=0&amp;mode=match%20partialmax&amp;lang=en&amp;region=US&amp;focus=product","L263028")</f>
        <v/>
      </c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Sc1nnc(Nc2ccc(Oc3ccccc3)cc2)s1</t>
        </is>
      </c>
      <c r="B735" t="inlineStr">
        <is>
          <t>ZINC000006190330</t>
        </is>
      </c>
      <c r="C735" t="inlineStr"/>
      <c r="D735" t="inlineStr"/>
      <c r="E735" t="inlineStr"/>
      <c r="F735">
        <f>HYPERLINK("https://www.enaminestore.com/catalog/EN300-03122","EN300-03122")</f>
        <v/>
      </c>
      <c r="G735" t="inlineStr"/>
      <c r="H735" t="inlineStr"/>
      <c r="I735" t="inlineStr"/>
      <c r="J735" t="inlineStr"/>
      <c r="K735">
        <f>HYPERLINK("http://aablocks.com/goods/Goods/detail?id=AA00I7EV","AA00I7EV")</f>
        <v/>
      </c>
      <c r="L735" t="inlineStr"/>
      <c r="M735" t="inlineStr"/>
      <c r="N735" t="inlineStr"/>
    </row>
    <row r="736">
      <c r="A736" t="inlineStr">
        <is>
          <t>CCOC(=O)c1sc(Nc2ccccc2)nc1C(F)(F)F</t>
        </is>
      </c>
      <c r="B736" t="inlineStr">
        <is>
          <t>ZINC000012394362</t>
        </is>
      </c>
      <c r="C736" t="inlineStr"/>
      <c r="D736" t="inlineStr"/>
      <c r="E736" t="inlineStr"/>
      <c r="F736">
        <f>HYPERLINK("https://www.enaminestore.com/catalog/EN300-230699","EN300-230699")</f>
        <v/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Clc1nc(Nc2ccccc2)c2cnn(-c3ccccc3)c2n1</t>
        </is>
      </c>
      <c r="B737" t="inlineStr">
        <is>
          <t>ZINC000001586291</t>
        </is>
      </c>
      <c r="C737" t="inlineStr"/>
      <c r="D737">
        <f>HYPERLINK("http://www.matrixscientific.com/136634.html","136634")</f>
        <v/>
      </c>
      <c r="E737" t="inlineStr"/>
      <c r="F737">
        <f>HYPERLINK("https://www.enaminestore.com/catalog/EN300-238950","EN300-238950")</f>
        <v/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>
        <is>
          <t>COc1ccc(Nc2c3ccccc3nc3c2c(C)nn3C)cc1</t>
        </is>
      </c>
      <c r="B738" t="inlineStr">
        <is>
          <t>ZINC000000392049</t>
        </is>
      </c>
      <c r="C738" t="inlineStr"/>
      <c r="D738" t="inlineStr"/>
      <c r="E738" t="inlineStr"/>
      <c r="F738" t="inlineStr"/>
      <c r="G738" t="inlineStr"/>
      <c r="H738">
        <f>HYPERLINK("http://www.sigmaaldrich.com/catalog/search?term=L100390&amp;interface=All&amp;N=0&amp;mode=match%20partialmax&amp;lang=en&amp;region=US&amp;focus=product","L100390")</f>
        <v/>
      </c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CCOC(=O)c1csc(Nc2ccc(C(F)(F)F)cc2)n1</t>
        </is>
      </c>
      <c r="B739" t="inlineStr">
        <is>
          <t>ZINC000001395318</t>
        </is>
      </c>
      <c r="C739" t="inlineStr"/>
      <c r="D739">
        <f>HYPERLINK("http://www.matrixscientific.com/170451.html","170451")</f>
        <v/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CC(=O)c1sc(Nc2ccccc2C(F)(F)F)nc1C</t>
        </is>
      </c>
      <c r="B740" t="inlineStr">
        <is>
          <t>ZINC000003458810</t>
        </is>
      </c>
      <c r="C740" t="inlineStr"/>
      <c r="D740">
        <f>HYPERLINK("http://www.matrixscientific.com/167477.html","167477")</f>
        <v/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c1ccc2c(Nc3nnc(-c4ccncc4)s3)cccc2c1</t>
        </is>
      </c>
      <c r="B741" t="inlineStr">
        <is>
          <t>ZINC000000810628</t>
        </is>
      </c>
      <c r="C741" t="inlineStr"/>
      <c r="D741" t="inlineStr"/>
      <c r="E741">
        <f>HYPERLINK("https://aksci.com/item_detail.php?cat=SYN5317","SYN5317")</f>
        <v/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>FC(F)(F)c1ccc(Nc2ncc(-c3ccncn3)s2)cc1</t>
        </is>
      </c>
      <c r="B742" t="inlineStr">
        <is>
          <t>ZINC000043796826</t>
        </is>
      </c>
      <c r="C742" t="inlineStr"/>
      <c r="D742">
        <f>HYPERLINK("http://www.matrixscientific.com/166313.html","166313")</f>
        <v/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FC(F)(F)c1cccc(Nc2ncc(Br)cn2)c1</t>
        </is>
      </c>
      <c r="B743" t="inlineStr">
        <is>
          <t>ZINC000111751603</t>
        </is>
      </c>
      <c r="C743" t="inlineStr"/>
      <c r="D743" t="inlineStr"/>
      <c r="E743" t="inlineStr"/>
      <c r="F743">
        <f>HYPERLINK("https://www.enaminestore.com/catalog/EN300-270028","EN300-270028")</f>
        <v/>
      </c>
      <c r="G743" t="inlineStr"/>
      <c r="H743" t="inlineStr"/>
      <c r="I743" t="inlineStr"/>
      <c r="J743" t="inlineStr"/>
      <c r="K743">
        <f>HYPERLINK("http://aablocks.com/goods/Goods/detail?id=AA01B2L7","AA01B2L7")</f>
        <v/>
      </c>
      <c r="L743" t="inlineStr"/>
      <c r="M743" t="inlineStr"/>
      <c r="N743" t="inlineStr"/>
    </row>
    <row r="744">
      <c r="A744" t="inlineStr">
        <is>
          <t>CCOC(=O)c1sc(Nc2ccccc2)c(C(C)=O)c1C</t>
        </is>
      </c>
      <c r="B744" t="inlineStr">
        <is>
          <t>ZINC000000168140</t>
        </is>
      </c>
      <c r="C744" t="inlineStr"/>
      <c r="D744">
        <f>HYPERLINK("http://www.matrixscientific.com/043619.html","043619")</f>
        <v/>
      </c>
      <c r="E744">
        <f>HYPERLINK("https://aksci.com/item_detail.php?cat=2405AE","2405AE")</f>
        <v/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CC(=O)c1sc(Nc2ccc(C(F)(F)F)cc2)nc1C</t>
        </is>
      </c>
      <c r="B745" t="inlineStr">
        <is>
          <t>ZINC000004053771</t>
        </is>
      </c>
      <c r="C745" t="inlineStr"/>
      <c r="D745">
        <f>HYPERLINK("http://www.matrixscientific.com/167134.html","167134")</f>
        <v/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>CCOC(=O)c1cnc2ccc(OC)cc2c1Nc1ccccc1</t>
        </is>
      </c>
      <c r="B746" t="inlineStr">
        <is>
          <t>ZINC000000071578</t>
        </is>
      </c>
      <c r="C746" t="inlineStr"/>
      <c r="D746" t="inlineStr"/>
      <c r="E746" t="inlineStr"/>
      <c r="F746" t="inlineStr"/>
      <c r="G746" t="inlineStr"/>
      <c r="H746">
        <f>HYPERLINK("http://www.sigmaaldrich.com/catalog/search?term=PH005138&amp;interface=All&amp;N=0&amp;mode=match%20partialmax&amp;lang=en&amp;region=US&amp;focus=product","PH005138")</f>
        <v/>
      </c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c1ccc(Nc2nc(-c3ccc4c(c3)OCCO4)cs2)cc1</t>
        </is>
      </c>
      <c r="B747" t="inlineStr">
        <is>
          <t>ZINC000017729198</t>
        </is>
      </c>
      <c r="C747" t="inlineStr"/>
      <c r="D747" t="inlineStr"/>
      <c r="E747" t="inlineStr"/>
      <c r="F747" t="inlineStr"/>
      <c r="G747" t="inlineStr"/>
      <c r="H747">
        <f>HYPERLINK("http://www.sigmaaldrich.com/catalog/search?term=R970603&amp;interface=All&amp;N=0&amp;mode=match%20partialmax&amp;lang=en&amp;region=US&amp;focus=product","R970603")</f>
        <v/>
      </c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CC(=O)c1sc(Nc2cccc(C(F)(F)F)c2)nc1C</t>
        </is>
      </c>
      <c r="B748" t="inlineStr">
        <is>
          <t>ZINC000000759286</t>
        </is>
      </c>
      <c r="C748" t="inlineStr"/>
      <c r="D748">
        <f>HYPERLINK("http://www.matrixscientific.com/167475.html","167475")</f>
        <v/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CCOc1ccc(-c2csc(Nc3ccc(F)cn3)n2)cc1</t>
        </is>
      </c>
      <c r="B749" t="inlineStr">
        <is>
          <t>ZINC000033297005</t>
        </is>
      </c>
      <c r="C749" t="inlineStr"/>
      <c r="D749" t="inlineStr"/>
      <c r="E749">
        <f>HYPERLINK("https://aksci.com/item_detail.php?cat=HTS017511","HTS017511")</f>
        <v/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CCOC(=O)c1ccc(Nc2cc(C)c3ccccc3n2)cc1</t>
        </is>
      </c>
      <c r="B750" t="inlineStr">
        <is>
          <t>ZINC000004049850</t>
        </is>
      </c>
      <c r="C750" t="inlineStr"/>
      <c r="D750">
        <f>HYPERLINK("http://www.matrixscientific.com/170393.html","170393")</f>
        <v/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N#Cc1ccc(CSc2nnc(Nc3ccccc3)s2)cc1</t>
        </is>
      </c>
      <c r="B751" t="inlineStr">
        <is>
          <t>ZINC000002626684</t>
        </is>
      </c>
      <c r="C751" t="inlineStr"/>
      <c r="D751">
        <f>HYPERLINK("http://www.matrixscientific.com/168580.html","168580")</f>
        <v/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N#CCCn1nc(Nc2ccccc2)n(-c2ccccc2)c1=S</t>
        </is>
      </c>
      <c r="B752" t="inlineStr">
        <is>
          <t>ZINC000003121868</t>
        </is>
      </c>
      <c r="C752" t="inlineStr"/>
      <c r="D752" t="inlineStr"/>
      <c r="E752" t="inlineStr"/>
      <c r="F752" t="inlineStr"/>
      <c r="G752" t="inlineStr"/>
      <c r="H752">
        <f>HYPERLINK("http://www.sigmaaldrich.com/catalog/search?term=S40097&amp;interface=All&amp;N=0&amp;mode=match%20partialmax&amp;lang=en&amp;region=US&amp;focus=product","S40097")</f>
        <v/>
      </c>
      <c r="I752" t="inlineStr"/>
      <c r="J752" t="inlineStr"/>
      <c r="K752" t="inlineStr"/>
      <c r="L752" t="inlineStr"/>
      <c r="M752" t="inlineStr"/>
      <c r="N752" t="inlineStr"/>
    </row>
    <row r="753">
      <c r="A753" t="inlineStr">
        <is>
          <t>CCOC(=O)c1cnc2c(C)cccc2c1Nc1ccc(F)cc1</t>
        </is>
      </c>
      <c r="B753" t="inlineStr">
        <is>
          <t>ZINC000000095879</t>
        </is>
      </c>
      <c r="C753" t="inlineStr"/>
      <c r="D753">
        <f>HYPERLINK("http://www.matrixscientific.com/167457.html","167457")</f>
        <v/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>
        <is>
          <t>COc1ccc(C)cc1Nc1cc(-c2ccccc2)nc(C)n1</t>
        </is>
      </c>
      <c r="B754" t="inlineStr">
        <is>
          <t>ZINC000011907774</t>
        </is>
      </c>
      <c r="C754" t="inlineStr"/>
      <c r="D754" t="inlineStr"/>
      <c r="E754" t="inlineStr"/>
      <c r="F754">
        <f>HYPERLINK("https://www.enaminestore.com/catalog/EN300-199710","EN300-199710")</f>
        <v/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COc1ccc(C)cc1Nc1cc(-c2cccc(C)c2)nc(C)n1</t>
        </is>
      </c>
      <c r="B755" t="inlineStr">
        <is>
          <t>ZINC000015859100</t>
        </is>
      </c>
      <c r="C755" t="inlineStr"/>
      <c r="D755" t="inlineStr"/>
      <c r="E755" t="inlineStr"/>
      <c r="F755">
        <f>HYPERLINK("https://www.enaminestore.com/catalog/EN300-226820","EN300-226820")</f>
        <v/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COc1ccc(Nc2ncc(C(F)(F)F)cc2Cl)cc1</t>
        </is>
      </c>
      <c r="B756" t="inlineStr">
        <is>
          <t>ZINC000042784052</t>
        </is>
      </c>
      <c r="C756" t="inlineStr"/>
      <c r="D756">
        <f>HYPERLINK("http://www.matrixscientific.com/053513.html","053513")</f>
        <v/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CC(=O)c1ccc(Nc2c3ccccc3nc3occc23)cc1</t>
        </is>
      </c>
      <c r="B757" t="inlineStr">
        <is>
          <t>ZINC000012948054</t>
        </is>
      </c>
      <c r="C757" t="inlineStr"/>
      <c r="D757" t="inlineStr"/>
      <c r="E757" t="inlineStr"/>
      <c r="F757" t="inlineStr"/>
      <c r="G757" t="inlineStr"/>
      <c r="H757">
        <f>HYPERLINK("http://www.sigmaaldrich.com/catalog/search?term=C5492&amp;interface=All&amp;N=0&amp;mode=match%20partialmax&amp;lang=en&amp;region=US&amp;focus=product","C5492")</f>
        <v/>
      </c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Cc1cc(Nc2nc3ccccc3s2)n(-c2ccccc2)n1</t>
        </is>
      </c>
      <c r="B758" t="inlineStr">
        <is>
          <t>ZINC000009111432</t>
        </is>
      </c>
      <c r="C758" t="inlineStr"/>
      <c r="D758" t="inlineStr"/>
      <c r="E758" t="inlineStr"/>
      <c r="F758">
        <f>HYPERLINK("https://www.enaminestore.com/catalog/EN300-11916","EN300-11916")</f>
        <v/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FC(F)(F)c1ccc(Nc2ccnc(C(F)(F)F)c2)cc1</t>
        </is>
      </c>
      <c r="B759" t="inlineStr">
        <is>
          <t>ZINC000004051439</t>
        </is>
      </c>
      <c r="C759" t="inlineStr"/>
      <c r="D759">
        <f>HYPERLINK("http://www.matrixscientific.com/164455.html","164455")</f>
        <v/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COc1ccc(-c2csc(Nc3ccccc3)n2)cc1OC</t>
        </is>
      </c>
      <c r="B760" t="inlineStr">
        <is>
          <t>ZINC000004746232</t>
        </is>
      </c>
      <c r="C760" t="inlineStr"/>
      <c r="D760" t="inlineStr"/>
      <c r="E760" t="inlineStr"/>
      <c r="F760" t="inlineStr"/>
      <c r="G760" t="inlineStr"/>
      <c r="H760">
        <f>HYPERLINK("http://www.sigmaaldrich.com/catalog/search?term=R915769&amp;interface=All&amp;N=0&amp;mode=match%20partialmax&amp;lang=en&amp;region=US&amp;focus=product","R915769")</f>
        <v/>
      </c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c1ccc2c(Nc3ccc4c(c3)OCO4)c3ccccc3nc2c1</t>
        </is>
      </c>
      <c r="B761" t="inlineStr">
        <is>
          <t>ZINC000003953484</t>
        </is>
      </c>
      <c r="C761" t="inlineStr"/>
      <c r="D761" t="inlineStr"/>
      <c r="E761" t="inlineStr"/>
      <c r="F761" t="inlineStr"/>
      <c r="G761" t="inlineStr"/>
      <c r="H761">
        <f>HYPERLINK("http://www.sigmaaldrich.com/catalog/search?term=L139785&amp;interface=All&amp;N=0&amp;mode=match%20partialmax&amp;lang=en&amp;region=US&amp;focus=product","L139785")</f>
        <v/>
      </c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N#Cc1c2c(c(Nc3ccccc3)n3c1nc1ccccc13)CCC2</t>
        </is>
      </c>
      <c r="B762" t="inlineStr">
        <is>
          <t>ZINC000000183176</t>
        </is>
      </c>
      <c r="C762" t="inlineStr"/>
      <c r="D762" t="inlineStr"/>
      <c r="E762" t="inlineStr"/>
      <c r="F762" t="inlineStr"/>
      <c r="G762" t="inlineStr"/>
      <c r="H762">
        <f>HYPERLINK("http://www.sigmaaldrich.com/catalog/search?term=R146528&amp;interface=All&amp;N=0&amp;mode=match%20partialmax&amp;lang=en&amp;region=US&amp;focus=product","R146528")</f>
        <v/>
      </c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N#Cc1c(Nc2ccccc2)ccnc1SCc1ccccc1</t>
        </is>
      </c>
      <c r="B763" t="inlineStr">
        <is>
          <t>ZINC000000287099</t>
        </is>
      </c>
      <c r="C763" t="inlineStr"/>
      <c r="D763" t="inlineStr"/>
      <c r="E763" t="inlineStr"/>
      <c r="F763" t="inlineStr"/>
      <c r="G763" t="inlineStr"/>
      <c r="H763">
        <f>HYPERLINK("http://www.sigmaaldrich.com/catalog/search?term=R101397&amp;interface=All&amp;N=0&amp;mode=match%20partialmax&amp;lang=en&amp;region=US&amp;focus=product","R101397")</f>
        <v/>
      </c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C(=N/c1ccc(Nc2ccccc2)cc1)\c1ccc2c(c1)OCO2</t>
        </is>
      </c>
      <c r="B764" t="inlineStr">
        <is>
          <t>ZINC000100384213</t>
        </is>
      </c>
      <c r="C764" t="inlineStr"/>
      <c r="D764" t="inlineStr"/>
      <c r="E764" t="inlineStr"/>
      <c r="F764" t="inlineStr"/>
      <c r="G764" t="inlineStr"/>
      <c r="H764">
        <f>HYPERLINK("http://www.sigmaaldrich.com/catalog/search?term=S689041&amp;interface=All&amp;N=0&amp;mode=match%20partialmax&amp;lang=en&amp;region=US&amp;focus=product","S689041")</f>
        <v/>
      </c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c1ccc(-c2ccc(Nc3ccccc3-c3ccccc3)cc2)cc1</t>
        </is>
      </c>
      <c r="B765" t="inlineStr">
        <is>
          <t>ZINC000220820656</t>
        </is>
      </c>
      <c r="C765">
        <f>HYPERLINK("http://www.combi-blocks.com/cgi-bin/find.cgi?QN-0957","QN-0957")</f>
        <v/>
      </c>
      <c r="D765" t="inlineStr"/>
      <c r="E765">
        <f>HYPERLINK("https://aksci.com/item_detail.php?cat=8337AL","8337AL")</f>
        <v/>
      </c>
      <c r="F765" t="inlineStr"/>
      <c r="G765">
        <f>HYPERLINK("http://astatechinc.com/CPSResult.php?CRNO=F15507","F15507")</f>
        <v/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>
        <is>
          <t>c1ccc(-c2ccc(Nc3ccc(-c4ccccc4)cc3)cc2)cc1</t>
        </is>
      </c>
      <c r="B766" t="inlineStr">
        <is>
          <t>ZINC000016697035</t>
        </is>
      </c>
      <c r="C766">
        <f>HYPERLINK("http://www.combi-blocks.com/cgi-bin/find.cgi?ST-7264","ST-7264")</f>
        <v/>
      </c>
      <c r="D766">
        <f>HYPERLINK("http://www.matrixscientific.com/090345.html","090345")</f>
        <v/>
      </c>
      <c r="E766">
        <f>HYPERLINK("https://aksci.com/item_detail.php?cat=X4101","X4101")</f>
        <v/>
      </c>
      <c r="F766" t="inlineStr"/>
      <c r="G766">
        <f>HYPERLINK("http://astatechinc.com/CPSResult.php?CRNO=54388","54388")</f>
        <v/>
      </c>
      <c r="H766" t="inlineStr"/>
      <c r="I766" t="inlineStr"/>
      <c r="J766">
        <f>HYPERLINK("http://www.ambeed.com/search/Search.html?keyword=A115904","A115904")</f>
        <v/>
      </c>
      <c r="K766">
        <f>HYPERLINK("http://aablocks.com/goods/Goods/detail?id=AA0006L9","AA0006L9")</f>
        <v/>
      </c>
      <c r="L766" t="inlineStr"/>
      <c r="M766" t="inlineStr"/>
      <c r="N766">
        <f>HYPERLINK("https://www.biosynth.com/en/products/life-science/other-biochemicals/products/Q-102385","Q-102385")</f>
        <v/>
      </c>
    </row>
    <row r="767">
      <c r="A767" t="inlineStr">
        <is>
          <t>FC(F)(F)c1cc(Nc2ccccc2)cc(C(F)(F)F)c1</t>
        </is>
      </c>
      <c r="B767" t="inlineStr">
        <is>
          <t>ZINC000002171950</t>
        </is>
      </c>
      <c r="C767" t="inlineStr"/>
      <c r="D767" t="inlineStr"/>
      <c r="E767" t="inlineStr"/>
      <c r="F767" t="inlineStr"/>
      <c r="G767" t="inlineStr"/>
      <c r="H767">
        <f>HYPERLINK("http://www.sigmaaldrich.com/catalog/search?term=S657417&amp;interface=All&amp;N=0&amp;mode=match%20partialmax&amp;lang=en&amp;region=US&amp;focus=product","S657417")</f>
        <v/>
      </c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Fc1ccc(Nc2ncnc3scc(-c4ccccc4)c23)cc1</t>
        </is>
      </c>
      <c r="B768" t="inlineStr">
        <is>
          <t>ZINC000000087104</t>
        </is>
      </c>
      <c r="C768" t="inlineStr"/>
      <c r="D768" t="inlineStr"/>
      <c r="E768" t="inlineStr"/>
      <c r="F768" t="inlineStr"/>
      <c r="G768" t="inlineStr"/>
      <c r="H768">
        <f>HYPERLINK("http://www.sigmaaldrich.com/catalog/search?term=R875406&amp;interface=All&amp;N=0&amp;mode=match%20partialmax&amp;lang=en&amp;region=US&amp;focus=product","R875406")</f>
        <v/>
      </c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c1ccc(Nc2ccc(-c3ccc(-c4ccccc4)cc3)cc2)cc1</t>
        </is>
      </c>
      <c r="B769" t="inlineStr">
        <is>
          <t>ZINC000143140522</t>
        </is>
      </c>
      <c r="C769">
        <f>HYPERLINK("http://www.combi-blocks.com/cgi-bin/find.cgi?QV-1514","QV-1514")</f>
        <v/>
      </c>
      <c r="D769" t="inlineStr"/>
      <c r="E769" t="inlineStr"/>
      <c r="F769" t="inlineStr"/>
      <c r="G769">
        <f>HYPERLINK("http://astatechinc.com/CPSResult.php?CRNO=F15595","F15595")</f>
        <v/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inlineStr">
        <is>
          <t>FC(F)(F)c1cc(Nc2ccccc2-c2ccccc2)ccn1</t>
        </is>
      </c>
      <c r="B770" t="inlineStr">
        <is>
          <t>ZINC000001398714</t>
        </is>
      </c>
      <c r="C770" t="inlineStr"/>
      <c r="D770">
        <f>HYPERLINK("http://www.matrixscientific.com/166634.html","166634")</f>
        <v/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Fc1ccc(Nc2ncnc3sc(-c4ccccc4)cc23)cc1</t>
        </is>
      </c>
      <c r="B771" t="inlineStr">
        <is>
          <t>ZINC000000090091</t>
        </is>
      </c>
      <c r="C771" t="inlineStr"/>
      <c r="D771" t="inlineStr"/>
      <c r="E771" t="inlineStr"/>
      <c r="F771" t="inlineStr"/>
      <c r="G771" t="inlineStr"/>
      <c r="H771">
        <f>HYPERLINK("http://www.sigmaaldrich.com/catalog/search?term=R852066&amp;interface=All&amp;N=0&amp;mode=match%20partialmax&amp;lang=en&amp;region=US&amp;focus=product","R852066")</f>
        <v/>
      </c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Cc1ccccc1Nc1nc(-c2ccccc2)c(Cl)s1</t>
        </is>
      </c>
      <c r="B772" t="inlineStr">
        <is>
          <t>ZINC000006268473</t>
        </is>
      </c>
      <c r="C772" t="inlineStr"/>
      <c r="D772" t="inlineStr"/>
      <c r="E772" t="inlineStr"/>
      <c r="F772" t="inlineStr"/>
      <c r="G772" t="inlineStr"/>
      <c r="H772">
        <f>HYPERLINK("http://www.sigmaaldrich.com/catalog/search?term=R772968&amp;interface=All&amp;N=0&amp;mode=match%20partialmax&amp;lang=en&amp;region=US&amp;focus=product","R772968")</f>
        <v/>
      </c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Cc1ccc(/N=c2\cccccc2Nc2ccc(C)cc2)cc1</t>
        </is>
      </c>
      <c r="B773" t="inlineStr">
        <is>
          <t>ZINC000013756734</t>
        </is>
      </c>
      <c r="C773" t="inlineStr"/>
      <c r="D773" t="inlineStr"/>
      <c r="E773" t="inlineStr"/>
      <c r="F773" t="inlineStr"/>
      <c r="G773" t="inlineStr"/>
      <c r="H773">
        <f>HYPERLINK("http://www.sigmaaldrich.com/catalog/search?term=PH006305&amp;interface=All&amp;N=0&amp;mode=match%20partialmax&amp;lang=en&amp;region=US&amp;focus=product","PH006305")</f>
        <v/>
      </c>
      <c r="I773" t="inlineStr"/>
      <c r="J773" t="inlineStr"/>
      <c r="K773" t="inlineStr"/>
      <c r="L773" t="inlineStr"/>
      <c r="M773" t="inlineStr"/>
      <c r="N773" t="inlineStr"/>
    </row>
    <row r="774">
      <c r="A774" t="inlineStr">
        <is>
          <t>c1ccc(-c2cccc(Nc3cccc(-c4ccccc4)c3)c2)cc1</t>
        </is>
      </c>
      <c r="B774" t="inlineStr">
        <is>
          <t>ZINC000090751510</t>
        </is>
      </c>
      <c r="C774">
        <f>HYPERLINK("http://www.combi-blocks.com/cgi-bin/find.cgi?QV-1830","QV-1830")</f>
        <v/>
      </c>
      <c r="D774" t="inlineStr"/>
      <c r="E774" t="inlineStr"/>
      <c r="F774" t="inlineStr"/>
      <c r="G774">
        <f>HYPERLINK("http://astatechinc.com/CPSResult.php?CRNO=T70405","T70405")</f>
        <v/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CCOc1ccc(Nc2nc(-c3ccsc3)cs2)cc1</t>
        </is>
      </c>
      <c r="B775" t="inlineStr">
        <is>
          <t>ZINC000095921799</t>
        </is>
      </c>
      <c r="C775" t="inlineStr"/>
      <c r="D775">
        <f>HYPERLINK("http://www.matrixscientific.com/164879.html","164879")</f>
        <v/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CC(C)Sc1ccccc1Nc1nc(Cl)ncc1Cl</t>
        </is>
      </c>
      <c r="B776" t="inlineStr">
        <is>
          <t>ZINC000299754586</t>
        </is>
      </c>
      <c r="C776" t="inlineStr"/>
      <c r="D776" t="inlineStr"/>
      <c r="E776" t="inlineStr"/>
      <c r="F776" t="inlineStr"/>
      <c r="G776">
        <f>HYPERLINK("http://astatechinc.com/CPSResult.php?CRNO=C10476","C10476")</f>
        <v/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FC(F)(F)c1cccc(Nc2nc(-c3ccccc3)cs2)c1</t>
        </is>
      </c>
      <c r="B777" t="inlineStr">
        <is>
          <t>ZINC000002898691</t>
        </is>
      </c>
      <c r="C777" t="inlineStr"/>
      <c r="D777" t="inlineStr"/>
      <c r="E777" t="inlineStr"/>
      <c r="F777" t="inlineStr"/>
      <c r="G777" t="inlineStr"/>
      <c r="H777">
        <f>HYPERLINK("http://www.sigmaaldrich.com/catalog/search?term=L141828&amp;interface=All&amp;N=0&amp;mode=match%20partialmax&amp;lang=en&amp;region=US&amp;focus=product","L141828")</f>
        <v/>
      </c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Cc1ccnc(Nc2nc(-c3cc(C)c(C)cc3C)cs2)c1</t>
        </is>
      </c>
      <c r="B778" t="inlineStr">
        <is>
          <t>ZINC000033170801</t>
        </is>
      </c>
      <c r="C778" t="inlineStr"/>
      <c r="D778" t="inlineStr"/>
      <c r="E778">
        <f>HYPERLINK("https://aksci.com/item_detail.php?cat=HTS017503","HTS017503")</f>
        <v/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c1ccc(Oc2ccc(Nc3nc4ccccc4s3)cc2)cc1</t>
        </is>
      </c>
      <c r="B779" t="inlineStr">
        <is>
          <t>ZINC000003268210</t>
        </is>
      </c>
      <c r="C779" t="inlineStr"/>
      <c r="D779" t="inlineStr"/>
      <c r="E779" t="inlineStr"/>
      <c r="F779">
        <f>HYPERLINK("https://www.enaminestore.com/catalog/EN300-02338","EN300-02338")</f>
        <v/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FC(F)Sc1ccc(Nc2nc3ccccc3s2)cc1</t>
        </is>
      </c>
      <c r="B780" t="inlineStr">
        <is>
          <t>ZINC000003268504</t>
        </is>
      </c>
      <c r="C780" t="inlineStr"/>
      <c r="D780" t="inlineStr"/>
      <c r="E780" t="inlineStr"/>
      <c r="F780">
        <f>HYPERLINK("https://www.enaminestore.com/catalog/EN300-02483","EN300-02483")</f>
        <v/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Cc1cc(C)c(-c2csc(Nc3ccc(F)cn3)n2)cc1C</t>
        </is>
      </c>
      <c r="B781" t="inlineStr">
        <is>
          <t>ZINC000035527905</t>
        </is>
      </c>
      <c r="C781" t="inlineStr"/>
      <c r="D781" t="inlineStr"/>
      <c r="E781">
        <f>HYPERLINK("https://aksci.com/item_detail.php?cat=HTS017516","HTS017516")</f>
        <v/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Cc1cccc(NC(=O)Nc2ccc(Nc3ccccc3)cc2)c1</t>
        </is>
      </c>
      <c r="B782" t="inlineStr">
        <is>
          <t>ZINC000000398473</t>
        </is>
      </c>
      <c r="C782" t="inlineStr"/>
      <c r="D782" t="inlineStr"/>
      <c r="E782" t="inlineStr"/>
      <c r="F782" t="inlineStr"/>
      <c r="G782" t="inlineStr"/>
      <c r="H782">
        <f>HYPERLINK("http://www.sigmaaldrich.com/catalog/search?term=S731897&amp;interface=All&amp;N=0&amp;mode=match%20partialmax&amp;lang=en&amp;region=US&amp;focus=product","S731897")</f>
        <v/>
      </c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Cc1ccc(NC(=O)Nc2ccc(Nc3ccccc3)cc2)cc1</t>
        </is>
      </c>
      <c r="B783" t="inlineStr">
        <is>
          <t>ZINC000000397761</t>
        </is>
      </c>
      <c r="C783" t="inlineStr"/>
      <c r="D783" t="inlineStr"/>
      <c r="E783" t="inlineStr"/>
      <c r="F783" t="inlineStr"/>
      <c r="G783" t="inlineStr"/>
      <c r="H783">
        <f>HYPERLINK("http://www.sigmaaldrich.com/catalog/search?term=S694894&amp;interface=All&amp;N=0&amp;mode=match%20partialmax&amp;lang=en&amp;region=US&amp;focus=product","S694894")</f>
        <v/>
      </c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c1ccc(-c2csc(Nc3nc4ccccc4s3)n2)cc1</t>
        </is>
      </c>
      <c r="B784" t="inlineStr">
        <is>
          <t>ZINC000000574044</t>
        </is>
      </c>
      <c r="C784" t="inlineStr"/>
      <c r="D784" t="inlineStr"/>
      <c r="E784" t="inlineStr"/>
      <c r="F784" t="inlineStr"/>
      <c r="G784" t="inlineStr"/>
      <c r="H784">
        <f>HYPERLINK("http://www.sigmaaldrich.com/catalog/search?term=T333468&amp;interface=All&amp;N=0&amp;mode=match%20partialmax&amp;lang=en&amp;region=US&amp;focus=product","T333468")</f>
        <v/>
      </c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FC(F)(F)c1ccc(Nc2ccc(C(F)(F)F)cc2)cc1</t>
        </is>
      </c>
      <c r="B785" t="inlineStr">
        <is>
          <t>ZINC000001595379</t>
        </is>
      </c>
      <c r="C785" t="inlineStr"/>
      <c r="D785" t="inlineStr"/>
      <c r="E785" t="inlineStr"/>
      <c r="F785" t="inlineStr"/>
      <c r="G785">
        <f>HYPERLINK("http://astatechinc.com/CPSResult.php?CRNO=12209","12209")</f>
        <v/>
      </c>
      <c r="H785">
        <f>HYPERLINK("http://www.sigmaaldrich.com/catalog/search?term=PH001686&amp;interface=All&amp;N=0&amp;mode=match%20partialmax&amp;lang=en&amp;region=US&amp;focus=product","PH001686")</f>
        <v/>
      </c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O=C(Nc1ccc(Nc2ccccc2)cc1)Nc1ccccc1F</t>
        </is>
      </c>
      <c r="B786" t="inlineStr">
        <is>
          <t>ZINC000000398546</t>
        </is>
      </c>
      <c r="C786" t="inlineStr"/>
      <c r="D786" t="inlineStr"/>
      <c r="E786" t="inlineStr"/>
      <c r="F786" t="inlineStr"/>
      <c r="G786" t="inlineStr"/>
      <c r="H786">
        <f>HYPERLINK("http://www.sigmaaldrich.com/catalog/search?term=S736007&amp;interface=All&amp;N=0&amp;mode=match%20partialmax&amp;lang=en&amp;region=US&amp;focus=product","S736007")</f>
        <v/>
      </c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O=C(Nc1ccc(Nc2ccccc2)cc1)Nc1cccc(F)c1</t>
        </is>
      </c>
      <c r="B787" t="inlineStr">
        <is>
          <t>ZINC000000399441</t>
        </is>
      </c>
      <c r="C787" t="inlineStr"/>
      <c r="D787" t="inlineStr"/>
      <c r="E787" t="inlineStr"/>
      <c r="F787" t="inlineStr"/>
      <c r="G787" t="inlineStr"/>
      <c r="H787">
        <f>HYPERLINK("http://www.sigmaaldrich.com/catalog/search?term=S781010&amp;interface=All&amp;N=0&amp;mode=match%20partialmax&amp;lang=en&amp;region=US&amp;focus=product","S781010")</f>
        <v/>
      </c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Cc1ccc(NC(=O)Oc2ccc(Nc3ccccc3)cc2)cc1</t>
        </is>
      </c>
      <c r="B788" t="inlineStr">
        <is>
          <t>ZINC000000398603</t>
        </is>
      </c>
      <c r="C788" t="inlineStr"/>
      <c r="D788" t="inlineStr"/>
      <c r="E788" t="inlineStr"/>
      <c r="F788" t="inlineStr"/>
      <c r="G788" t="inlineStr"/>
      <c r="H788">
        <f>HYPERLINK("http://www.sigmaaldrich.com/catalog/search?term=S738921&amp;interface=All&amp;N=0&amp;mode=match%20partialmax&amp;lang=en&amp;region=US&amp;focus=product","S738921")</f>
        <v/>
      </c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COc1cccc(Nc2c3ccccc3nc3ccccc23)c1</t>
        </is>
      </c>
      <c r="B789" t="inlineStr">
        <is>
          <t>ZINC000003953779</t>
        </is>
      </c>
      <c r="C789" t="inlineStr"/>
      <c r="D789" t="inlineStr"/>
      <c r="E789" t="inlineStr"/>
      <c r="F789" t="inlineStr"/>
      <c r="G789" t="inlineStr"/>
      <c r="H789">
        <f>HYPERLINK("http://www.sigmaaldrich.com/catalog/search?term=S135798&amp;interface=All&amp;N=0&amp;mode=match%20partialmax&amp;lang=en&amp;region=US&amp;focus=product","S135798")</f>
        <v/>
      </c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c1ccc2cc(Nc3c4ccccc4nc4ccccc34)ccc2c1</t>
        </is>
      </c>
      <c r="B790" t="inlineStr">
        <is>
          <t>ZINC000003953483</t>
        </is>
      </c>
      <c r="C790" t="inlineStr"/>
      <c r="D790" t="inlineStr"/>
      <c r="E790" t="inlineStr"/>
      <c r="F790" t="inlineStr"/>
      <c r="G790" t="inlineStr"/>
      <c r="H790">
        <f>HYPERLINK("http://www.sigmaaldrich.com/catalog/search?term=L139769&amp;interface=All&amp;N=0&amp;mode=match%20partialmax&amp;lang=en&amp;region=US&amp;focus=product","L139769")</f>
        <v/>
      </c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COc1ccc(/C=N/c2ccc(Nc3ccccc3)cc2)cc1</t>
        </is>
      </c>
      <c r="B791" t="inlineStr">
        <is>
          <t>ZINC000000286732</t>
        </is>
      </c>
      <c r="C791" t="inlineStr"/>
      <c r="D791" t="inlineStr"/>
      <c r="E791" t="inlineStr"/>
      <c r="F791" t="inlineStr"/>
      <c r="G791" t="inlineStr"/>
      <c r="H791">
        <f>HYPERLINK("http://www.sigmaaldrich.com/catalog/search?term=S689068&amp;interface=All&amp;N=0&amp;mode=match%20partialmax&amp;lang=en&amp;region=US&amp;focus=product","S689068")</f>
        <v/>
      </c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CC(C)c1ccc(/C=N/c2ccc(Nc3ccccc3)cc2)cc1</t>
        </is>
      </c>
      <c r="B792" t="inlineStr">
        <is>
          <t>ZINC000002167557</t>
        </is>
      </c>
      <c r="C792" t="inlineStr"/>
      <c r="D792" t="inlineStr"/>
      <c r="E792" t="inlineStr"/>
      <c r="F792" t="inlineStr"/>
      <c r="G792" t="inlineStr"/>
      <c r="H792">
        <f>HYPERLINK("http://www.sigmaaldrich.com/catalog/search?term=S692727&amp;interface=All&amp;N=0&amp;mode=match%20partialmax&amp;lang=en&amp;region=US&amp;focus=product","S692727")</f>
        <v/>
      </c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CCCn1c(Nc2cccc(C)c2)nc2c1c(=O)n(C)c(=O)n2C</t>
        </is>
      </c>
      <c r="B793" t="inlineStr">
        <is>
          <t>ZINC000000300733</t>
        </is>
      </c>
      <c r="C793" t="inlineStr"/>
      <c r="D793" t="inlineStr"/>
      <c r="E793" t="inlineStr"/>
      <c r="F793" t="inlineStr"/>
      <c r="G793" t="inlineStr"/>
      <c r="H793">
        <f>HYPERLINK("http://www.sigmaaldrich.com/catalog/search?term=R841412&amp;interface=All&amp;N=0&amp;mode=match%20partialmax&amp;lang=en&amp;region=US&amp;focus=product","R841412")</f>
        <v/>
      </c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CCOC(=O)c1csc(Nc2nc(O)cc(C(F)(F)F)n2)n1</t>
        </is>
      </c>
      <c r="B794" t="inlineStr">
        <is>
          <t>ZINC000001384556</t>
        </is>
      </c>
      <c r="C794" t="inlineStr"/>
      <c r="D794">
        <f>HYPERLINK("http://www.matrixscientific.com/164641.html","164641")</f>
        <v/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COc1c(Nc2cc(C(F)(F)F)cc(C(F)(F)F)c2)c(=O)c1=O</t>
        </is>
      </c>
      <c r="B795" t="inlineStr">
        <is>
          <t>ZINC000100543161</t>
        </is>
      </c>
      <c r="C795" t="inlineStr"/>
      <c r="D795">
        <f>HYPERLINK("http://www.matrixscientific.com/112021.html","112021")</f>
        <v/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COc1ccc(Nc2ncnc3cc(OC)c(OC)cc23)cc1OC</t>
        </is>
      </c>
      <c r="B796" t="inlineStr">
        <is>
          <t>ZINC000003815333</t>
        </is>
      </c>
      <c r="C796">
        <f>HYPERLINK("http://www.combi-blocks.com/cgi-bin/find.cgi?QM-5022","QM-5022")</f>
        <v/>
      </c>
      <c r="D796" t="inlineStr"/>
      <c r="E796" t="inlineStr"/>
      <c r="F796" t="inlineStr"/>
      <c r="G796">
        <f>HYPERLINK("http://astatechinc.com/CPSResult.php?CRNO=F11480","F11480")</f>
        <v/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CCc1nnc2c3ccccc3nc(Nc3cccc(C(=O)O)c3)n12</t>
        </is>
      </c>
      <c r="B797" t="inlineStr">
        <is>
          <t>ZINC000015728358</t>
        </is>
      </c>
      <c r="C797" t="inlineStr"/>
      <c r="D797" t="inlineStr"/>
      <c r="E797" t="inlineStr"/>
      <c r="F797" t="inlineStr"/>
      <c r="G797" t="inlineStr"/>
      <c r="H797">
        <f>HYPERLINK("http://www.sigmaaldrich.com/catalog/search?term=SML1097&amp;interface=All&amp;N=0&amp;mode=match%20partialmax&amp;lang=en&amp;region=US&amp;focus=product","SML1097")</f>
        <v/>
      </c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Brc1c[nH]c2ncnc(Nc3ccc4c(c3)OCCO4)c12</t>
        </is>
      </c>
      <c r="B798" t="inlineStr">
        <is>
          <t>ZINC000032919168</t>
        </is>
      </c>
      <c r="C798" t="inlineStr"/>
      <c r="D798">
        <f>HYPERLINK("http://www.matrixscientific.com/078919.html","078919")</f>
        <v/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Cc1ccc(Nc2nnc(CC(=O)n3nc(C)cc3C)s2)cc1</t>
        </is>
      </c>
      <c r="B799" t="inlineStr">
        <is>
          <t>ZINC000067341899</t>
        </is>
      </c>
      <c r="C799" t="inlineStr"/>
      <c r="D799" t="inlineStr"/>
      <c r="E799">
        <f>HYPERLINK("https://aksci.com/item_detail.php?cat=HTS028961","HTS028961")</f>
        <v/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CC1(C)OC(=O)C(=Cc2ccc(Nc3ccc(F)cc3)o2)C(=O)O1</t>
        </is>
      </c>
      <c r="B800" t="inlineStr">
        <is>
          <t>ZINC000002532410</t>
        </is>
      </c>
      <c r="C800" t="inlineStr"/>
      <c r="D800" t="inlineStr"/>
      <c r="E800" t="inlineStr"/>
      <c r="F800" t="inlineStr"/>
      <c r="G800" t="inlineStr"/>
      <c r="H800">
        <f>HYPERLINK("http://www.sigmaaldrich.com/catalog/search?term=L306940&amp;interface=All&amp;N=0&amp;mode=match%20partialmax&amp;lang=en&amp;region=US&amp;focus=product","L306940")</f>
        <v/>
      </c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C=CCc1c(C)nc(Nc2nc(C)c3cc(C)c(C)cc3n2)[nH]c1=O</t>
        </is>
      </c>
      <c r="B801" t="inlineStr">
        <is>
          <t>ZINC000009936629</t>
        </is>
      </c>
      <c r="C801">
        <f>HYPERLINK("http://www.combi-blocks.com/cgi-bin/find.cgi?QZ-4508","QZ-4508")</f>
        <v/>
      </c>
      <c r="D801">
        <f>HYPERLINK("http://www.matrixscientific.com/080504.html","080504")</f>
        <v/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inlineStr">
        <is>
          <t>CCOC(=O)c1ccc(C)c(Nc2nccc(-c3cccnc3)n2)c1</t>
        </is>
      </c>
      <c r="B802" t="inlineStr">
        <is>
          <t>ZINC000035569908</t>
        </is>
      </c>
      <c r="C802">
        <f>HYPERLINK("http://www.combi-blocks.com/cgi-bin/find.cgi?QV-9300","QV-9300")</f>
        <v/>
      </c>
      <c r="D802">
        <f>HYPERLINK("http://www.matrixscientific.com/147548.html","147548")</f>
        <v/>
      </c>
      <c r="E802">
        <f>HYPERLINK("https://aksci.com/item_detail.php?cat=Z1740","Z1740")</f>
        <v/>
      </c>
      <c r="F802" t="inlineStr"/>
      <c r="G802">
        <f>HYPERLINK("http://astatechinc.com/CPSResult.php?CRNO=S10724","S10724")</f>
        <v/>
      </c>
      <c r="H802" t="inlineStr"/>
      <c r="I802" t="inlineStr"/>
      <c r="J802">
        <f>HYPERLINK("http://www.ambeed.com/search/Search.html?keyword=A230580","A230580")</f>
        <v/>
      </c>
      <c r="K802" t="inlineStr"/>
      <c r="L802" t="inlineStr"/>
      <c r="M802" t="inlineStr"/>
      <c r="N802">
        <f>HYPERLINK("https://www.biosynth.com/en/products/life-science/other-biochemicals/products/Q-101349","Q-101349")</f>
        <v/>
      </c>
    </row>
    <row r="803">
      <c r="A803" t="inlineStr">
        <is>
          <t>COc1cc2c(cc1OC)-c1n[nH]c(Nc3cccc(F)c3)c1C2</t>
        </is>
      </c>
      <c r="B803" t="inlineStr">
        <is>
          <t>ZINC000013677843</t>
        </is>
      </c>
      <c r="C803" t="inlineStr"/>
      <c r="D803" t="inlineStr"/>
      <c r="E803" t="inlineStr"/>
      <c r="F803" t="inlineStr"/>
      <c r="G803" t="inlineStr"/>
      <c r="H803">
        <f>HYPERLINK("http://www.sigmaaldrich.com/catalog/search?term=J4649&amp;interface=All&amp;N=0&amp;mode=match%20partialmax&amp;lang=en&amp;region=US&amp;focus=product","J4649")</f>
        <v/>
      </c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CSc1ncc(C(=O)O)c(Nc2ccc(C(F)(F)F)cc2)n1</t>
        </is>
      </c>
      <c r="B804" t="inlineStr">
        <is>
          <t>ZINC000035287584</t>
        </is>
      </c>
      <c r="C804">
        <f>HYPERLINK("http://www.combi-blocks.com/cgi-bin/find.cgi?SS-7689","SS-7689")</f>
        <v/>
      </c>
      <c r="D804" t="inlineStr"/>
      <c r="E804" t="inlineStr"/>
      <c r="F804" t="inlineStr"/>
      <c r="G804">
        <f>HYPERLINK("http://astatechinc.com/CPSResult.php?CRNO=AR3308","AR3308")</f>
        <v/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COc1ccc(Nc2ncncc2-c2nc(-c3ccccc3)no2)cc1</t>
        </is>
      </c>
      <c r="B805" t="inlineStr">
        <is>
          <t>ZINC000169775566</t>
        </is>
      </c>
      <c r="C805" t="inlineStr"/>
      <c r="D805" t="inlineStr"/>
      <c r="E805">
        <f>HYPERLINK("https://aksci.com/item_detail.php?cat=HTS024905","HTS024905")</f>
        <v/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CC(C)S(=O)(=O)c1ccccc1Nc1nc(Cl)ncc1Cl</t>
        </is>
      </c>
      <c r="B806" t="inlineStr">
        <is>
          <t>ZINC000085223771</t>
        </is>
      </c>
      <c r="C806">
        <f>HYPERLINK("http://www.combi-blocks.com/cgi-bin/find.cgi?QC-2439","QC-2439")</f>
        <v/>
      </c>
      <c r="D806">
        <f>HYPERLINK("http://www.matrixscientific.com/096607.html","096607")</f>
        <v/>
      </c>
      <c r="E806">
        <f>HYPERLINK("https://aksci.com/item_detail.php?cat=1837AC","1837AC")</f>
        <v/>
      </c>
      <c r="F806" t="inlineStr"/>
      <c r="G806">
        <f>HYPERLINK("http://astatechinc.com/CPSResult.php?CRNO=61824","61824")</f>
        <v/>
      </c>
      <c r="H806" t="inlineStr"/>
      <c r="I806" t="inlineStr"/>
      <c r="J806">
        <f>HYPERLINK("http://www.ambeed.com/search/Search.html?keyword=A232353","A232353")</f>
        <v/>
      </c>
      <c r="K806" t="inlineStr"/>
      <c r="L806">
        <f>HYPERLINK("http://www.achemblock.com/catalogsearch/result/?q=K12246","K12246")</f>
        <v/>
      </c>
      <c r="M806" t="inlineStr"/>
      <c r="N806" t="inlineStr"/>
    </row>
    <row r="807">
      <c r="A807" t="inlineStr">
        <is>
          <t>COc1ccccc1Nc1ncncc1-c1nc(-c2ccccc2)no1</t>
        </is>
      </c>
      <c r="B807" t="inlineStr">
        <is>
          <t>ZINC000169780205</t>
        </is>
      </c>
      <c r="C807" t="inlineStr"/>
      <c r="D807" t="inlineStr"/>
      <c r="E807">
        <f>HYPERLINK("https://aksci.com/item_detail.php?cat=HTS024909","HTS024909")</f>
        <v/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COC(=O)c1cc(Nc2nc3ccccc3s2)cc(C(=O)OC)c1</t>
        </is>
      </c>
      <c r="B808" t="inlineStr">
        <is>
          <t>ZINC000002565324</t>
        </is>
      </c>
      <c r="C808" t="inlineStr"/>
      <c r="D808" t="inlineStr"/>
      <c r="E808" t="inlineStr"/>
      <c r="F808" t="inlineStr"/>
      <c r="G808" t="inlineStr"/>
      <c r="H808">
        <f>HYPERLINK("http://www.sigmaaldrich.com/catalog/search?term=L201650&amp;interface=All&amp;N=0&amp;mode=match%20partialmax&amp;lang=en&amp;region=US&amp;focus=product","L201650")</f>
        <v/>
      </c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OCC1(c2ccccc2Nc2ncc(C(F)(F)F)c(Cl)n2)CC1</t>
        </is>
      </c>
      <c r="B809" t="inlineStr">
        <is>
          <t>ZINC000642813773</t>
        </is>
      </c>
      <c r="C809" t="inlineStr"/>
      <c r="D809" t="inlineStr"/>
      <c r="E809" t="inlineStr"/>
      <c r="F809" t="inlineStr"/>
      <c r="G809">
        <f>HYPERLINK("http://astatechinc.com/CPSResult.php?CRNO=A50938","A50938")</f>
        <v/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>
        <is>
          <t>Cn1c(Nc2ccc(B3OC(C)(C)C(C)(C)O3)cc2)nc2ccccc21</t>
        </is>
      </c>
      <c r="B810" t="inlineStr">
        <is>
          <t>ZINC000169984033</t>
        </is>
      </c>
      <c r="C810" t="inlineStr"/>
      <c r="D810">
        <f>HYPERLINK("http://www.matrixscientific.com/096752.html","096752")</f>
        <v/>
      </c>
      <c r="E810">
        <f>HYPERLINK("https://aksci.com/item_detail.php?cat=3773AB","3773AB")</f>
        <v/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CC1(C)OB(c2ccc(Nc3nc4ccccc4o3)cc2)OC1(C)C</t>
        </is>
      </c>
      <c r="B811" t="inlineStr">
        <is>
          <t>ZINC000169984029</t>
        </is>
      </c>
      <c r="C811" t="inlineStr"/>
      <c r="D811">
        <f>HYPERLINK("http://www.matrixscientific.com/096750.html","096750")</f>
        <v/>
      </c>
      <c r="E811">
        <f>HYPERLINK("https://aksci.com/item_detail.php?cat=3774AB","3774AB")</f>
        <v/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C#Cc1cccc(Nc2nc3cc(C(=O)O)ccc3c3cncnc23)c1</t>
        </is>
      </c>
      <c r="B812" t="inlineStr">
        <is>
          <t>ZINC000043195792</t>
        </is>
      </c>
      <c r="C812" t="inlineStr"/>
      <c r="D812">
        <f>HYPERLINK("http://www.matrixscientific.com/095902.html","095902")</f>
        <v/>
      </c>
      <c r="E812">
        <f>HYPERLINK("https://aksci.com/item_detail.php?cat=0311AA","0311AA")</f>
        <v/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N#Cc1c2c(c(Nc3ccncc3)n3c1nc1ccccc13)CCC2</t>
        </is>
      </c>
      <c r="B813" t="inlineStr">
        <is>
          <t>ZINC000000183193</t>
        </is>
      </c>
      <c r="C813" t="inlineStr"/>
      <c r="D813" t="inlineStr"/>
      <c r="E813" t="inlineStr"/>
      <c r="F813" t="inlineStr"/>
      <c r="G813" t="inlineStr"/>
      <c r="H813">
        <f>HYPERLINK("http://www.sigmaaldrich.com/catalog/search?term=R827924&amp;interface=All&amp;N=0&amp;mode=match%20partialmax&amp;lang=en&amp;region=US&amp;focus=product","R827924")</f>
        <v/>
      </c>
      <c r="I813" t="inlineStr"/>
      <c r="J813" t="inlineStr"/>
      <c r="K813" t="inlineStr"/>
      <c r="L813" t="inlineStr"/>
      <c r="M813" t="inlineStr"/>
      <c r="N813" t="inlineStr"/>
    </row>
    <row r="814">
      <c r="A814" t="inlineStr">
        <is>
          <t>Cc1ccc(Nc2ncncc2-c2nc(-c3ccccc3)no2)c(F)c1</t>
        </is>
      </c>
      <c r="B814" t="inlineStr">
        <is>
          <t>ZINC000169775525</t>
        </is>
      </c>
      <c r="C814" t="inlineStr"/>
      <c r="D814" t="inlineStr"/>
      <c r="E814">
        <f>HYPERLINK("https://aksci.com/item_detail.php?cat=HTS024862","HTS024862")</f>
        <v/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O=S(=O)(Oc1ccc(Nc2ccccc2)cc1)c1ccccc1</t>
        </is>
      </c>
      <c r="B815" t="inlineStr">
        <is>
          <t>ZINC000003129772</t>
        </is>
      </c>
      <c r="C815" t="inlineStr"/>
      <c r="D815" t="inlineStr"/>
      <c r="E815" t="inlineStr"/>
      <c r="F815" t="inlineStr"/>
      <c r="G815" t="inlineStr"/>
      <c r="H815">
        <f>HYPERLINK("http://www.sigmaaldrich.com/catalog/search?term=S195359&amp;interface=All&amp;N=0&amp;mode=match%20partialmax&amp;lang=en&amp;region=US&amp;focus=product","S195359")</f>
        <v/>
      </c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CCc1cccc(Nc2ncncc2-c2nc(-c3ccccc3)no2)c1</t>
        </is>
      </c>
      <c r="B816" t="inlineStr">
        <is>
          <t>ZINC000169775609</t>
        </is>
      </c>
      <c r="C816" t="inlineStr"/>
      <c r="D816" t="inlineStr"/>
      <c r="E816">
        <f>HYPERLINK("https://aksci.com/item_detail.php?cat=HTS024929","HTS024929")</f>
        <v/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COc1ccccc1Nc1nc(-c2ccccc2)c(CC(=O)O)s1</t>
        </is>
      </c>
      <c r="B817" t="inlineStr">
        <is>
          <t>ZINC000005570281</t>
        </is>
      </c>
      <c r="C817" t="inlineStr"/>
      <c r="D817" t="inlineStr"/>
      <c r="E817" t="inlineStr"/>
      <c r="F817">
        <f>HYPERLINK("https://www.enaminestore.com/catalog/EN300-35370","EN300-35370")</f>
        <v/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>Fc1cccc(-c2ncnc(Nc3cccc(C(F)(F)F)c3)n2)c1</t>
        </is>
      </c>
      <c r="B818" t="inlineStr">
        <is>
          <t>ZINC000096191548</t>
        </is>
      </c>
      <c r="C818" t="inlineStr"/>
      <c r="D818">
        <f>HYPERLINK("http://www.matrixscientific.com/165959.html","165959")</f>
        <v/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CCc1ccc(Nc2ncncc2-c2nc(-c3ccccc3)no2)cc1</t>
        </is>
      </c>
      <c r="B819" t="inlineStr">
        <is>
          <t>ZINC000169775608</t>
        </is>
      </c>
      <c r="C819" t="inlineStr"/>
      <c r="D819" t="inlineStr"/>
      <c r="E819">
        <f>HYPERLINK("https://aksci.com/item_detail.php?cat=HTS024928","HTS024928")</f>
        <v/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COc1ccc(OC)c(-c2csc(Nc3ccc(F)cn3)n2)c1</t>
        </is>
      </c>
      <c r="B820" t="inlineStr">
        <is>
          <t>ZINC000049006111</t>
        </is>
      </c>
      <c r="C820" t="inlineStr"/>
      <c r="D820" t="inlineStr"/>
      <c r="E820">
        <f>HYPERLINK("https://aksci.com/item_detail.php?cat=HTS017514","HTS017514")</f>
        <v/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Cc1ccc(Cn2ncc3c(Nc4ccc(F)cc4)ncnc32)cc1</t>
        </is>
      </c>
      <c r="B821" t="inlineStr">
        <is>
          <t>ZINC000000521662</t>
        </is>
      </c>
      <c r="C821" t="inlineStr"/>
      <c r="D821" t="inlineStr"/>
      <c r="E821" t="inlineStr"/>
      <c r="F821" t="inlineStr"/>
      <c r="G821" t="inlineStr"/>
      <c r="H821">
        <f>HYPERLINK("http://www.sigmaaldrich.com/catalog/search?term=L185647&amp;interface=All&amp;N=0&amp;mode=match%20partialmax&amp;lang=en&amp;region=US&amp;focus=product","L185647")</f>
        <v/>
      </c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Cc1cc(F)ccc1Nc1ncncc1-c1nc(-c2ccccc2)no1</t>
        </is>
      </c>
      <c r="B822" t="inlineStr">
        <is>
          <t>ZINC000169775578</t>
        </is>
      </c>
      <c r="C822" t="inlineStr"/>
      <c r="D822" t="inlineStr"/>
      <c r="E822">
        <f>HYPERLINK("https://aksci.com/item_detail.php?cat=HTS024870","HTS024870")</f>
        <v/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CC(C)c1cnc(-c2ncccc2F)nc1Nc1ccncc1F</t>
        </is>
      </c>
      <c r="B823" t="inlineStr">
        <is>
          <t>ZINC000071289193</t>
        </is>
      </c>
      <c r="C823" t="inlineStr"/>
      <c r="D823">
        <f>HYPERLINK("http://www.matrixscientific.com/163530.html","163530")</f>
        <v/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Cc1ccc(F)c(Nc2ncncc2-c2nc(-c3ccccc3)no2)c1</t>
        </is>
      </c>
      <c r="B824" t="inlineStr">
        <is>
          <t>ZINC000169775580</t>
        </is>
      </c>
      <c r="C824" t="inlineStr"/>
      <c r="D824" t="inlineStr"/>
      <c r="E824">
        <f>HYPERLINK("https://aksci.com/item_detail.php?cat=HTS024871","HTS024871")</f>
        <v/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COc1cc2ncnc(Nc3cccc(C(F)(F)F)c3)c2cc1OC</t>
        </is>
      </c>
      <c r="B825" t="inlineStr">
        <is>
          <t>ZINC000003815044</t>
        </is>
      </c>
      <c r="C825">
        <f>HYPERLINK("http://www.combi-blocks.com/cgi-bin/find.cgi?QM-5018","QM-5018")</f>
        <v/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>
        <is>
          <t>CCOC(=O)c1sc2ncnc(Nc3cccc(C)c3)c2c1C</t>
        </is>
      </c>
      <c r="B826" t="inlineStr">
        <is>
          <t>ZINC000000215343</t>
        </is>
      </c>
      <c r="C826" t="inlineStr"/>
      <c r="D826" t="inlineStr"/>
      <c r="E826" t="inlineStr"/>
      <c r="F826" t="inlineStr"/>
      <c r="G826" t="inlineStr"/>
      <c r="H826">
        <f>HYPERLINK("http://www.sigmaaldrich.com/catalog/search?term=R513148&amp;interface=All&amp;N=0&amp;mode=match%20partialmax&amp;lang=en&amp;region=US&amp;focus=product","R513148")</f>
        <v/>
      </c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Cc1ccc(Nc2ncncc2-c2nc(-c3ccsc3)no2)cc1</t>
        </is>
      </c>
      <c r="B827" t="inlineStr">
        <is>
          <t>ZINC000098212676</t>
        </is>
      </c>
      <c r="C827" t="inlineStr"/>
      <c r="D827" t="inlineStr"/>
      <c r="E827">
        <f>HYPERLINK("https://aksci.com/item_detail.php?cat=HTS006824","HTS006824")</f>
        <v/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Cc1c(F)cccc1Nc1ncncc1-c1nc(-c2ccccc2)no1</t>
        </is>
      </c>
      <c r="B828" t="inlineStr">
        <is>
          <t>ZINC000169775523</t>
        </is>
      </c>
      <c r="C828" t="inlineStr"/>
      <c r="D828" t="inlineStr"/>
      <c r="E828">
        <f>HYPERLINK("https://aksci.com/item_detail.php?cat=HTS024861","HTS024861")</f>
        <v/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CC(=O)c1ccc(Nc2c3ccccc3nc3c2c(C)nn3C)cc1</t>
        </is>
      </c>
      <c r="B829" t="inlineStr">
        <is>
          <t>ZINC000002506208</t>
        </is>
      </c>
      <c r="C829" t="inlineStr"/>
      <c r="D829" t="inlineStr"/>
      <c r="E829" t="inlineStr"/>
      <c r="F829" t="inlineStr"/>
      <c r="G829" t="inlineStr"/>
      <c r="H829">
        <f>HYPERLINK("http://www.sigmaaldrich.com/catalog/search?term=L101664&amp;interface=All&amp;N=0&amp;mode=match%20partialmax&amp;lang=en&amp;region=US&amp;focus=product","L101664")</f>
        <v/>
      </c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CCOc1ccccc1Nc1cc(C(=O)OC)nc2ccc(F)cc12</t>
        </is>
      </c>
      <c r="B830" t="inlineStr">
        <is>
          <t>ZINC000038486587</t>
        </is>
      </c>
      <c r="C830" t="inlineStr"/>
      <c r="D830" t="inlineStr"/>
      <c r="E830">
        <f>HYPERLINK("https://aksci.com/item_detail.php?cat=HTS015585","HTS015585")</f>
        <v/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COc1ccc(-c2csc(Nc3ccc(F)cn3)n2)cc1OC</t>
        </is>
      </c>
      <c r="B831" t="inlineStr">
        <is>
          <t>ZINC000049006109</t>
        </is>
      </c>
      <c r="C831" t="inlineStr"/>
      <c r="D831" t="inlineStr"/>
      <c r="E831">
        <f>HYPERLINK("https://aksci.com/item_detail.php?cat=HTS017513","HTS017513")</f>
        <v/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Cc1ccc(Nc2nc(C)c(C(=O)n3nc(C)cc3C)s2)c(C)c1</t>
        </is>
      </c>
      <c r="B832" t="inlineStr">
        <is>
          <t>ZINC000057352041</t>
        </is>
      </c>
      <c r="C832" t="inlineStr"/>
      <c r="D832" t="inlineStr"/>
      <c r="E832">
        <f>HYPERLINK("https://aksci.com/item_detail.php?cat=HTS027903","HTS027903")</f>
        <v/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CCOC(=O)c1cnc2ccc(OC)cc2c1Nc1ccc(C)cc1</t>
        </is>
      </c>
      <c r="B833" t="inlineStr">
        <is>
          <t>ZINC000000095866</t>
        </is>
      </c>
      <c r="C833" t="inlineStr"/>
      <c r="D833">
        <f>HYPERLINK("http://www.matrixscientific.com/169658.html","169658")</f>
        <v/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>CCOC(=O)c1sc(Nc2cccc(C)c2)nc1C(F)(F)F</t>
        </is>
      </c>
      <c r="B834" t="inlineStr">
        <is>
          <t>ZINC000012396973</t>
        </is>
      </c>
      <c r="C834" t="inlineStr"/>
      <c r="D834" t="inlineStr"/>
      <c r="E834" t="inlineStr"/>
      <c r="F834">
        <f>HYPERLINK("https://www.enaminestore.com/catalog/EN300-231665","EN300-231665")</f>
        <v/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Cc1ccc(Nc2ncncc2-c2nc(-c3ccccc3)no2)cc1F</t>
        </is>
      </c>
      <c r="B835" t="inlineStr">
        <is>
          <t>ZINC000169775573</t>
        </is>
      </c>
      <c r="C835" t="inlineStr"/>
      <c r="D835" t="inlineStr"/>
      <c r="E835">
        <f>HYPERLINK("https://aksci.com/item_detail.php?cat=HTS024908","HTS024908")</f>
        <v/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COc1ccc(Nc2cccc(CNC(=O)OC(C)(C)C)c2)cc1</t>
        </is>
      </c>
      <c r="B836" t="inlineStr">
        <is>
          <t>ZINC000002527461</t>
        </is>
      </c>
      <c r="C836">
        <f>HYPERLINK("http://www.combi-blocks.com/cgi-bin/find.cgi?QA-8082","QA-8082")</f>
        <v/>
      </c>
      <c r="D836" t="inlineStr"/>
      <c r="E836" t="inlineStr"/>
      <c r="F836" t="inlineStr"/>
      <c r="G836">
        <f>HYPERLINK("http://astatechinc.com/CPSResult.php?CRNO=55647","55647")</f>
        <v/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CCOC(=O)c1sc(Nc2ccccc2C)nc1C(F)(F)F</t>
        </is>
      </c>
      <c r="B837" t="inlineStr">
        <is>
          <t>ZINC000012394366</t>
        </is>
      </c>
      <c r="C837" t="inlineStr"/>
      <c r="D837" t="inlineStr"/>
      <c r="E837" t="inlineStr"/>
      <c r="F837">
        <f>HYPERLINK("https://www.enaminestore.com/catalog/EN300-230701","EN300-230701")</f>
        <v/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>Cc1cc(Nc2ncncc2-c2nc(-c3ccccc3)no2)ccc1F</t>
        </is>
      </c>
      <c r="B838" t="inlineStr">
        <is>
          <t>ZINC000169775576</t>
        </is>
      </c>
      <c r="C838" t="inlineStr"/>
      <c r="D838" t="inlineStr"/>
      <c r="E838">
        <f>HYPERLINK("https://aksci.com/item_detail.php?cat=HTS024869","HTS024869")</f>
        <v/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CCc1ccc(Nc2ncnc3c2cnn3Cc2ccc(C)cc2)cc1</t>
        </is>
      </c>
      <c r="B839" t="inlineStr">
        <is>
          <t>ZINC000000352620</t>
        </is>
      </c>
      <c r="C839" t="inlineStr"/>
      <c r="D839" t="inlineStr"/>
      <c r="E839" t="inlineStr"/>
      <c r="F839" t="inlineStr"/>
      <c r="G839" t="inlineStr"/>
      <c r="H839">
        <f>HYPERLINK("http://www.sigmaaldrich.com/catalog/search?term=L185760&amp;interface=All&amp;N=0&amp;mode=match%20partialmax&amp;lang=en&amp;region=US&amp;focus=product","L185760")</f>
        <v/>
      </c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Fc1ccc(Nc2nc(Cl)nc(Cl)c2Br)cc1</t>
        </is>
      </c>
      <c r="B840" t="inlineStr">
        <is>
          <t>ZINC000710634635</t>
        </is>
      </c>
      <c r="C840" t="inlineStr"/>
      <c r="D840" t="inlineStr"/>
      <c r="E840" t="inlineStr"/>
      <c r="F840" t="inlineStr"/>
      <c r="G840">
        <f>HYPERLINK("http://astatechinc.com/CPSResult.php?CRNO=AC5586","AC5586")</f>
        <v/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CCOC(=O)c1cnc(Cl)nc1Nc1cccc(C(F)(F)F)c1</t>
        </is>
      </c>
      <c r="B841" t="inlineStr">
        <is>
          <t>ZINC001542984507</t>
        </is>
      </c>
      <c r="C841" t="inlineStr"/>
      <c r="D841" t="inlineStr"/>
      <c r="E841" t="inlineStr"/>
      <c r="F841" t="inlineStr"/>
      <c r="G841">
        <f>HYPERLINK("http://astatechinc.com/CPSResult.php?CRNO=N16934","N16934")</f>
        <v/>
      </c>
      <c r="H841" t="inlineStr"/>
      <c r="I841" t="inlineStr"/>
      <c r="J841" t="inlineStr"/>
      <c r="K841" t="inlineStr"/>
      <c r="L841">
        <f>HYPERLINK("http://www.achemblock.com/catalogsearch/result/?q=P51020","P51020")</f>
        <v/>
      </c>
      <c r="M841" t="inlineStr"/>
      <c r="N841" t="inlineStr"/>
    </row>
    <row r="842">
      <c r="A842" t="inlineStr">
        <is>
          <t>CCCc1cc(Nc2ccncc2)n2c(nc3ccccc32)c1C#N</t>
        </is>
      </c>
      <c r="B842" t="inlineStr">
        <is>
          <t>ZINC000000521620</t>
        </is>
      </c>
      <c r="C842" t="inlineStr"/>
      <c r="D842" t="inlineStr"/>
      <c r="E842" t="inlineStr"/>
      <c r="F842" t="inlineStr"/>
      <c r="G842" t="inlineStr"/>
      <c r="H842">
        <f>HYPERLINK("http://www.sigmaaldrich.com/catalog/search?term=L183466&amp;interface=All&amp;N=0&amp;mode=match%20partialmax&amp;lang=en&amp;region=US&amp;focus=product","L183466")</f>
        <v/>
      </c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COc1cccc(Nc2cc(C)c(C#N)c3nc4ccccc4n23)c1</t>
        </is>
      </c>
      <c r="B843" t="inlineStr">
        <is>
          <t>ZINC000001016628</t>
        </is>
      </c>
      <c r="C843" t="inlineStr"/>
      <c r="D843" t="inlineStr"/>
      <c r="E843" t="inlineStr"/>
      <c r="F843" t="inlineStr"/>
      <c r="G843" t="inlineStr"/>
      <c r="H843">
        <f>HYPERLINK("http://www.sigmaaldrich.com/catalog/search?term=L183156&amp;interface=All&amp;N=0&amp;mode=match%20partialmax&amp;lang=en&amp;region=US&amp;focus=product","L183156")</f>
        <v/>
      </c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N#Cc1ccc(Nc2nc(Cl)c(Br)c(Cl)n2)cc1</t>
        </is>
      </c>
      <c r="B844" t="inlineStr">
        <is>
          <t>ZINC000040435085</t>
        </is>
      </c>
      <c r="C844" t="inlineStr"/>
      <c r="D844">
        <f>HYPERLINK("http://www.matrixscientific.com/091154.html","091154")</f>
        <v/>
      </c>
      <c r="E844">
        <f>HYPERLINK("https://aksci.com/item_detail.php?cat=2456AB","2456AB")</f>
        <v/>
      </c>
      <c r="F844" t="inlineStr"/>
      <c r="G844">
        <f>HYPERLINK("http://astatechinc.com/CPSResult.php?CRNO=55834","55834")</f>
        <v/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COC(=O)c1ccccc1Nc1ccnc2c(C(F)(F)F)cccc12</t>
        </is>
      </c>
      <c r="B845" t="inlineStr">
        <is>
          <t>ZINC000041055021</t>
        </is>
      </c>
      <c r="C845" t="inlineStr"/>
      <c r="D845" t="inlineStr"/>
      <c r="E845" t="inlineStr"/>
      <c r="F845" t="inlineStr"/>
      <c r="G845" t="inlineStr"/>
      <c r="H845">
        <f>HYPERLINK("http://www.sigmaaldrich.com/catalog/search?term=PH004955&amp;interface=All&amp;N=0&amp;mode=match%20partialmax&amp;lang=en&amp;region=US&amp;focus=product","PH004955")</f>
        <v/>
      </c>
      <c r="I845" t="inlineStr"/>
      <c r="J845" t="inlineStr"/>
      <c r="K845" t="inlineStr"/>
      <c r="L845" t="inlineStr"/>
      <c r="M845" t="inlineStr"/>
      <c r="N845" t="inlineStr"/>
    </row>
    <row r="846">
      <c r="A846" t="inlineStr">
        <is>
          <t>CCOc1ccc(Nc2c3ccccc3nc3c2c(C)nn3C)cc1</t>
        </is>
      </c>
      <c r="B846" t="inlineStr">
        <is>
          <t>ZINC000000392050</t>
        </is>
      </c>
      <c r="C846" t="inlineStr"/>
      <c r="D846" t="inlineStr"/>
      <c r="E846" t="inlineStr"/>
      <c r="F846" t="inlineStr"/>
      <c r="G846" t="inlineStr"/>
      <c r="H846">
        <f>HYPERLINK("http://www.sigmaaldrich.com/catalog/search?term=L100404&amp;interface=All&amp;N=0&amp;mode=match%20partialmax&amp;lang=en&amp;region=US&amp;focus=product","L100404")</f>
        <v/>
      </c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Cc1cc(Nc2nc3ccccc3nc2Cl)n(-c2ccccc2)n1</t>
        </is>
      </c>
      <c r="B847" t="inlineStr">
        <is>
          <t>ZINC000088604381</t>
        </is>
      </c>
      <c r="C847" t="inlineStr"/>
      <c r="D847" t="inlineStr"/>
      <c r="E847" t="inlineStr"/>
      <c r="F847">
        <f>HYPERLINK("https://www.enaminestore.com/catalog/EN300-08780","EN300-08780")</f>
        <v/>
      </c>
      <c r="G847" t="inlineStr"/>
      <c r="H847" t="inlineStr"/>
      <c r="I847" t="inlineStr"/>
      <c r="J847" t="inlineStr"/>
      <c r="K847">
        <f>HYPERLINK("http://aablocks.com/goods/Goods/detail?id=AA019J56","AA019J56")</f>
        <v/>
      </c>
      <c r="L847" t="inlineStr"/>
      <c r="M847" t="inlineStr"/>
      <c r="N847" t="inlineStr"/>
    </row>
    <row r="848">
      <c r="A848" t="inlineStr">
        <is>
          <t>CCOC(=O)c1sc(Nc2cc(C)ccc2C)nc1C(F)(F)F</t>
        </is>
      </c>
      <c r="B848" t="inlineStr">
        <is>
          <t>ZINC000012394358</t>
        </is>
      </c>
      <c r="C848" t="inlineStr"/>
      <c r="D848" t="inlineStr"/>
      <c r="E848" t="inlineStr"/>
      <c r="F848">
        <f>HYPERLINK("https://www.enaminestore.com/catalog/EN300-230697","EN300-230697")</f>
        <v/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Cc1ccc(Cn2ncc3c(Nc4ccc(C)c(C)c4)ncnc32)cc1</t>
        </is>
      </c>
      <c r="B849" t="inlineStr">
        <is>
          <t>ZINC000000521652</t>
        </is>
      </c>
      <c r="C849" t="inlineStr"/>
      <c r="D849" t="inlineStr"/>
      <c r="E849" t="inlineStr"/>
      <c r="F849" t="inlineStr"/>
      <c r="G849" t="inlineStr"/>
      <c r="H849">
        <f>HYPERLINK("http://www.sigmaaldrich.com/catalog/search?term=L185612&amp;interface=All&amp;N=0&amp;mode=match%20partialmax&amp;lang=en&amp;region=US&amp;focus=product","L185612")</f>
        <v/>
      </c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CCCOc1ccc(Nc2c3ccccc3nc3c2c(C)nn3C)cc1</t>
        </is>
      </c>
      <c r="B850" t="inlineStr">
        <is>
          <t>ZINC000005567951</t>
        </is>
      </c>
      <c r="C850" t="inlineStr"/>
      <c r="D850" t="inlineStr"/>
      <c r="E850" t="inlineStr"/>
      <c r="F850" t="inlineStr"/>
      <c r="G850" t="inlineStr"/>
      <c r="H850">
        <f>HYPERLINK("http://www.sigmaaldrich.com/catalog/search?term=R545996&amp;interface=All&amp;N=0&amp;mode=match%20partialmax&amp;lang=en&amp;region=US&amp;focus=product","R545996")</f>
        <v/>
      </c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Cc1ccc(Nc2ncncc2-c2nc(-c3ccccc3)no2)c(C)c1</t>
        </is>
      </c>
      <c r="B851" t="inlineStr">
        <is>
          <t>ZINC000169775598</t>
        </is>
      </c>
      <c r="C851" t="inlineStr"/>
      <c r="D851" t="inlineStr"/>
      <c r="E851">
        <f>HYPERLINK("https://aksci.com/item_detail.php?cat=HTS024883","HTS024883")</f>
        <v/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Cc1cccc(Nc2ncncc2-c2nc(-c3ccccc3)no2)c1C</t>
        </is>
      </c>
      <c r="B852" t="inlineStr">
        <is>
          <t>ZINC000169781044</t>
        </is>
      </c>
      <c r="C852" t="inlineStr"/>
      <c r="D852" t="inlineStr"/>
      <c r="E852">
        <f>HYPERLINK("https://aksci.com/item_detail.php?cat=HTS024863","HTS024863")</f>
        <v/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N#Cc1c2c(c(Nc3cccc(F)c3)n3c1nc1ccccc13)CCC2</t>
        </is>
      </c>
      <c r="B853" t="inlineStr">
        <is>
          <t>ZINC000004034007</t>
        </is>
      </c>
      <c r="C853" t="inlineStr"/>
      <c r="D853" t="inlineStr"/>
      <c r="E853" t="inlineStr"/>
      <c r="F853" t="inlineStr"/>
      <c r="G853" t="inlineStr"/>
      <c r="H853">
        <f>HYPERLINK("http://www.sigmaaldrich.com/catalog/search?term=R492574&amp;interface=All&amp;N=0&amp;mode=match%20partialmax&amp;lang=en&amp;region=US&amp;focus=product","R492574")</f>
        <v/>
      </c>
      <c r="I853" t="inlineStr"/>
      <c r="J853" t="inlineStr"/>
      <c r="K853" t="inlineStr"/>
      <c r="L853" t="inlineStr"/>
      <c r="M853" t="inlineStr"/>
      <c r="N853" t="inlineStr"/>
    </row>
    <row r="854">
      <c r="A854" t="inlineStr">
        <is>
          <t>CCc1ccc(Nc2cc(C)c(C#N)c3nc4ccccc4n23)cc1</t>
        </is>
      </c>
      <c r="B854" t="inlineStr">
        <is>
          <t>ZINC000001849625</t>
        </is>
      </c>
      <c r="C854" t="inlineStr"/>
      <c r="D854" t="inlineStr"/>
      <c r="E854" t="inlineStr"/>
      <c r="F854" t="inlineStr"/>
      <c r="G854" t="inlineStr"/>
      <c r="H854">
        <f>HYPERLINK("http://www.sigmaaldrich.com/catalog/search?term=L183164&amp;interface=All&amp;N=0&amp;mode=match%20partialmax&amp;lang=en&amp;region=US&amp;focus=product","L183164")</f>
        <v/>
      </c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Cc1ccc(Nc2nn(CCC#N)c(=S)n2-c2ccc(C)cc2)cc1</t>
        </is>
      </c>
      <c r="B855" t="inlineStr">
        <is>
          <t>ZINC000002027110</t>
        </is>
      </c>
      <c r="C855" t="inlineStr"/>
      <c r="D855" t="inlineStr"/>
      <c r="E855" t="inlineStr"/>
      <c r="F855" t="inlineStr"/>
      <c r="G855" t="inlineStr"/>
      <c r="H855">
        <f>HYPERLINK("http://www.sigmaaldrich.com/catalog/search?term=S48578&amp;interface=All&amp;N=0&amp;mode=match%20partialmax&amp;lang=en&amp;region=US&amp;focus=product","S48578")</f>
        <v/>
      </c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C=CCc1c(C)c(C#N)c2nc3ccccc3n2c1Nc1ccncc1</t>
        </is>
      </c>
      <c r="B856" t="inlineStr">
        <is>
          <t>ZINC000001423814</t>
        </is>
      </c>
      <c r="C856" t="inlineStr"/>
      <c r="D856" t="inlineStr"/>
      <c r="E856" t="inlineStr"/>
      <c r="F856" t="inlineStr"/>
      <c r="G856" t="inlineStr"/>
      <c r="H856">
        <f>HYPERLINK("http://www.sigmaaldrich.com/catalog/search?term=L184926&amp;interface=All&amp;N=0&amp;mode=match%20partialmax&amp;lang=en&amp;region=US&amp;focus=product","L184926")</f>
        <v/>
      </c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Cc1ccc(Nc2c3c(c(C#N)c4nc5ccccc5n24)CCC3)cc1</t>
        </is>
      </c>
      <c r="B857" t="inlineStr">
        <is>
          <t>ZINC000000135287</t>
        </is>
      </c>
      <c r="C857" t="inlineStr"/>
      <c r="D857" t="inlineStr"/>
      <c r="E857" t="inlineStr"/>
      <c r="F857" t="inlineStr"/>
      <c r="G857" t="inlineStr"/>
      <c r="H857">
        <f>HYPERLINK("http://www.sigmaaldrich.com/catalog/search?term=R827908&amp;interface=All&amp;N=0&amp;mode=match%20partialmax&amp;lang=en&amp;region=US&amp;focus=product","R827908")</f>
        <v/>
      </c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>N#Cc1c2c(c(Nc3ccccc3)n3c1nc1ccccc13)CCCC2</t>
        </is>
      </c>
      <c r="B858" t="inlineStr">
        <is>
          <t>ZINC000000083461</t>
        </is>
      </c>
      <c r="C858" t="inlineStr"/>
      <c r="D858" t="inlineStr"/>
      <c r="E858" t="inlineStr"/>
      <c r="F858" t="inlineStr"/>
      <c r="G858" t="inlineStr"/>
      <c r="H858">
        <f>HYPERLINK("http://www.sigmaaldrich.com/catalog/search?term=R828394&amp;interface=All&amp;N=0&amp;mode=match%20partialmax&amp;lang=en&amp;region=US&amp;focus=product","R828394")</f>
        <v/>
      </c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Cc1ccc(Nc2ccc3cc(S(=O)(=O)Cl)ccc3c2)cc1</t>
        </is>
      </c>
      <c r="B859" t="inlineStr">
        <is>
          <t>ZINC000095712994</t>
        </is>
      </c>
      <c r="C859" t="inlineStr"/>
      <c r="D859" t="inlineStr"/>
      <c r="E859" t="inlineStr"/>
      <c r="F859" t="inlineStr"/>
      <c r="G859" t="inlineStr"/>
      <c r="H859">
        <f>HYPERLINK("http://www.sigmaaldrich.com/catalog/search?term=04076&amp;interface=All&amp;N=0&amp;mode=match%20partialmax&amp;lang=en&amp;region=US&amp;focus=product","04076")</f>
        <v/>
      </c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FC(F)(F)Oc1ccc(-c2csc(Nc3ccccc3)n2)cc1</t>
        </is>
      </c>
      <c r="B860" t="inlineStr">
        <is>
          <t>ZINC000005927482</t>
        </is>
      </c>
      <c r="C860" t="inlineStr"/>
      <c r="D860" t="inlineStr"/>
      <c r="E860" t="inlineStr"/>
      <c r="F860" t="inlineStr"/>
      <c r="G860" t="inlineStr"/>
      <c r="H860">
        <f>HYPERLINK("http://www.sigmaaldrich.com/catalog/search?term=R519278&amp;interface=All&amp;N=0&amp;mode=match%20partialmax&amp;lang=en&amp;region=US&amp;focus=product","R519278")</f>
        <v/>
      </c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c1ccc(Nc2scc(-c3cccs3)[n+]2-c2ccccc2)cc1</t>
        </is>
      </c>
      <c r="B861" t="inlineStr">
        <is>
          <t>ZINC000000406579</t>
        </is>
      </c>
      <c r="C861" t="inlineStr"/>
      <c r="D861" t="inlineStr"/>
      <c r="E861" t="inlineStr"/>
      <c r="F861" t="inlineStr"/>
      <c r="G861" t="inlineStr"/>
      <c r="H861">
        <f>HYPERLINK("http://www.sigmaaldrich.com/catalog/search?term=R443816|ALDRICH&amp;interface=All&amp;N=0&amp;mode=match%20partialmax&amp;lang=en&amp;region=US&amp;focus=product","R443816")</f>
        <v/>
      </c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CSc1ccc(NC(=O)Nc2ccc(Nc3ccccc3)cc2)cc1</t>
        </is>
      </c>
      <c r="B862" t="inlineStr">
        <is>
          <t>ZINC000000399197</t>
        </is>
      </c>
      <c r="C862" t="inlineStr"/>
      <c r="D862" t="inlineStr"/>
      <c r="E862" t="inlineStr"/>
      <c r="F862" t="inlineStr"/>
      <c r="G862" t="inlineStr"/>
      <c r="H862">
        <f>HYPERLINK("http://www.sigmaaldrich.com/catalog/search?term=S769460&amp;interface=All&amp;N=0&amp;mode=match%20partialmax&amp;lang=en&amp;region=US&amp;focus=product","S769460")</f>
        <v/>
      </c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CCOc1ccc(Nc2nc(-c3ccc(F)c(C)c3)cs2)cc1</t>
        </is>
      </c>
      <c r="B863" t="inlineStr">
        <is>
          <t>ZINC000000153563</t>
        </is>
      </c>
      <c r="C863">
        <f>HYPERLINK("http://www.combi-blocks.com/cgi-bin/find.cgi?QA-0908","QA-0908")</f>
        <v/>
      </c>
      <c r="D863">
        <f>HYPERLINK("http://www.matrixscientific.com/168713.html","168713")</f>
        <v/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CCCCCCc1ccc(Nc2ccc(CCCCCC)cc2)cc1</t>
        </is>
      </c>
      <c r="B864" t="inlineStr">
        <is>
          <t>ZINC000113023570</t>
        </is>
      </c>
      <c r="C864">
        <f>HYPERLINK("http://www.combi-blocks.com/cgi-bin/find.cgi?QV-4971","QV-4971")</f>
        <v/>
      </c>
      <c r="D864" t="inlineStr"/>
      <c r="E864" t="inlineStr"/>
      <c r="F864" t="inlineStr"/>
      <c r="G864">
        <f>HYPERLINK("http://astatechinc.com/CPSResult.php?CRNO=E10207","E10207")</f>
        <v/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COc1ccc(-c2csc(Nc3cccc4ccccc34)n2)cc1</t>
        </is>
      </c>
      <c r="B865" t="inlineStr">
        <is>
          <t>ZINC000001466415</t>
        </is>
      </c>
      <c r="C865" t="inlineStr"/>
      <c r="D865">
        <f>HYPERLINK("http://www.matrixscientific.com/168874.html","168874")</f>
        <v/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c1ccc2c(c1)Nc1ccccc1C21c2ccccc2-c2ccccc21</t>
        </is>
      </c>
      <c r="B866" t="inlineStr">
        <is>
          <t>ZINC000196063386</t>
        </is>
      </c>
      <c r="C866" t="inlineStr"/>
      <c r="D866" t="inlineStr"/>
      <c r="E866" t="inlineStr"/>
      <c r="F866" t="inlineStr"/>
      <c r="G866">
        <f>HYPERLINK("http://astatechinc.com/CPSResult.php?CRNO=C16731","C16731")</f>
        <v/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COc1ccc(Nc2ncnc3sc(-c4ccccc4)cc23)cc1</t>
        </is>
      </c>
      <c r="B867" t="inlineStr">
        <is>
          <t>ZINC000000091686</t>
        </is>
      </c>
      <c r="C867" t="inlineStr"/>
      <c r="D867" t="inlineStr"/>
      <c r="E867" t="inlineStr"/>
      <c r="F867" t="inlineStr"/>
      <c r="G867" t="inlineStr"/>
      <c r="H867">
        <f>HYPERLINK("http://www.sigmaaldrich.com/catalog/search?term=R874442&amp;interface=All&amp;N=0&amp;mode=match%20partialmax&amp;lang=en&amp;region=US&amp;focus=product","R874442")</f>
        <v/>
      </c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c1ccc(C2(c3ccccc3)c3ccccc3Nc3ccccc32)cc1</t>
        </is>
      </c>
      <c r="B868" t="inlineStr">
        <is>
          <t>ZINC000142290560</t>
        </is>
      </c>
      <c r="C868">
        <f>HYPERLINK("http://www.combi-blocks.com/cgi-bin/find.cgi?QW-1852","QW-1852")</f>
        <v/>
      </c>
      <c r="D868" t="inlineStr"/>
      <c r="E868" t="inlineStr"/>
      <c r="F868" t="inlineStr"/>
      <c r="G868">
        <f>HYPERLINK("http://astatechinc.com/CPSResult.php?CRNO=F16814","F16814")</f>
        <v/>
      </c>
      <c r="H868" t="inlineStr"/>
      <c r="I868" t="inlineStr"/>
      <c r="J868">
        <f>HYPERLINK("http://www.ambeed.com/search/Search.html?keyword=A135631","A135631")</f>
        <v/>
      </c>
      <c r="K868" t="inlineStr"/>
      <c r="L868" t="inlineStr"/>
      <c r="M868" t="inlineStr"/>
      <c r="N868" t="inlineStr"/>
    </row>
    <row r="869">
      <c r="A869" t="inlineStr">
        <is>
          <t>CC(C)(C)c1csc(Nc2ncc(C(F)(F)F)cc2Cl)n1</t>
        </is>
      </c>
      <c r="B869" t="inlineStr">
        <is>
          <t>ZINC000001385624</t>
        </is>
      </c>
      <c r="C869" t="inlineStr"/>
      <c r="D869">
        <f>HYPERLINK("http://www.matrixscientific.com/164757.html","164757")</f>
        <v/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Cc1ccc(-c2csc(Nc3cccc(C(F)(F)F)c3)n2)cc1</t>
        </is>
      </c>
      <c r="B870" t="inlineStr">
        <is>
          <t>ZINC000003953793</t>
        </is>
      </c>
      <c r="C870" t="inlineStr"/>
      <c r="D870" t="inlineStr"/>
      <c r="E870" t="inlineStr"/>
      <c r="F870" t="inlineStr"/>
      <c r="G870" t="inlineStr"/>
      <c r="H870">
        <f>HYPERLINK("http://www.sigmaaldrich.com/catalog/search?term=R669032&amp;interface=All&amp;N=0&amp;mode=match%20partialmax&amp;lang=en&amp;region=US&amp;focus=product","R669032")</f>
        <v/>
      </c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Cc1ccc(Nc2ncnc3scc(-c4ccccc4)c23)cc1C</t>
        </is>
      </c>
      <c r="B871" t="inlineStr">
        <is>
          <t>ZINC000001895270</t>
        </is>
      </c>
      <c r="C871" t="inlineStr"/>
      <c r="D871" t="inlineStr"/>
      <c r="E871" t="inlineStr"/>
      <c r="F871" t="inlineStr"/>
      <c r="G871" t="inlineStr"/>
      <c r="H871">
        <f>HYPERLINK("http://www.sigmaaldrich.com/catalog/search?term=R873748&amp;interface=All&amp;N=0&amp;mode=match%20partialmax&amp;lang=en&amp;region=US&amp;focus=product","R873748")</f>
        <v/>
      </c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Fc1ccc(-c2csc(Nc3cccc(C(F)(F)F)c3)n2)cc1</t>
        </is>
      </c>
      <c r="B872" t="inlineStr">
        <is>
          <t>ZINC000006045193</t>
        </is>
      </c>
      <c r="C872" t="inlineStr"/>
      <c r="D872" t="inlineStr"/>
      <c r="E872" t="inlineStr"/>
      <c r="F872" t="inlineStr"/>
      <c r="G872" t="inlineStr"/>
      <c r="H872">
        <f>HYPERLINK("http://www.sigmaaldrich.com/catalog/search?term=L141852&amp;interface=All&amp;N=0&amp;mode=match%20partialmax&amp;lang=en&amp;region=US&amp;focus=product","L141852")</f>
        <v/>
      </c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CC(=O)c1cccc(NC(=O)Nc2ccc(Nc3ccccc3)cc2)c1</t>
        </is>
      </c>
      <c r="B873" t="inlineStr">
        <is>
          <t>ZINC000001741659</t>
        </is>
      </c>
      <c r="C873" t="inlineStr"/>
      <c r="D873" t="inlineStr"/>
      <c r="E873" t="inlineStr"/>
      <c r="F873" t="inlineStr"/>
      <c r="G873" t="inlineStr"/>
      <c r="H873">
        <f>HYPERLINK("http://www.sigmaaldrich.com/catalog/search?term=S868884&amp;interface=All&amp;N=0&amp;mode=match%20partialmax&amp;lang=en&amp;region=US&amp;focus=product","S868884")</f>
        <v/>
      </c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COc1ccccc1NC(=O)Nc1ccc(Nc2ccccc2)cc1</t>
        </is>
      </c>
      <c r="B874" t="inlineStr">
        <is>
          <t>ZINC000000397514</t>
        </is>
      </c>
      <c r="C874" t="inlineStr"/>
      <c r="D874" t="inlineStr"/>
      <c r="E874" t="inlineStr"/>
      <c r="F874" t="inlineStr"/>
      <c r="G874" t="inlineStr"/>
      <c r="H874">
        <f>HYPERLINK("http://www.sigmaaldrich.com/catalog/search?term=S674206&amp;interface=All&amp;N=0&amp;mode=match%20partialmax&amp;lang=en&amp;region=US&amp;focus=product","S674206")</f>
        <v/>
      </c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c1ccc(Nc2ccc3c(c2)c2ccccc2n3-c2ccccc2)cc1</t>
        </is>
      </c>
      <c r="B875" t="inlineStr">
        <is>
          <t>ZINC000090751760</t>
        </is>
      </c>
      <c r="C875" t="inlineStr"/>
      <c r="D875" t="inlineStr"/>
      <c r="E875" t="inlineStr"/>
      <c r="F875" t="inlineStr"/>
      <c r="G875">
        <f>HYPERLINK("http://astatechinc.com/CPSResult.php?CRNO=C16634","C16634")</f>
        <v/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Cc1ccc(Nc2nc(-c3ccc(-c4ccccc4)cc3)cs2)cc1</t>
        </is>
      </c>
      <c r="B876" t="inlineStr">
        <is>
          <t>ZINC000002913375</t>
        </is>
      </c>
      <c r="C876" t="inlineStr"/>
      <c r="D876" t="inlineStr"/>
      <c r="E876" t="inlineStr"/>
      <c r="F876" t="inlineStr"/>
      <c r="G876" t="inlineStr"/>
      <c r="H876">
        <f>HYPERLINK("http://www.sigmaaldrich.com/catalog/search?term=R913774&amp;interface=All&amp;N=0&amp;mode=match%20partialmax&amp;lang=en&amp;region=US&amp;focus=product","R913774")</f>
        <v/>
      </c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CCCCOC(=O)c1ccccc1Nc1cccc(C(F)(F)F)c1</t>
        </is>
      </c>
      <c r="B877" t="inlineStr">
        <is>
          <t>ZINC000001542912</t>
        </is>
      </c>
      <c r="C877">
        <f>HYPERLINK("http://www.combi-blocks.com/cgi-bin/find.cgi?QJ-0497","QJ-0497")</f>
        <v/>
      </c>
      <c r="D877" t="inlineStr"/>
      <c r="E877">
        <f>HYPERLINK("https://aksci.com/item_detail.php?cat=0363AC","0363AC")</f>
        <v/>
      </c>
      <c r="F877" t="inlineStr"/>
      <c r="G877">
        <f>HYPERLINK("http://astatechinc.com/CPSResult.php?CRNO=42099","42099")</f>
        <v/>
      </c>
      <c r="H877" t="inlineStr"/>
      <c r="I877" t="inlineStr"/>
      <c r="J877">
        <f>HYPERLINK("http://www.ambeed.com/search/Search.html?keyword=A149524","A149524")</f>
        <v/>
      </c>
      <c r="K877" t="inlineStr"/>
      <c r="L877" t="inlineStr"/>
      <c r="M877" t="inlineStr"/>
      <c r="N877" t="inlineStr"/>
    </row>
    <row r="878">
      <c r="A878" t="inlineStr">
        <is>
          <t>c1ccc(-c2ccc(Nc3cccc4c3oc3ccccc34)cc2)cc1</t>
        </is>
      </c>
      <c r="B878" t="inlineStr">
        <is>
          <t>ZINC000208678067</t>
        </is>
      </c>
      <c r="C878" t="inlineStr"/>
      <c r="D878" t="inlineStr"/>
      <c r="E878" t="inlineStr"/>
      <c r="F878" t="inlineStr"/>
      <c r="G878">
        <f>HYPERLINK("http://astatechinc.com/CPSResult.php?CRNO=F18795","F18795")</f>
        <v/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CC1(C)c2ccccc2-c2ccc(Nc3ccc4ccccc4c3)cc21</t>
        </is>
      </c>
      <c r="B879" t="inlineStr">
        <is>
          <t>ZINC000142782673</t>
        </is>
      </c>
      <c r="C879" t="inlineStr"/>
      <c r="D879" t="inlineStr"/>
      <c r="E879" t="inlineStr"/>
      <c r="F879" t="inlineStr"/>
      <c r="G879">
        <f>HYPERLINK("http://astatechinc.com/CPSResult.php?CRNO=F18786","F18786")</f>
        <v/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Cc1cc(Nc2ccc3ccccc3c2)nc2ccc3ccccc3c12</t>
        </is>
      </c>
      <c r="B880" t="inlineStr">
        <is>
          <t>ZINC000003132414</t>
        </is>
      </c>
      <c r="C880" t="inlineStr"/>
      <c r="D880" t="inlineStr"/>
      <c r="E880" t="inlineStr"/>
      <c r="F880" t="inlineStr"/>
      <c r="G880" t="inlineStr"/>
      <c r="H880">
        <f>HYPERLINK("http://www.sigmaaldrich.com/catalog/search?term=S309265&amp;interface=All&amp;N=0&amp;mode=match%20partialmax&amp;lang=en&amp;region=US&amp;focus=product","S309265")</f>
        <v/>
      </c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COc1ccc(Nc2c3ccccc3nc3ccccc23)cc1OC</t>
        </is>
      </c>
      <c r="B881" t="inlineStr">
        <is>
          <t>ZINC000096028090</t>
        </is>
      </c>
      <c r="C881" t="inlineStr"/>
      <c r="D881" t="inlineStr"/>
      <c r="E881" t="inlineStr"/>
      <c r="F881" t="inlineStr"/>
      <c r="G881" t="inlineStr"/>
      <c r="H881">
        <f>HYPERLINK("http://www.sigmaaldrich.com/catalog/search?term=PH013952&amp;interface=All&amp;N=0&amp;mode=match%20partialmax&amp;lang=en&amp;region=US&amp;focus=product","PH013952")</f>
        <v/>
      </c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CCOC(=O)c1ccccc1Nc1c2ccccc2nc2ccccc12</t>
        </is>
      </c>
      <c r="B882" t="inlineStr">
        <is>
          <t>ZINC000006418394</t>
        </is>
      </c>
      <c r="C882" t="inlineStr"/>
      <c r="D882" t="inlineStr"/>
      <c r="E882" t="inlineStr"/>
      <c r="F882" t="inlineStr"/>
      <c r="G882" t="inlineStr"/>
      <c r="H882">
        <f>HYPERLINK("http://www.sigmaaldrich.com/catalog/search?term=L139696&amp;interface=All&amp;N=0&amp;mode=match%20partialmax&amp;lang=en&amp;region=US&amp;focus=product","L139696")</f>
        <v/>
      </c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COc1ccc(/C=N/c2ccc(Nc3ccccc3)cc2)cc1OC</t>
        </is>
      </c>
      <c r="B883" t="inlineStr">
        <is>
          <t>ZINC000000286722</t>
        </is>
      </c>
      <c r="C883" t="inlineStr"/>
      <c r="D883" t="inlineStr"/>
      <c r="E883" t="inlineStr"/>
      <c r="F883" t="inlineStr"/>
      <c r="G883" t="inlineStr"/>
      <c r="H883">
        <f>HYPERLINK("http://www.sigmaaldrich.com/catalog/search?term=S696587&amp;interface=All&amp;N=0&amp;mode=match%20partialmax&amp;lang=en&amp;region=US&amp;focus=product","S696587")</f>
        <v/>
      </c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CC(C)c1cc(Nc2ccc(F)cc2)n2c(nc3ccccc32)c1C#N</t>
        </is>
      </c>
      <c r="B884" t="inlineStr">
        <is>
          <t>ZINC000001467933</t>
        </is>
      </c>
      <c r="C884" t="inlineStr"/>
      <c r="D884" t="inlineStr"/>
      <c r="E884" t="inlineStr"/>
      <c r="F884" t="inlineStr"/>
      <c r="G884" t="inlineStr"/>
      <c r="H884">
        <f>HYPERLINK("http://www.sigmaaldrich.com/catalog/search?term=L184500&amp;interface=All&amp;N=0&amp;mode=match%20partialmax&amp;lang=en&amp;region=US&amp;focus=product","L184500")</f>
        <v/>
      </c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CCc1c(C)c(C#N)c2nc3ccccc3n2c1Nc1cccc(C)c1</t>
        </is>
      </c>
      <c r="B885" t="inlineStr">
        <is>
          <t>ZINC000000045600</t>
        </is>
      </c>
      <c r="C885" t="inlineStr"/>
      <c r="D885" t="inlineStr"/>
      <c r="E885" t="inlineStr"/>
      <c r="F885" t="inlineStr"/>
      <c r="G885" t="inlineStr"/>
      <c r="H885">
        <f>HYPERLINK("http://www.sigmaaldrich.com/catalog/search?term=R142026&amp;interface=All&amp;N=0&amp;mode=match%20partialmax&amp;lang=en&amp;region=US&amp;focus=product","R142026")</f>
        <v/>
      </c>
      <c r="I885" t="inlineStr"/>
      <c r="J885" t="inlineStr"/>
      <c r="K885" t="inlineStr"/>
      <c r="L885" t="inlineStr"/>
      <c r="M885" t="inlineStr"/>
      <c r="N885" t="inlineStr"/>
    </row>
    <row r="886">
      <c r="A886" t="inlineStr">
        <is>
          <t>Cc1cc(Nc2ccc(C(C)C)cc2)n2c(nc3ccccc32)c1C#N</t>
        </is>
      </c>
      <c r="B886" t="inlineStr">
        <is>
          <t>ZINC000001455311</t>
        </is>
      </c>
      <c r="C886" t="inlineStr"/>
      <c r="D886" t="inlineStr"/>
      <c r="E886" t="inlineStr"/>
      <c r="F886" t="inlineStr"/>
      <c r="G886" t="inlineStr"/>
      <c r="H886">
        <f>HYPERLINK("http://www.sigmaaldrich.com/catalog/search?term=L183148&amp;interface=All&amp;N=0&amp;mode=match%20partialmax&amp;lang=en&amp;region=US&amp;focus=product","L183148")</f>
        <v/>
      </c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Cc1ccc(Nc2cc(C)c(C#N)c3nc4ccccc4n23)cc1C</t>
        </is>
      </c>
      <c r="B887" t="inlineStr">
        <is>
          <t>ZINC000001256005</t>
        </is>
      </c>
      <c r="C887" t="inlineStr"/>
      <c r="D887" t="inlineStr"/>
      <c r="E887" t="inlineStr"/>
      <c r="F887" t="inlineStr"/>
      <c r="G887" t="inlineStr"/>
      <c r="H887">
        <f>HYPERLINK("http://www.sigmaaldrich.com/catalog/search?term=R473359&amp;interface=All&amp;N=0&amp;mode=match%20partialmax&amp;lang=en&amp;region=US&amp;focus=product","R473359")</f>
        <v/>
      </c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Cn1c(=O)c2c(nc(Nc3ccccc3)n2Cc2ccccc2)n(C)c1=O</t>
        </is>
      </c>
      <c r="B888" t="inlineStr">
        <is>
          <t>ZINC000000638030</t>
        </is>
      </c>
      <c r="C888" t="inlineStr"/>
      <c r="D888" t="inlineStr"/>
      <c r="E888" t="inlineStr"/>
      <c r="F888" t="inlineStr"/>
      <c r="G888" t="inlineStr"/>
      <c r="H888">
        <f>HYPERLINK("http://www.sigmaaldrich.com/catalog/search?term=R143286&amp;interface=All&amp;N=0&amp;mode=match%20partialmax&amp;lang=en&amp;region=US&amp;focus=product","R143286")</f>
        <v/>
      </c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C/C(Cl)=C\Cn1c(Nc2ccccc2)nc2c1c(=O)n(C)c(=O)n2C</t>
        </is>
      </c>
      <c r="B889" t="inlineStr">
        <is>
          <t>ZINC000013123922</t>
        </is>
      </c>
      <c r="C889" t="inlineStr"/>
      <c r="D889" t="inlineStr"/>
      <c r="E889" t="inlineStr"/>
      <c r="F889" t="inlineStr"/>
      <c r="G889" t="inlineStr"/>
      <c r="H889">
        <f>HYPERLINK("http://www.sigmaaldrich.com/catalog/search?term=L215872&amp;interface=All&amp;N=0&amp;mode=match%20partialmax&amp;lang=en&amp;region=US&amp;focus=product","L215872")</f>
        <v/>
      </c>
      <c r="I889" t="inlineStr"/>
      <c r="J889" t="inlineStr"/>
      <c r="K889" t="inlineStr"/>
      <c r="L889" t="inlineStr"/>
      <c r="M889" t="inlineStr"/>
      <c r="N889" t="inlineStr"/>
    </row>
    <row r="890">
      <c r="A890" t="inlineStr">
        <is>
          <t>C#Cc1cccc(Nc2ncnc3cc(OCCO)c(OCCO)cc23)c1</t>
        </is>
      </c>
      <c r="B890" t="inlineStr">
        <is>
          <t>ZINC000022057163</t>
        </is>
      </c>
      <c r="C890" t="inlineStr"/>
      <c r="D890" t="inlineStr"/>
      <c r="E890" t="inlineStr"/>
      <c r="F890" t="inlineStr"/>
      <c r="G890">
        <f>HYPERLINK("http://astatechinc.com/CPSResult.php?CRNO=43264","43264")</f>
        <v/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C/C(Cl)=C/Cn1c(Nc2cccc(C)c2)nc2c1c(=O)n(C)c(=O)n2C</t>
        </is>
      </c>
      <c r="B891" t="inlineStr">
        <is>
          <t>ZINC000013471231</t>
        </is>
      </c>
      <c r="C891" t="inlineStr"/>
      <c r="D891" t="inlineStr"/>
      <c r="E891" t="inlineStr"/>
      <c r="F891" t="inlineStr"/>
      <c r="G891" t="inlineStr"/>
      <c r="H891">
        <f>HYPERLINK("http://www.sigmaaldrich.com/catalog/search?term=L216011&amp;interface=All&amp;N=0&amp;mode=match%20partialmax&amp;lang=en&amp;region=US&amp;focus=product","L216011")</f>
        <v/>
      </c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CCOC(=O)c1cnc(Nc2nc(-c3ccc(OC)cc3)cs2)[nH]c1=O</t>
        </is>
      </c>
      <c r="B892" t="inlineStr">
        <is>
          <t>ZINC000001384546</t>
        </is>
      </c>
      <c r="C892" t="inlineStr"/>
      <c r="D892">
        <f>HYPERLINK("http://www.matrixscientific.com/164639.html","164639")</f>
        <v/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COc1ccccc1Nc1nn2c(=O)c3ccc(C(=O)O)cc3nc2s1</t>
        </is>
      </c>
      <c r="B893" t="inlineStr">
        <is>
          <t>ZINC000071289363</t>
        </is>
      </c>
      <c r="C893" t="inlineStr"/>
      <c r="D893" t="inlineStr"/>
      <c r="E893">
        <f>HYPERLINK("https://aksci.com/item_detail.php?cat=HTS027937","HTS027937")</f>
        <v/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C/C(Cl)=C\Cn1c(Nc2ccc(C)cc2)nc2c1c(=O)n(C)c(=O)n2C</t>
        </is>
      </c>
      <c r="B894" t="inlineStr">
        <is>
          <t>ZINC000000801691</t>
        </is>
      </c>
      <c r="C894" t="inlineStr"/>
      <c r="D894" t="inlineStr"/>
      <c r="E894" t="inlineStr"/>
      <c r="F894" t="inlineStr"/>
      <c r="G894" t="inlineStr"/>
      <c r="H894">
        <f>HYPERLINK("http://www.sigmaaldrich.com/catalog/search?term=L215910&amp;interface=All&amp;N=0&amp;mode=match%20partialmax&amp;lang=en&amp;region=US&amp;focus=product","L215910")</f>
        <v/>
      </c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Cc1ccccc1Nc1nn2c(=O)c3ccc(C(=O)O)cc3nc2s1</t>
        </is>
      </c>
      <c r="B895" t="inlineStr">
        <is>
          <t>ZINC000071289361</t>
        </is>
      </c>
      <c r="C895" t="inlineStr"/>
      <c r="D895" t="inlineStr"/>
      <c r="E895">
        <f>HYPERLINK("https://aksci.com/item_detail.php?cat=HTS027935","HTS027935")</f>
        <v/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CCc1ccccc1Nc1nn2c(=O)c3ccc(C(=O)O)cc3nc2s1</t>
        </is>
      </c>
      <c r="B896" t="inlineStr">
        <is>
          <t>ZINC000071289359</t>
        </is>
      </c>
      <c r="C896" t="inlineStr"/>
      <c r="D896" t="inlineStr"/>
      <c r="E896">
        <f>HYPERLINK("https://aksci.com/item_detail.php?cat=HTS027936","HTS027936")</f>
        <v/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Cc1ncc(-c2ccnc(Nc3ccc(S(C)(=O)=O)cc3)n2)n1C(C)C</t>
        </is>
      </c>
      <c r="B897" t="inlineStr">
        <is>
          <t>ZINC000040442496</t>
        </is>
      </c>
      <c r="C897" t="inlineStr"/>
      <c r="D897">
        <f>HYPERLINK("http://www.matrixscientific.com/147290.html","147290")</f>
        <v/>
      </c>
      <c r="E897">
        <f>HYPERLINK("https://aksci.com/item_detail.php?cat=X7441","X7441")</f>
        <v/>
      </c>
      <c r="F897" t="inlineStr"/>
      <c r="G897">
        <f>HYPERLINK("http://astatechinc.com/CPSResult.php?CRNO=40668","40668")</f>
        <v/>
      </c>
      <c r="H897" t="inlineStr"/>
      <c r="I897" t="inlineStr"/>
      <c r="J897" t="inlineStr"/>
      <c r="K897" t="inlineStr"/>
      <c r="L897">
        <f>HYPERLINK("http://www.achemblock.com/catalogsearch/result/?q=10279","10279")</f>
        <v/>
      </c>
      <c r="M897" t="inlineStr"/>
      <c r="N897" t="inlineStr"/>
    </row>
    <row r="898">
      <c r="A898" t="inlineStr">
        <is>
          <t>COCCOc1cc2ncnc(Nc3ccccc3)c2cc1OCCOC</t>
        </is>
      </c>
      <c r="B898" t="inlineStr">
        <is>
          <t>ZINC000202544442</t>
        </is>
      </c>
      <c r="C898">
        <f>HYPERLINK("http://www.combi-blocks.com/cgi-bin/find.cgi?QV-9106","QV-9106")</f>
        <v/>
      </c>
      <c r="D898" t="inlineStr"/>
      <c r="E898" t="inlineStr"/>
      <c r="F898" t="inlineStr"/>
      <c r="G898">
        <f>HYPERLINK("http://astatechinc.com/CPSResult.php?CRNO=V10170","V10170")</f>
        <v/>
      </c>
      <c r="H898">
        <f>HYPERLINK("http://www.sigmaaldrich.com/catalog/search?term=VBP00237&amp;interface=All&amp;N=0&amp;mode=match%20partialmax&amp;lang=en&amp;region=US&amp;focus=product","VBP00237")</f>
        <v/>
      </c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O=c1c(/C=N/Cc2cccnc2)c(Nc2ccccc2)nc2ccccn12</t>
        </is>
      </c>
      <c r="B899" t="inlineStr">
        <is>
          <t>ZINC000002294598</t>
        </is>
      </c>
      <c r="C899" t="inlineStr"/>
      <c r="D899" t="inlineStr"/>
      <c r="E899" t="inlineStr"/>
      <c r="F899" t="inlineStr"/>
      <c r="G899" t="inlineStr"/>
      <c r="H899">
        <f>HYPERLINK("http://www.sigmaaldrich.com/catalog/search?term=R799165&amp;interface=All&amp;N=0&amp;mode=match%20partialmax&amp;lang=en&amp;region=US&amp;focus=product","R799165")</f>
        <v/>
      </c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CSc1nc(Nc2cccc(F)c2)c2nnn(-c3cccc(F)c3)c2n1</t>
        </is>
      </c>
      <c r="B900" t="inlineStr">
        <is>
          <t>ZINC000096190113</t>
        </is>
      </c>
      <c r="C900" t="inlineStr"/>
      <c r="D900">
        <f>HYPERLINK("http://www.matrixscientific.com/163529.html","163529")</f>
        <v/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CCOC(=O)c1sc2ncnc(Nc3cccc(C(=O)O)c3)c2c1C</t>
        </is>
      </c>
      <c r="B901" t="inlineStr">
        <is>
          <t>ZINC000000938150</t>
        </is>
      </c>
      <c r="C901" t="inlineStr"/>
      <c r="D901" t="inlineStr"/>
      <c r="E901" t="inlineStr"/>
      <c r="F901" t="inlineStr"/>
      <c r="G901" t="inlineStr"/>
      <c r="H901">
        <f>HYPERLINK("http://www.sigmaaldrich.com/catalog/search?term=OTV000548&amp;interface=All&amp;N=0&amp;mode=match%20partialmax&amp;lang=en&amp;region=US&amp;focus=product","OTV000548")</f>
        <v/>
      </c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>O=C(OCCOCCO)c1ccccc1Nc1cccc(C(F)(F)F)c1</t>
        </is>
      </c>
      <c r="B902" t="inlineStr">
        <is>
          <t>ZINC000002034516</t>
        </is>
      </c>
      <c r="C902">
        <f>HYPERLINK("http://www.combi-blocks.com/cgi-bin/find.cgi?QJ-2969","QJ-2969")</f>
        <v/>
      </c>
      <c r="D902" t="inlineStr"/>
      <c r="E902">
        <f>HYPERLINK("https://aksci.com/item_detail.php?cat=3661AH","3661AH")</f>
        <v/>
      </c>
      <c r="F902" t="inlineStr"/>
      <c r="G902">
        <f>HYPERLINK("http://astatechinc.com/CPSResult.php?CRNO=41258","41258")</f>
        <v/>
      </c>
      <c r="H902" t="inlineStr"/>
      <c r="I902" t="inlineStr"/>
      <c r="J902" t="inlineStr"/>
      <c r="K902" t="inlineStr"/>
      <c r="L902">
        <f>HYPERLINK("http://www.achemblock.com/catalogsearch/result/?q=O33962","O33962")</f>
        <v/>
      </c>
      <c r="M902" t="inlineStr"/>
      <c r="N902" t="inlineStr"/>
    </row>
    <row r="903">
      <c r="A903" t="inlineStr">
        <is>
          <t>c1ccc(-c2noc(-c3cncnc3Nc3ccc4c(c3)OCCO4)n2)cc1</t>
        </is>
      </c>
      <c r="B903" t="inlineStr">
        <is>
          <t>ZINC000169775534</t>
        </is>
      </c>
      <c r="C903" t="inlineStr"/>
      <c r="D903" t="inlineStr"/>
      <c r="E903">
        <f>HYPERLINK("https://aksci.com/item_detail.php?cat=HTS024866","HTS024866")</f>
        <v/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Cc1nn(C)c2nc3ccccc3c(Nc3ccc(S(C)(=O)=O)cc3)c12</t>
        </is>
      </c>
      <c r="B904" t="inlineStr">
        <is>
          <t>ZINC000000632768</t>
        </is>
      </c>
      <c r="C904" t="inlineStr"/>
      <c r="D904" t="inlineStr"/>
      <c r="E904" t="inlineStr"/>
      <c r="F904" t="inlineStr"/>
      <c r="G904" t="inlineStr"/>
      <c r="H904">
        <f>HYPERLINK("http://www.sigmaaldrich.com/catalog/search?term=R545988&amp;interface=All&amp;N=0&amp;mode=match%20partialmax&amp;lang=en&amp;region=US&amp;focus=product","R545988")</f>
        <v/>
      </c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c1ccc(-c2noc(-c3cncnc3Nc3ccc4c(c3)OCO4)n2)cc1</t>
        </is>
      </c>
      <c r="B905" t="inlineStr">
        <is>
          <t>ZINC000169775515</t>
        </is>
      </c>
      <c r="C905" t="inlineStr"/>
      <c r="D905" t="inlineStr"/>
      <c r="E905">
        <f>HYPERLINK("https://aksci.com/item_detail.php?cat=HTS024857","HTS024857")</f>
        <v/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>
        <is>
          <t>COc1ccc(Nc2c3ccccc3nc3c2c(C)nn3C)cc1C(=O)O</t>
        </is>
      </c>
      <c r="B906" t="inlineStr">
        <is>
          <t>ZINC000004517639</t>
        </is>
      </c>
      <c r="C906" t="inlineStr"/>
      <c r="D906" t="inlineStr"/>
      <c r="E906" t="inlineStr"/>
      <c r="F906" t="inlineStr"/>
      <c r="G906" t="inlineStr"/>
      <c r="H906">
        <f>HYPERLINK("http://www.sigmaaldrich.com/catalog/search?term=L100439&amp;interface=All&amp;N=0&amp;mode=match%20partialmax&amp;lang=en&amp;region=US&amp;focus=product","L100439")</f>
        <v/>
      </c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COc1ccc(Nc2nc(Cl)nc3c2cnn3-c2ccccc2)cc1</t>
        </is>
      </c>
      <c r="B907" t="inlineStr">
        <is>
          <t>ZINC000016837604</t>
        </is>
      </c>
      <c r="C907" t="inlineStr"/>
      <c r="D907">
        <f>HYPERLINK("http://www.matrixscientific.com/136636.html","136636")</f>
        <v/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COc1ccc(Nc2ncncc2-c2nc(-c3ccccc3)no2)cc1F</t>
        </is>
      </c>
      <c r="B908" t="inlineStr">
        <is>
          <t>ZINC000169775690</t>
        </is>
      </c>
      <c r="C908" t="inlineStr"/>
      <c r="D908" t="inlineStr"/>
      <c r="E908">
        <f>HYPERLINK("https://aksci.com/item_detail.php?cat=HTS024924","HTS024924")</f>
        <v/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COc1ccc(-c2nnc(Nc3nc4c(OC)cccc4s3)o2)cc1</t>
        </is>
      </c>
      <c r="B909" t="inlineStr">
        <is>
          <t>ZINC000004119217</t>
        </is>
      </c>
      <c r="C909" t="inlineStr"/>
      <c r="D909">
        <f>HYPERLINK("http://www.matrixscientific.com/135642.html","135642")</f>
        <v/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>
        <is>
          <t>CCOC(=O)c1sc(Nc2ccc(C(C)=O)cc2)nc1C(F)(F)F</t>
        </is>
      </c>
      <c r="B910" t="inlineStr">
        <is>
          <t>ZINC000012394444</t>
        </is>
      </c>
      <c r="C910" t="inlineStr"/>
      <c r="D910" t="inlineStr"/>
      <c r="E910" t="inlineStr"/>
      <c r="F910">
        <f>HYPERLINK("https://www.enaminestore.com/catalog/EN300-230735","EN300-230735")</f>
        <v/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Cc1csc(Nc2nccc(-c3sc(-c4cccnc4)nc3C)n2)n1</t>
        </is>
      </c>
      <c r="B911" t="inlineStr">
        <is>
          <t>ZINC000221596269</t>
        </is>
      </c>
      <c r="C911" t="inlineStr"/>
      <c r="D911">
        <f>HYPERLINK("http://www.matrixscientific.com/166256.html","166256")</f>
        <v/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CCOC(=O)c1cnc2ccc(OC)cc2c1Nc1ccc(OC)cc1</t>
        </is>
      </c>
      <c r="B912" t="inlineStr">
        <is>
          <t>ZINC000000948631</t>
        </is>
      </c>
      <c r="C912" t="inlineStr"/>
      <c r="D912">
        <f>HYPERLINK("http://www.matrixscientific.com/169659.html","169659")</f>
        <v/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CCOC(=O)c1cnc(SC)nc1Nc1ccc(OC(F)(F)F)cc1</t>
        </is>
      </c>
      <c r="B913" t="inlineStr">
        <is>
          <t>ZINC000001398539</t>
        </is>
      </c>
      <c r="C913" t="inlineStr"/>
      <c r="D913">
        <f>HYPERLINK("http://www.matrixscientific.com/166608.html","166608")</f>
        <v/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CCOC(=O)c1cnc(SC)nc1Nc1ccc(C(F)(F)F)cc1</t>
        </is>
      </c>
      <c r="B914" t="inlineStr">
        <is>
          <t>ZINC000001398537</t>
        </is>
      </c>
      <c r="C914" t="inlineStr"/>
      <c r="D914">
        <f>HYPERLINK("http://www.matrixscientific.com/166607.html","166607")</f>
        <v/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CCOC(=O)Cc1ccc(Nc2c3ccccc3nc3c2c(C)nn3C)cc1</t>
        </is>
      </c>
      <c r="B915" t="inlineStr">
        <is>
          <t>ZINC000000622379</t>
        </is>
      </c>
      <c r="C915" t="inlineStr"/>
      <c r="D915" t="inlineStr"/>
      <c r="E915" t="inlineStr"/>
      <c r="F915" t="inlineStr"/>
      <c r="G915" t="inlineStr"/>
      <c r="H915">
        <f>HYPERLINK("http://www.sigmaaldrich.com/catalog/search?term=L100420&amp;interface=All&amp;N=0&amp;mode=match%20partialmax&amp;lang=en&amp;region=US&amp;focus=product","L100420")</f>
        <v/>
      </c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CCOc1ccc(Nc2ncncc2-c2nc(-c3ccccc3)no2)cc1</t>
        </is>
      </c>
      <c r="B916" t="inlineStr">
        <is>
          <t>ZINC000169775686</t>
        </is>
      </c>
      <c r="C916" t="inlineStr"/>
      <c r="D916" t="inlineStr"/>
      <c r="E916">
        <f>HYPERLINK("https://aksci.com/item_detail.php?cat=HTS024918","HTS024918")</f>
        <v/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COC(=O)c1cc(Nc2cc(OC)ccc2OC)c2cc(C)ccc2n1</t>
        </is>
      </c>
      <c r="B917" t="inlineStr">
        <is>
          <t>ZINC000065033574</t>
        </is>
      </c>
      <c r="C917" t="inlineStr"/>
      <c r="D917" t="inlineStr"/>
      <c r="E917">
        <f>HYPERLINK("https://aksci.com/item_detail.php?cat=HTS015584","HTS015584")</f>
        <v/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COC(=O)c1ccccc1Nc1cc(C(C)C)n(-c2ccccc2)c(=O)c1</t>
        </is>
      </c>
      <c r="B918" t="inlineStr">
        <is>
          <t>ZINC000584907005</t>
        </is>
      </c>
      <c r="C918" t="inlineStr"/>
      <c r="D918" t="inlineStr"/>
      <c r="E918" t="inlineStr"/>
      <c r="F918" t="inlineStr"/>
      <c r="G918">
        <f>HYPERLINK("http://astatechinc.com/CPSResult.php?CRNO=F52251","F52251")</f>
        <v/>
      </c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Cc1ccccc1Nc1c(C(=O)O)ccc2c1C(=O)c1ccccc1C2=O</t>
        </is>
      </c>
      <c r="B919" t="inlineStr">
        <is>
          <t>ZINC000004774652</t>
        </is>
      </c>
      <c r="C919" t="inlineStr"/>
      <c r="D919" t="inlineStr"/>
      <c r="E919" t="inlineStr"/>
      <c r="F919" t="inlineStr"/>
      <c r="G919" t="inlineStr"/>
      <c r="H919">
        <f>HYPERLINK("http://www.sigmaaldrich.com/catalog/search?term=S926973&amp;interface=All&amp;N=0&amp;mode=match%20partialmax&amp;lang=en&amp;region=US&amp;focus=product","S926973")</f>
        <v/>
      </c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CC1(C)OB(c2ccc(Nc3nc4ccccc4s3)cc2)OC1(C)C</t>
        </is>
      </c>
      <c r="B920" t="inlineStr">
        <is>
          <t>ZINC000169984026</t>
        </is>
      </c>
      <c r="C920" t="inlineStr"/>
      <c r="D920">
        <f>HYPERLINK("http://www.matrixscientific.com/096749.html","096749")</f>
        <v/>
      </c>
      <c r="E920">
        <f>HYPERLINK("https://aksci.com/item_detail.php?cat=3775AB","3775AB")</f>
        <v/>
      </c>
      <c r="F920" t="inlineStr"/>
      <c r="G920">
        <f>HYPERLINK("http://astatechinc.com/CPSResult.php?CRNO=C74691","C74691")</f>
        <v/>
      </c>
      <c r="H920" t="inlineStr"/>
      <c r="I920" t="inlineStr"/>
      <c r="J920">
        <f>HYPERLINK("http://www.ambeed.com/search/Search.html?keyword=A149242","A149242")</f>
        <v/>
      </c>
      <c r="K920" t="inlineStr"/>
      <c r="L920" t="inlineStr"/>
      <c r="M920" t="inlineStr"/>
      <c r="N920" t="inlineStr"/>
    </row>
    <row r="921">
      <c r="A921" t="inlineStr">
        <is>
          <t>Cc1ccc(Nc2nc3ccccn3c(=O)c2/C=N/c2ccccc2)cc1</t>
        </is>
      </c>
      <c r="B921" t="inlineStr">
        <is>
          <t>ZINC000001241410</t>
        </is>
      </c>
      <c r="C921" t="inlineStr"/>
      <c r="D921" t="inlineStr"/>
      <c r="E921" t="inlineStr"/>
      <c r="F921" t="inlineStr"/>
      <c r="G921" t="inlineStr"/>
      <c r="H921">
        <f>HYPERLINK("http://www.sigmaaldrich.com/catalog/search?term=R795631&amp;interface=All&amp;N=0&amp;mode=match%20partialmax&amp;lang=en&amp;region=US&amp;focus=product","R795631")</f>
        <v/>
      </c>
      <c r="I921" t="inlineStr"/>
      <c r="J921" t="inlineStr"/>
      <c r="K921" t="inlineStr"/>
      <c r="L921" t="inlineStr"/>
      <c r="M921" t="inlineStr"/>
      <c r="N921" t="inlineStr"/>
    </row>
    <row r="922">
      <c r="A922" t="inlineStr">
        <is>
          <t>FC(F)(F)c1cc(Nc2nnnc3ccccc23)cc(C(F)(F)F)c1</t>
        </is>
      </c>
      <c r="B922" t="inlineStr">
        <is>
          <t>ZINC000001404326</t>
        </is>
      </c>
      <c r="C922" t="inlineStr"/>
      <c r="D922">
        <f>HYPERLINK("http://www.matrixscientific.com/164010.html","164010")</f>
        <v/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c1ccc(-c2cc3c(Nc4ccc5c(c4)OCCO5)ncnc3s2)cc1</t>
        </is>
      </c>
      <c r="B923" t="inlineStr">
        <is>
          <t>ZINC000000632050</t>
        </is>
      </c>
      <c r="C923" t="inlineStr"/>
      <c r="D923" t="inlineStr"/>
      <c r="E923" t="inlineStr"/>
      <c r="F923" t="inlineStr"/>
      <c r="G923" t="inlineStr"/>
      <c r="H923">
        <f>HYPERLINK("http://www.sigmaaldrich.com/catalog/search?term=R874221&amp;interface=All&amp;N=0&amp;mode=match%20partialmax&amp;lang=en&amp;region=US&amp;focus=product","R874221")</f>
        <v/>
      </c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CSc1ccc(Nc2ncncc2-c2nc(-c3ccccc3)no2)cc1</t>
        </is>
      </c>
      <c r="B924" t="inlineStr">
        <is>
          <t>ZINC000169775680</t>
        </is>
      </c>
      <c r="C924" t="inlineStr"/>
      <c r="D924" t="inlineStr"/>
      <c r="E924">
        <f>HYPERLINK("https://aksci.com/item_detail.php?cat=HTS024915","HTS024915")</f>
        <v/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COc1ccc(-c2nc(Nc3ccccc3)s[n+]2-c2ccccc2)cc1</t>
        </is>
      </c>
      <c r="B925" t="inlineStr">
        <is>
          <t>ZINC000002686646</t>
        </is>
      </c>
      <c r="C925" t="inlineStr"/>
      <c r="D925" t="inlineStr"/>
      <c r="E925" t="inlineStr"/>
      <c r="F925" t="inlineStr"/>
      <c r="G925" t="inlineStr"/>
      <c r="H925">
        <f>HYPERLINK("http://www.sigmaaldrich.com/catalog/search?term=R635537|ALDRICH&amp;interface=All&amp;N=0&amp;mode=match%20partialmax&amp;lang=en&amp;region=US&amp;focus=product","R635537")</f>
        <v/>
      </c>
      <c r="I925" t="inlineStr"/>
      <c r="J925" t="inlineStr"/>
      <c r="K925" t="inlineStr"/>
      <c r="L925" t="inlineStr"/>
      <c r="M925" t="inlineStr"/>
      <c r="N925" t="inlineStr"/>
    </row>
    <row r="926">
      <c r="A926" t="inlineStr">
        <is>
          <t>CCOc1ccc(Nc2nc(-c3c(C)nc4ccccn34)cs2)cc1</t>
        </is>
      </c>
      <c r="B926" t="inlineStr">
        <is>
          <t>ZINC000000755692</t>
        </is>
      </c>
      <c r="C926" t="inlineStr"/>
      <c r="D926">
        <f>HYPERLINK("http://www.matrixscientific.com/095134.html","095134")</f>
        <v/>
      </c>
      <c r="E926">
        <f>HYPERLINK("https://aksci.com/item_detail.php?cat=3425AB","3425AB")</f>
        <v/>
      </c>
      <c r="F926" t="inlineStr"/>
      <c r="G926">
        <f>HYPERLINK("http://astatechinc.com/CPSResult.php?CRNO=40724","40724")</f>
        <v/>
      </c>
      <c r="H926" t="inlineStr"/>
      <c r="I926" t="inlineStr"/>
      <c r="J926" t="inlineStr"/>
      <c r="K926" t="inlineStr"/>
      <c r="L926">
        <f>HYPERLINK("http://www.achemblock.com/catalogsearch/result/?q=P51724","P51724")</f>
        <v/>
      </c>
      <c r="M926" t="inlineStr"/>
      <c r="N926" t="inlineStr"/>
    </row>
    <row r="927">
      <c r="A927" t="inlineStr">
        <is>
          <t>Fc1ccccc1-c1nnc2c3ccccc3nc(Nc3ccccc3)n12</t>
        </is>
      </c>
      <c r="B927" t="inlineStr">
        <is>
          <t>ZINC000003063660</t>
        </is>
      </c>
      <c r="C927" t="inlineStr"/>
      <c r="D927">
        <f>HYPERLINK("http://www.matrixscientific.com/167289.html","167289")</f>
        <v/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CSc1cccc(Nc2ncncc2-c2nc(-c3ccccc3)no2)c1</t>
        </is>
      </c>
      <c r="B928" t="inlineStr">
        <is>
          <t>ZINC000169775673</t>
        </is>
      </c>
      <c r="C928" t="inlineStr"/>
      <c r="D928" t="inlineStr"/>
      <c r="E928">
        <f>HYPERLINK("https://aksci.com/item_detail.php?cat=HTS024911","HTS024911")</f>
        <v/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Fc1ccc(Nc2nc(Cl)nc(Cl)c2Br)c(F)c1</t>
        </is>
      </c>
      <c r="B929" t="inlineStr">
        <is>
          <t>ZINC000710625604</t>
        </is>
      </c>
      <c r="C929" t="inlineStr"/>
      <c r="D929" t="inlineStr"/>
      <c r="E929" t="inlineStr"/>
      <c r="F929" t="inlineStr"/>
      <c r="G929">
        <f>HYPERLINK("http://astatechinc.com/CPSResult.php?CRNO=AC5607","AC5607")</f>
        <v/>
      </c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inlineStr">
        <is>
          <t>Fc1ccc(Nc2nc(Cl)nc(Cl)c2Br)cc1F</t>
        </is>
      </c>
      <c r="B930" t="inlineStr">
        <is>
          <t>ZINC000710627087</t>
        </is>
      </c>
      <c r="C930" t="inlineStr"/>
      <c r="D930" t="inlineStr"/>
      <c r="E930" t="inlineStr"/>
      <c r="F930" t="inlineStr"/>
      <c r="G930">
        <f>HYPERLINK("http://astatechinc.com/CPSResult.php?CRNO=AC5605","AC5605")</f>
        <v/>
      </c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Cc1ccc(Nc2ccc3c4c(cc(=O)n3C)-c3ccccc3C(=O)c24)cc1</t>
        </is>
      </c>
      <c r="B931" t="inlineStr">
        <is>
          <t>ZINC000001318589</t>
        </is>
      </c>
      <c r="C931" t="inlineStr"/>
      <c r="D931" t="inlineStr"/>
      <c r="E931">
        <f>HYPERLINK("https://aksci.com/item_detail.php?cat=J10831","J10831")</f>
        <v/>
      </c>
      <c r="F931" t="inlineStr"/>
      <c r="G931" t="inlineStr"/>
      <c r="H931">
        <f>HYPERLINK("http://www.sigmaaldrich.com/catalog/search?term=PH002011&amp;interface=All&amp;N=0&amp;mode=match%20partialmax&amp;lang=en&amp;region=US&amp;focus=product","PH002011")</f>
        <v/>
      </c>
      <c r="I931" t="inlineStr"/>
      <c r="J931" t="inlineStr"/>
      <c r="K931" t="inlineStr"/>
      <c r="L931" t="inlineStr"/>
      <c r="M931" t="inlineStr"/>
      <c r="N931">
        <f>HYPERLINK("https://www.biosynth.com/en/products/life-science/other-biochemicals/products/W-109287","W-109287")</f>
        <v/>
      </c>
    </row>
    <row r="932">
      <c r="A932" t="inlineStr">
        <is>
          <t>COc1ccc(Nc2c3c(c(C#N)c4nc5ccccc5n24)CCCC3)cc1</t>
        </is>
      </c>
      <c r="B932" t="inlineStr">
        <is>
          <t>ZINC000000941788</t>
        </is>
      </c>
      <c r="C932" t="inlineStr"/>
      <c r="D932" t="inlineStr"/>
      <c r="E932" t="inlineStr"/>
      <c r="F932" t="inlineStr"/>
      <c r="G932" t="inlineStr"/>
      <c r="H932">
        <f>HYPERLINK("http://www.sigmaaldrich.com/catalog/search?term=L183806&amp;interface=All&amp;N=0&amp;mode=match%20partialmax&amp;lang=en&amp;region=US&amp;focus=product","L183806")</f>
        <v/>
      </c>
      <c r="I932" t="inlineStr"/>
      <c r="J932" t="inlineStr"/>
      <c r="K932" t="inlineStr"/>
      <c r="L932" t="inlineStr"/>
      <c r="M932" t="inlineStr"/>
      <c r="N932" t="inlineStr"/>
    </row>
    <row r="933">
      <c r="A933" t="inlineStr">
        <is>
          <t>Cc1c(CCC#N)c(Nc2ccccc2)n2c(nc3ccccc32)c1C#N</t>
        </is>
      </c>
      <c r="B933" t="inlineStr">
        <is>
          <t>ZINC000004674124</t>
        </is>
      </c>
      <c r="C933" t="inlineStr"/>
      <c r="D933" t="inlineStr"/>
      <c r="E933" t="inlineStr"/>
      <c r="F933" t="inlineStr"/>
      <c r="G933" t="inlineStr"/>
      <c r="H933">
        <f>HYPERLINK("http://www.sigmaaldrich.com/catalog/search?term=L184020&amp;interface=All&amp;N=0&amp;mode=match%20partialmax&amp;lang=en&amp;region=US&amp;focus=product","L184020")</f>
        <v/>
      </c>
      <c r="I933" t="inlineStr"/>
      <c r="J933" t="inlineStr"/>
      <c r="K933" t="inlineStr"/>
      <c r="L933" t="inlineStr"/>
      <c r="M933" t="inlineStr"/>
      <c r="N933" t="inlineStr"/>
    </row>
    <row r="934">
      <c r="A934" t="inlineStr">
        <is>
          <t>Cc1ccc(/N=C/c2c(Nc3ccc(C)cc3)nc3ccccn3c2=O)cc1</t>
        </is>
      </c>
      <c r="B934" t="inlineStr">
        <is>
          <t>ZINC000001496665</t>
        </is>
      </c>
      <c r="C934" t="inlineStr"/>
      <c r="D934" t="inlineStr"/>
      <c r="E934" t="inlineStr"/>
      <c r="F934" t="inlineStr"/>
      <c r="G934" t="inlineStr"/>
      <c r="H934">
        <f>HYPERLINK("http://www.sigmaaldrich.com/catalog/search?term=R795607&amp;interface=All&amp;N=0&amp;mode=match%20partialmax&amp;lang=en&amp;region=US&amp;focus=product","R795607")</f>
        <v/>
      </c>
      <c r="I934" t="inlineStr"/>
      <c r="J934" t="inlineStr"/>
      <c r="K934" t="inlineStr"/>
      <c r="L934" t="inlineStr"/>
      <c r="M934" t="inlineStr"/>
      <c r="N934" t="inlineStr"/>
    </row>
    <row r="935">
      <c r="A935" t="inlineStr">
        <is>
          <t>Cc1cccc(/N=C/c2c(Nc3cccc(C)c3)nc3ccccn3c2=O)c1</t>
        </is>
      </c>
      <c r="B935" t="inlineStr">
        <is>
          <t>ZINC000000911116</t>
        </is>
      </c>
      <c r="C935" t="inlineStr"/>
      <c r="D935" t="inlineStr"/>
      <c r="E935" t="inlineStr"/>
      <c r="F935" t="inlineStr"/>
      <c r="G935" t="inlineStr"/>
      <c r="H935">
        <f>HYPERLINK("http://www.sigmaaldrich.com/catalog/search?term=R799130&amp;interface=All&amp;N=0&amp;mode=match%20partialmax&amp;lang=en&amp;region=US&amp;focus=product","R799130")</f>
        <v/>
      </c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Cc1cccn2c(=O)c(/C=N/c3ccccc3)c(Nc3ccccc3F)nc12</t>
        </is>
      </c>
      <c r="B936" t="inlineStr">
        <is>
          <t>ZINC000018168513</t>
        </is>
      </c>
      <c r="C936" t="inlineStr"/>
      <c r="D936" t="inlineStr"/>
      <c r="E936" t="inlineStr"/>
      <c r="F936" t="inlineStr"/>
      <c r="G936" t="inlineStr"/>
      <c r="H936">
        <f>HYPERLINK("http://www.sigmaaldrich.com/catalog/search?term=R900281&amp;interface=All&amp;N=0&amp;mode=match%20partialmax&amp;lang=en&amp;region=US&amp;focus=product","R900281")</f>
        <v/>
      </c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CCc1c(C)c(C#N)c2nc3ccccc3n2c1Nc1cccc(OC)c1</t>
        </is>
      </c>
      <c r="B937" t="inlineStr">
        <is>
          <t>ZINC000001467892</t>
        </is>
      </c>
      <c r="C937" t="inlineStr"/>
      <c r="D937" t="inlineStr"/>
      <c r="E937" t="inlineStr"/>
      <c r="F937" t="inlineStr"/>
      <c r="G937" t="inlineStr"/>
      <c r="H937">
        <f>HYPERLINK("http://www.sigmaaldrich.com/catalog/search?term=L183296&amp;interface=All&amp;N=0&amp;mode=match%20partialmax&amp;lang=en&amp;region=US&amp;focus=product","L183296")</f>
        <v/>
      </c>
      <c r="I937" t="inlineStr"/>
      <c r="J937" t="inlineStr"/>
      <c r="K937" t="inlineStr"/>
      <c r="L937" t="inlineStr"/>
      <c r="M937" t="inlineStr"/>
      <c r="N937" t="inlineStr"/>
    </row>
    <row r="938">
      <c r="A938" t="inlineStr">
        <is>
          <t>COc1ccc(-c2nc(Nc3ccccc3)sc2-c2ccccc2)cc1</t>
        </is>
      </c>
      <c r="B938" t="inlineStr">
        <is>
          <t>ZINC000018325081</t>
        </is>
      </c>
      <c r="C938" t="inlineStr"/>
      <c r="D938" t="inlineStr"/>
      <c r="E938" t="inlineStr"/>
      <c r="F938" t="inlineStr"/>
      <c r="G938" t="inlineStr"/>
      <c r="H938">
        <f>HYPERLINK("http://www.sigmaaldrich.com/catalog/search?term=R913200&amp;interface=All&amp;N=0&amp;mode=match%20partialmax&amp;lang=en&amp;region=US&amp;focus=product","R913200")</f>
        <v/>
      </c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Cc1nn(C)c2nc3ccccc3c(Nc3ccc(-c4ccccc4)cc3)c12</t>
        </is>
      </c>
      <c r="B939" t="inlineStr">
        <is>
          <t>ZINC000002506207</t>
        </is>
      </c>
      <c r="C939" t="inlineStr"/>
      <c r="D939" t="inlineStr"/>
      <c r="E939" t="inlineStr"/>
      <c r="F939" t="inlineStr"/>
      <c r="G939" t="inlineStr"/>
      <c r="H939">
        <f>HYPERLINK("http://www.sigmaaldrich.com/catalog/search?term=L101656&amp;interface=All&amp;N=0&amp;mode=match%20partialmax&amp;lang=en&amp;region=US&amp;focus=product","L101656")</f>
        <v/>
      </c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CC1(C)c2ccccc2-c2ccc(Nc3cccc(-c4ccccc4)c3)cc21</t>
        </is>
      </c>
      <c r="B940" t="inlineStr">
        <is>
          <t>ZINC000148284919</t>
        </is>
      </c>
      <c r="C940" t="inlineStr"/>
      <c r="D940" t="inlineStr"/>
      <c r="E940" t="inlineStr"/>
      <c r="F940" t="inlineStr"/>
      <c r="G940">
        <f>HYPERLINK("http://astatechinc.com/CPSResult.php?CRNO=W12539","W12539")</f>
        <v/>
      </c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COc1cc2ncnc(Nc3ccc(Oc4ccccc4)cc3)c2cc1OC</t>
        </is>
      </c>
      <c r="B941" t="inlineStr">
        <is>
          <t>ZINC000001386783</t>
        </is>
      </c>
      <c r="C941" t="inlineStr"/>
      <c r="D941" t="inlineStr"/>
      <c r="E941" t="inlineStr"/>
      <c r="F941" t="inlineStr"/>
      <c r="G941">
        <f>HYPERLINK("http://astatechinc.com/CPSResult.php?CRNO=A11195","A11195")</f>
        <v/>
      </c>
      <c r="H941">
        <f>HYPERLINK("http://www.sigmaaldrich.com/catalog/search?term=S2075&amp;interface=All&amp;N=0&amp;mode=match%20partialmax&amp;lang=en&amp;region=US&amp;focus=product","S2075")</f>
        <v/>
      </c>
      <c r="I941" t="inlineStr"/>
      <c r="J941" t="inlineStr"/>
      <c r="K941" t="inlineStr"/>
      <c r="L941" t="inlineStr"/>
      <c r="M941" t="inlineStr"/>
      <c r="N941" t="inlineStr"/>
    </row>
    <row r="942">
      <c r="A942" t="inlineStr">
        <is>
          <t>c1ccc(-c2ccc(Nc3ccc(-c4cccc5ccccc45)cc3)cc2)cc1</t>
        </is>
      </c>
      <c r="B942" t="inlineStr">
        <is>
          <t>ZINC000148579216</t>
        </is>
      </c>
      <c r="C942">
        <f>HYPERLINK("http://www.combi-blocks.com/cgi-bin/find.cgi?QW-5642","QW-5642")</f>
        <v/>
      </c>
      <c r="D942" t="inlineStr"/>
      <c r="E942" t="inlineStr"/>
      <c r="F942" t="inlineStr"/>
      <c r="G942">
        <f>HYPERLINK("http://astatechinc.com/CPSResult.php?CRNO=T73051","T73051")</f>
        <v/>
      </c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O=C(Nc1ccc(Nc2ccccc2)cc1)Nc1cccc(C(F)(F)F)c1</t>
        </is>
      </c>
      <c r="B943" t="inlineStr">
        <is>
          <t>ZINC000001752704</t>
        </is>
      </c>
      <c r="C943" t="inlineStr"/>
      <c r="D943" t="inlineStr"/>
      <c r="E943" t="inlineStr"/>
      <c r="F943" t="inlineStr"/>
      <c r="G943" t="inlineStr"/>
      <c r="H943">
        <f>HYPERLINK("http://www.sigmaaldrich.com/catalog/search?term=S801208&amp;interface=All&amp;N=0&amp;mode=match%20partialmax&amp;lang=en&amp;region=US&amp;focus=product","S801208")</f>
        <v/>
      </c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CC1(C)c2ccccc2-c2ccc(Nc3ccccc3-c3ccccc3)cc21</t>
        </is>
      </c>
      <c r="B944" t="inlineStr">
        <is>
          <t>ZINC000095830619</t>
        </is>
      </c>
      <c r="C944">
        <f>HYPERLINK("http://www.combi-blocks.com/cgi-bin/find.cgi?QJ-9591","QJ-9591")</f>
        <v/>
      </c>
      <c r="D944" t="inlineStr"/>
      <c r="E944">
        <f>HYPERLINK("https://aksci.com/item_detail.php?cat=9658AL","9658AL")</f>
        <v/>
      </c>
      <c r="F944" t="inlineStr"/>
      <c r="G944">
        <f>HYPERLINK("http://astatechinc.com/CPSResult.php?CRNO=19050","19050")</f>
        <v/>
      </c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COc1ccccc1Nc1nc(-c2ccc(-c3ccccc3)cc2)cs1</t>
        </is>
      </c>
      <c r="B945" t="inlineStr">
        <is>
          <t>ZINC000003079528</t>
        </is>
      </c>
      <c r="C945" t="inlineStr"/>
      <c r="D945" t="inlineStr"/>
      <c r="E945" t="inlineStr"/>
      <c r="F945">
        <f>HYPERLINK("https://www.enaminestore.com/catalog/EN300-06240","EN300-06240")</f>
        <v/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inlineStr">
        <is>
          <t>FC(F)(F)c1cc(C(F)(F)F)c2ccc(Nc3ccccc3)nc2n1</t>
        </is>
      </c>
      <c r="B946" t="inlineStr">
        <is>
          <t>ZINC000003041413</t>
        </is>
      </c>
      <c r="C946" t="inlineStr"/>
      <c r="D946">
        <f>HYPERLINK("http://www.matrixscientific.com/162509.html","162509")</f>
        <v/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COc1ccc(OC)c(NC(=O)Nc2ccc(Nc3ccccc3)cc2)c1</t>
        </is>
      </c>
      <c r="B947" t="inlineStr">
        <is>
          <t>ZINC000000641549</t>
        </is>
      </c>
      <c r="C947" t="inlineStr"/>
      <c r="D947" t="inlineStr"/>
      <c r="E947" t="inlineStr"/>
      <c r="F947" t="inlineStr"/>
      <c r="G947" t="inlineStr"/>
      <c r="H947">
        <f>HYPERLINK("http://www.sigmaaldrich.com/catalog/search?term=S848638&amp;interface=All&amp;N=0&amp;mode=match%20partialmax&amp;lang=en&amp;region=US&amp;focus=product","S848638")</f>
        <v/>
      </c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CC(C)(C)c1ccc(Nc2ncnc3sc(-c4ccccc4)cc23)cc1</t>
        </is>
      </c>
      <c r="B948" t="inlineStr">
        <is>
          <t>ZINC000002679390</t>
        </is>
      </c>
      <c r="C948" t="inlineStr"/>
      <c r="D948" t="inlineStr"/>
      <c r="E948" t="inlineStr"/>
      <c r="F948" t="inlineStr"/>
      <c r="G948" t="inlineStr"/>
      <c r="H948">
        <f>HYPERLINK("http://www.sigmaaldrich.com/catalog/search?term=R852074&amp;interface=All&amp;N=0&amp;mode=match%20partialmax&amp;lang=en&amp;region=US&amp;focus=product","R852074")</f>
        <v/>
      </c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Cc1cc(Nc2ccccc2)nc(-c2ncc(C(F)(F)F)cc2Cl)n1</t>
        </is>
      </c>
      <c r="B949" t="inlineStr">
        <is>
          <t>ZINC000072120027</t>
        </is>
      </c>
      <c r="C949" t="inlineStr"/>
      <c r="D949">
        <f>HYPERLINK("http://www.matrixscientific.com/167635.html","167635")</f>
        <v/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inlineStr">
        <is>
          <t>Fc1ccc(/C=C\c2sc(Nc3ccccc3)n[n+]2-c2ccccc2)cc1</t>
        </is>
      </c>
      <c r="B950" t="inlineStr">
        <is>
          <t>ZINC000225072825</t>
        </is>
      </c>
      <c r="C950" t="inlineStr"/>
      <c r="D950" t="inlineStr"/>
      <c r="E950" t="inlineStr"/>
      <c r="F950" t="inlineStr"/>
      <c r="G950" t="inlineStr"/>
      <c r="H950">
        <f>HYPERLINK("http://www.sigmaaldrich.com/catalog/search?term=SML1793&amp;interface=All&amp;N=0&amp;mode=match%20partialmax&amp;lang=en&amp;region=US&amp;focus=product","SML1793")</f>
        <v/>
      </c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Cc1sc2ncnc(Nc3ccc(C(=O)O)cc3)c2c1-c1ccccc1</t>
        </is>
      </c>
      <c r="B951" t="inlineStr">
        <is>
          <t>ZINC000000957812</t>
        </is>
      </c>
      <c r="C951" t="inlineStr"/>
      <c r="D951" t="inlineStr"/>
      <c r="E951" t="inlineStr"/>
      <c r="F951" t="inlineStr"/>
      <c r="G951" t="inlineStr"/>
      <c r="H951">
        <f>HYPERLINK("http://www.sigmaaldrich.com/catalog/search?term=OTV000519&amp;interface=All&amp;N=0&amp;mode=match%20partialmax&amp;lang=en&amp;region=US&amp;focus=product","OTV000519")</f>
        <v/>
      </c>
      <c r="I951" t="inlineStr"/>
      <c r="J951" t="inlineStr"/>
      <c r="K951" t="inlineStr"/>
      <c r="L951" t="inlineStr"/>
      <c r="M951" t="inlineStr"/>
      <c r="N951" t="inlineStr"/>
    </row>
    <row r="952">
      <c r="A952" t="inlineStr">
        <is>
          <t>CC1(C)c2ccccc2-c2ccc(Nc3ccc(-c4ccccc4)cc3)cc21</t>
        </is>
      </c>
      <c r="B952" t="inlineStr">
        <is>
          <t>ZINC000071624453</t>
        </is>
      </c>
      <c r="C952">
        <f>HYPERLINK("http://www.combi-blocks.com/cgi-bin/find.cgi?QA-6430","QA-6430")</f>
        <v/>
      </c>
      <c r="D952">
        <f>HYPERLINK("http://www.matrixscientific.com/090873.html","090873")</f>
        <v/>
      </c>
      <c r="E952">
        <f>HYPERLINK("https://aksci.com/item_detail.php?cat=X4136","X4136")</f>
        <v/>
      </c>
      <c r="F952" t="inlineStr"/>
      <c r="G952">
        <f>HYPERLINK("http://astatechinc.com/CPSResult.php?CRNO=FD14025","FD14025")</f>
        <v/>
      </c>
      <c r="H952" t="inlineStr"/>
      <c r="I952" t="inlineStr"/>
      <c r="J952">
        <f>HYPERLINK("http://www.ambeed.com/search/Search.html?keyword=A120126","A120126")</f>
        <v/>
      </c>
      <c r="K952" t="inlineStr"/>
      <c r="L952" t="inlineStr"/>
      <c r="M952" t="inlineStr"/>
      <c r="N952" t="inlineStr"/>
    </row>
    <row r="953">
      <c r="A953" t="inlineStr">
        <is>
          <t>COc1ccc(-c2csc(Nc3ccc(C(F)(F)F)cc3)n2)cc1</t>
        </is>
      </c>
      <c r="B953" t="inlineStr">
        <is>
          <t>ZINC000001402315</t>
        </is>
      </c>
      <c r="C953" t="inlineStr"/>
      <c r="D953">
        <f>HYPERLINK("http://www.matrixscientific.com/169841.html","169841")</f>
        <v/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inlineStr">
        <is>
          <t>CCOc1ccc(-c2csc(Nc3cccc(C(F)(F)F)c3)n2)cc1</t>
        </is>
      </c>
      <c r="B954" t="inlineStr">
        <is>
          <t>ZINC000006710778</t>
        </is>
      </c>
      <c r="C954" t="inlineStr"/>
      <c r="D954" t="inlineStr"/>
      <c r="E954" t="inlineStr"/>
      <c r="F954" t="inlineStr"/>
      <c r="G954" t="inlineStr"/>
      <c r="H954">
        <f>HYPERLINK("http://www.sigmaaldrich.com/catalog/search?term=R684872&amp;interface=All&amp;N=0&amp;mode=match%20partialmax&amp;lang=en&amp;region=US&amp;focus=product","R684872")</f>
        <v/>
      </c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Fc1ccc(-c2csc(Nc3ccc(OC(F)(F)F)cc3)n2)cc1</t>
        </is>
      </c>
      <c r="B955" t="inlineStr">
        <is>
          <t>ZINC000000643655</t>
        </is>
      </c>
      <c r="C955" t="inlineStr"/>
      <c r="D955">
        <f>HYPERLINK("http://www.matrixscientific.com/169158.html","169158")</f>
        <v/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Cc1csc(Nc2nccc(-c3sc(-c4ccccc4)nc3C)n2)n1</t>
        </is>
      </c>
      <c r="B956" t="inlineStr">
        <is>
          <t>ZINC000221561259</t>
        </is>
      </c>
      <c r="C956" t="inlineStr"/>
      <c r="D956">
        <f>HYPERLINK("http://www.matrixscientific.com/164534.html","164534")</f>
        <v/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c1ccc(-c2ccc(Nc3cccc4c3sc3ccccc34)cc2)cc1</t>
        </is>
      </c>
      <c r="B957" t="inlineStr">
        <is>
          <t>ZINC000225177263</t>
        </is>
      </c>
      <c r="C957" t="inlineStr"/>
      <c r="D957" t="inlineStr"/>
      <c r="E957" t="inlineStr"/>
      <c r="F957" t="inlineStr"/>
      <c r="G957">
        <f>HYPERLINK("http://astatechinc.com/CPSResult.php?CRNO=F18796","F18796")</f>
        <v/>
      </c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>Cc1ccc(-c2csc(Nc3ccc(Br)cn3)n2)c(C)c1</t>
        </is>
      </c>
      <c r="B958" t="inlineStr">
        <is>
          <t>ZINC000021364417</t>
        </is>
      </c>
      <c r="C958" t="inlineStr"/>
      <c r="D958" t="inlineStr"/>
      <c r="E958">
        <f>HYPERLINK("https://aksci.com/item_detail.php?cat=HTS017505","HTS017505")</f>
        <v/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O=C(Nc1ccc(Nc2ccccc2)cc1)Nc1ccccc1C(F)(F)F</t>
        </is>
      </c>
      <c r="B959" t="inlineStr">
        <is>
          <t>ZINC000001753303</t>
        </is>
      </c>
      <c r="C959" t="inlineStr"/>
      <c r="D959" t="inlineStr"/>
      <c r="E959" t="inlineStr"/>
      <c r="F959" t="inlineStr"/>
      <c r="G959" t="inlineStr"/>
      <c r="H959">
        <f>HYPERLINK("http://www.sigmaaldrich.com/catalog/search?term=S794805&amp;interface=All&amp;N=0&amp;mode=match%20partialmax&amp;lang=en&amp;region=US&amp;focus=product","S794805")</f>
        <v/>
      </c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CC(C)Cc1ccc(-c2csc(Nc3ccc4c(c3)OCO4)n2)cc1</t>
        </is>
      </c>
      <c r="B960" t="inlineStr">
        <is>
          <t>ZINC000001194344</t>
        </is>
      </c>
      <c r="C960" t="inlineStr"/>
      <c r="D960" t="inlineStr"/>
      <c r="E960" t="inlineStr"/>
      <c r="F960">
        <f>HYPERLINK("https://www.enaminestore.com/catalog/EN300-198651","EN300-198651")</f>
        <v/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Cc1ccc(-c2csc(Nc3ccc(Br)cn3)n2)cc1C</t>
        </is>
      </c>
      <c r="B961" t="inlineStr">
        <is>
          <t>ZINC000021364422</t>
        </is>
      </c>
      <c r="C961" t="inlineStr"/>
      <c r="D961" t="inlineStr"/>
      <c r="E961">
        <f>HYPERLINK("https://aksci.com/item_detail.php?cat=HTS017506","HTS017506")</f>
        <v/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inlineStr">
        <is>
          <t>Fc1ccc(/C=C/c2sc(Nc3ccccc3)n[n+]2-c2ccccc2)cc1</t>
        </is>
      </c>
      <c r="B962" t="inlineStr">
        <is>
          <t>ZINC000028712431</t>
        </is>
      </c>
      <c r="C962" t="inlineStr"/>
      <c r="D962" t="inlineStr"/>
      <c r="E962" t="inlineStr"/>
      <c r="F962" t="inlineStr"/>
      <c r="G962" t="inlineStr"/>
      <c r="H962">
        <f>HYPERLINK("http://www.sigmaaldrich.com/catalog/search?term=SML1793&amp;interface=All&amp;N=0&amp;mode=match%20partialmax&amp;lang=en&amp;region=US&amp;focus=product","SML1793")</f>
        <v/>
      </c>
      <c r="I962" t="inlineStr"/>
      <c r="J962" t="inlineStr"/>
      <c r="K962" t="inlineStr"/>
      <c r="L962" t="inlineStr"/>
      <c r="M962" t="inlineStr"/>
      <c r="N962" t="inlineStr"/>
    </row>
    <row r="963">
      <c r="A963" t="inlineStr">
        <is>
          <t>CC(C)c1ccc(-c2ccc(Nc3ccc(-c4ccccc4)cc3)cc2)cc1</t>
        </is>
      </c>
      <c r="B963" t="inlineStr">
        <is>
          <t>ZINC001772715198</t>
        </is>
      </c>
      <c r="C963" t="inlineStr"/>
      <c r="D963" t="inlineStr"/>
      <c r="E963" t="inlineStr"/>
      <c r="F963" t="inlineStr"/>
      <c r="G963">
        <f>HYPERLINK("http://astatechinc.com/CPSResult.php?CRNO=AC5518","AC5518")</f>
        <v/>
      </c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Cc1cc(Nc2cccc(C(F)(F)F)c2)n2c(nc3ccccc32)c1C#N</t>
        </is>
      </c>
      <c r="B964" t="inlineStr">
        <is>
          <t>ZINC000001190082</t>
        </is>
      </c>
      <c r="C964" t="inlineStr"/>
      <c r="D964" t="inlineStr"/>
      <c r="E964" t="inlineStr"/>
      <c r="F964" t="inlineStr"/>
      <c r="G964" t="inlineStr"/>
      <c r="H964">
        <f>HYPERLINK("http://www.sigmaaldrich.com/catalog/search?term=R492566&amp;interface=All&amp;N=0&amp;mode=match%20partialmax&amp;lang=en&amp;region=US&amp;focus=product","R492566")</f>
        <v/>
      </c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>CCCCc1c(C)c(C#N)c2nc3ccccc3n2c1Nc1ccc(C)cc1</t>
        </is>
      </c>
      <c r="B965" t="inlineStr">
        <is>
          <t>ZINC000006783357</t>
        </is>
      </c>
      <c r="C965" t="inlineStr"/>
      <c r="D965" t="inlineStr"/>
      <c r="E965" t="inlineStr"/>
      <c r="F965" t="inlineStr"/>
      <c r="G965" t="inlineStr"/>
      <c r="H965">
        <f>HYPERLINK("http://www.sigmaaldrich.com/catalog/search?term=R828580&amp;interface=All&amp;N=0&amp;mode=match%20partialmax&amp;lang=en&amp;region=US&amp;focus=product","R828580")</f>
        <v/>
      </c>
      <c r="I965" t="inlineStr"/>
      <c r="J965" t="inlineStr"/>
      <c r="K965" t="inlineStr"/>
      <c r="L965" t="inlineStr"/>
      <c r="M965" t="inlineStr"/>
      <c r="N965" t="inlineStr"/>
    </row>
    <row r="966">
      <c r="A966" t="inlineStr">
        <is>
          <t>Cc1ccc(Nc2c3c(c(C#N)c4nc5ccccc5n24)CCC3)cc1C</t>
        </is>
      </c>
      <c r="B966" t="inlineStr">
        <is>
          <t>ZINC000000631173</t>
        </is>
      </c>
      <c r="C966" t="inlineStr"/>
      <c r="D966" t="inlineStr"/>
      <c r="E966" t="inlineStr"/>
      <c r="F966" t="inlineStr"/>
      <c r="G966" t="inlineStr"/>
      <c r="H966">
        <f>HYPERLINK("http://www.sigmaaldrich.com/catalog/search?term=R473448&amp;interface=All&amp;N=0&amp;mode=match%20partialmax&amp;lang=en&amp;region=US&amp;focus=product","R473448")</f>
        <v/>
      </c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Cc1ccc(Nc2c3c(c(C#N)c4nc5ccccc5n24)CCCC3)cc1</t>
        </is>
      </c>
      <c r="B967" t="inlineStr">
        <is>
          <t>ZINC000000941786</t>
        </is>
      </c>
      <c r="C967" t="inlineStr"/>
      <c r="D967" t="inlineStr"/>
      <c r="E967" t="inlineStr"/>
      <c r="F967" t="inlineStr"/>
      <c r="G967" t="inlineStr"/>
      <c r="H967">
        <f>HYPERLINK("http://www.sigmaaldrich.com/catalog/search?term=L183776&amp;interface=All&amp;N=0&amp;mode=match%20partialmax&amp;lang=en&amp;region=US&amp;focus=product","L183776")</f>
        <v/>
      </c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CCCCc1ccc(Nc2cc(C)c(C#N)c3nc4ccccc4n23)cc1</t>
        </is>
      </c>
      <c r="B968" t="inlineStr">
        <is>
          <t>ZINC000005197707</t>
        </is>
      </c>
      <c r="C968" t="inlineStr"/>
      <c r="D968" t="inlineStr"/>
      <c r="E968" t="inlineStr"/>
      <c r="F968" t="inlineStr"/>
      <c r="G968" t="inlineStr"/>
      <c r="H968">
        <f>HYPERLINK("http://www.sigmaaldrich.com/catalog/search?term=L183172&amp;interface=All&amp;N=0&amp;mode=match%20partialmax&amp;lang=en&amp;region=US&amp;focus=product","L183172")</f>
        <v/>
      </c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CCCc1cc(Nc2ccc(CC)cc2)n2c(nc3ccccc32)c1C#N</t>
        </is>
      </c>
      <c r="B969" t="inlineStr">
        <is>
          <t>ZINC000001472979</t>
        </is>
      </c>
      <c r="C969" t="inlineStr"/>
      <c r="D969" t="inlineStr"/>
      <c r="E969" t="inlineStr"/>
      <c r="F969" t="inlineStr"/>
      <c r="G969" t="inlineStr"/>
      <c r="H969">
        <f>HYPERLINK("http://www.sigmaaldrich.com/catalog/search?term=L183628&amp;interface=All&amp;N=0&amp;mode=match%20partialmax&amp;lang=en&amp;region=US&amp;focus=product","L183628")</f>
        <v/>
      </c>
      <c r="I969" t="inlineStr"/>
      <c r="J969" t="inlineStr"/>
      <c r="K969" t="inlineStr"/>
      <c r="L969" t="inlineStr"/>
      <c r="M969" t="inlineStr"/>
      <c r="N969" t="inlineStr"/>
    </row>
    <row r="970">
      <c r="A970" t="inlineStr">
        <is>
          <t>CCc1c(C)c(C#N)c2nc3ccccc3n2c1Nc1ccc(C(C)C)cc1</t>
        </is>
      </c>
      <c r="B970" t="inlineStr">
        <is>
          <t>ZINC000001467891</t>
        </is>
      </c>
      <c r="C970" t="inlineStr"/>
      <c r="D970" t="inlineStr"/>
      <c r="E970" t="inlineStr"/>
      <c r="F970" t="inlineStr"/>
      <c r="G970" t="inlineStr"/>
      <c r="H970">
        <f>HYPERLINK("http://www.sigmaaldrich.com/catalog/search?term=L183288&amp;interface=All&amp;N=0&amp;mode=match%20partialmax&amp;lang=en&amp;region=US&amp;focus=product","L183288")</f>
        <v/>
      </c>
      <c r="I970" t="inlineStr"/>
      <c r="J970" t="inlineStr"/>
      <c r="K970" t="inlineStr"/>
      <c r="L970" t="inlineStr"/>
      <c r="M970" t="inlineStr"/>
      <c r="N970" t="inlineStr"/>
    </row>
    <row r="971">
      <c r="A971" t="inlineStr">
        <is>
          <t>N#Cc1c(C(F)(F)F)cc(Nc2ccc(F)cc2)n2c1nc1ccccc12</t>
        </is>
      </c>
      <c r="B971" t="inlineStr">
        <is>
          <t>ZINC000001467902</t>
        </is>
      </c>
      <c r="C971" t="inlineStr"/>
      <c r="D971" t="inlineStr"/>
      <c r="E971" t="inlineStr"/>
      <c r="F971" t="inlineStr"/>
      <c r="G971" t="inlineStr"/>
      <c r="H971">
        <f>HYPERLINK("http://www.sigmaaldrich.com/catalog/search?term=R828548&amp;interface=All&amp;N=0&amp;mode=match%20partialmax&amp;lang=en&amp;region=US&amp;focus=product","R828548")</f>
        <v/>
      </c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CCCCCc1c(C)c(C#N)c2nc3ccccc3n2c1Nc1ccccc1</t>
        </is>
      </c>
      <c r="B972" t="inlineStr">
        <is>
          <t>ZINC000006310284</t>
        </is>
      </c>
      <c r="C972" t="inlineStr"/>
      <c r="D972" t="inlineStr"/>
      <c r="E972" t="inlineStr"/>
      <c r="F972" t="inlineStr"/>
      <c r="G972" t="inlineStr"/>
      <c r="H972">
        <f>HYPERLINK("http://www.sigmaaldrich.com/catalog/search?term=L184152&amp;interface=All&amp;N=0&amp;mode=match%20partialmax&amp;lang=en&amp;region=US&amp;focus=product","L184152")</f>
        <v/>
      </c>
      <c r="I972" t="inlineStr"/>
      <c r="J972" t="inlineStr"/>
      <c r="K972" t="inlineStr"/>
      <c r="L972" t="inlineStr"/>
      <c r="M972" t="inlineStr"/>
      <c r="N972" t="inlineStr"/>
    </row>
    <row r="973">
      <c r="A973" t="inlineStr">
        <is>
          <t>CCCCc1c(C)c(C#N)c2nc3ccccc3n2c1Nc1ccccc1</t>
        </is>
      </c>
      <c r="B973" t="inlineStr">
        <is>
          <t>ZINC000006783365</t>
        </is>
      </c>
      <c r="C973" t="inlineStr"/>
      <c r="D973" t="inlineStr"/>
      <c r="E973" t="inlineStr"/>
      <c r="F973" t="inlineStr"/>
      <c r="G973" t="inlineStr"/>
      <c r="H973">
        <f>HYPERLINK("http://www.sigmaaldrich.com/catalog/search?term=R147214&amp;interface=All&amp;N=0&amp;mode=match%20partialmax&amp;lang=en&amp;region=US&amp;focus=product","R147214")</f>
        <v/>
      </c>
      <c r="I973" t="inlineStr"/>
      <c r="J973" t="inlineStr"/>
      <c r="K973" t="inlineStr"/>
      <c r="L973" t="inlineStr"/>
      <c r="M973" t="inlineStr"/>
      <c r="N973" t="inlineStr"/>
    </row>
    <row r="974">
      <c r="A974" t="inlineStr">
        <is>
          <t>Cc1c(CCC(C)C)c(Nc2ccccc2)n2c(nc3ccccc32)c1C#N</t>
        </is>
      </c>
      <c r="B974" t="inlineStr">
        <is>
          <t>ZINC000005881560</t>
        </is>
      </c>
      <c r="C974" t="inlineStr"/>
      <c r="D974" t="inlineStr"/>
      <c r="E974" t="inlineStr"/>
      <c r="F974" t="inlineStr"/>
      <c r="G974" t="inlineStr"/>
      <c r="H974">
        <f>HYPERLINK("http://www.sigmaaldrich.com/catalog/search?term=R147842&amp;interface=All&amp;N=0&amp;mode=match%20partialmax&amp;lang=en&amp;region=US&amp;focus=product","R147842")</f>
        <v/>
      </c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Cc1cccc(Nc2c3c(c(C#N)c4nc5ccccc5n24)CCCC3)c1</t>
        </is>
      </c>
      <c r="B975" t="inlineStr">
        <is>
          <t>ZINC000000638249</t>
        </is>
      </c>
      <c r="C975" t="inlineStr"/>
      <c r="D975" t="inlineStr"/>
      <c r="E975" t="inlineStr"/>
      <c r="F975" t="inlineStr"/>
      <c r="G975" t="inlineStr"/>
      <c r="H975">
        <f>HYPERLINK("http://www.sigmaaldrich.com/catalog/search?term=R146439&amp;interface=All&amp;N=0&amp;mode=match%20partialmax&amp;lang=en&amp;region=US&amp;focus=product","R146439")</f>
        <v/>
      </c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N#Cc1c2c(c(Nc3cccc4ccccc34)n3c1nc1ccccc13)CCC2</t>
        </is>
      </c>
      <c r="B976" t="inlineStr">
        <is>
          <t>ZINC000000639552</t>
        </is>
      </c>
      <c r="C976" t="inlineStr"/>
      <c r="D976" t="inlineStr"/>
      <c r="E976" t="inlineStr"/>
      <c r="F976" t="inlineStr"/>
      <c r="G976" t="inlineStr"/>
      <c r="H976">
        <f>HYPERLINK("http://www.sigmaaldrich.com/catalog/search?term=R774383&amp;interface=All&amp;N=0&amp;mode=match%20partialmax&amp;lang=en&amp;region=US&amp;focus=product","R774383")</f>
        <v/>
      </c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Cc1c(CCC(C)C)c(Nc2ccncc2)n2c(nc3ccccc32)c1C#N</t>
        </is>
      </c>
      <c r="B977" t="inlineStr">
        <is>
          <t>ZINC000006897271</t>
        </is>
      </c>
      <c r="C977" t="inlineStr"/>
      <c r="D977" t="inlineStr"/>
      <c r="E977" t="inlineStr"/>
      <c r="F977" t="inlineStr"/>
      <c r="G977" t="inlineStr"/>
      <c r="H977">
        <f>HYPERLINK("http://www.sigmaaldrich.com/catalog/search?term=R877328&amp;interface=All&amp;N=0&amp;mode=match%20partialmax&amp;lang=en&amp;region=US&amp;focus=product","R877328")</f>
        <v/>
      </c>
      <c r="I977" t="inlineStr"/>
      <c r="J977" t="inlineStr"/>
      <c r="K977" t="inlineStr"/>
      <c r="L977" t="inlineStr"/>
      <c r="M977" t="inlineStr"/>
      <c r="N977" t="inlineStr"/>
    </row>
    <row r="978">
      <c r="A978" t="inlineStr">
        <is>
          <t>Cc1c(C(C)C)c(Nc2ccc(F)cc2)n2c(nc3ccccc32)c1C#N</t>
        </is>
      </c>
      <c r="B978" t="inlineStr">
        <is>
          <t>ZINC000000633690</t>
        </is>
      </c>
      <c r="C978" t="inlineStr"/>
      <c r="D978" t="inlineStr"/>
      <c r="E978" t="inlineStr"/>
      <c r="F978" t="inlineStr"/>
      <c r="G978" t="inlineStr"/>
      <c r="H978">
        <f>HYPERLINK("http://www.sigmaaldrich.com/catalog/search?term=R828513&amp;interface=All&amp;N=0&amp;mode=match%20partialmax&amp;lang=en&amp;region=US&amp;focus=product","R828513")</f>
        <v/>
      </c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C=CCc1c(C)c(C#N)c2nc3ccccc3n2c1Nc1ccc(F)cc1</t>
        </is>
      </c>
      <c r="B979" t="inlineStr">
        <is>
          <t>ZINC000001467951</t>
        </is>
      </c>
      <c r="C979" t="inlineStr"/>
      <c r="D979" t="inlineStr"/>
      <c r="E979" t="inlineStr"/>
      <c r="F979" t="inlineStr"/>
      <c r="G979" t="inlineStr"/>
      <c r="H979">
        <f>HYPERLINK("http://www.sigmaaldrich.com/catalog/search?term=L184969&amp;interface=All&amp;N=0&amp;mode=match%20partialmax&amp;lang=en&amp;region=US&amp;focus=product","L184969")</f>
        <v/>
      </c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CCc1c(C)c(C#N)c2nc3ccccc3n2c1Nc1cc(C)cc(C)c1</t>
        </is>
      </c>
      <c r="B980" t="inlineStr">
        <is>
          <t>ZINC000001240212</t>
        </is>
      </c>
      <c r="C980" t="inlineStr"/>
      <c r="D980" t="inlineStr"/>
      <c r="E980" t="inlineStr"/>
      <c r="F980" t="inlineStr"/>
      <c r="G980" t="inlineStr"/>
      <c r="H980">
        <f>HYPERLINK("http://www.sigmaaldrich.com/catalog/search?term=R779997&amp;interface=All&amp;N=0&amp;mode=match%20partialmax&amp;lang=en&amp;region=US&amp;focus=product","R779997")</f>
        <v/>
      </c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CCCCc1c(C)c(C#N)c2nc3ccccc3n2c1Nc1ccc(F)cc1</t>
        </is>
      </c>
      <c r="B981" t="inlineStr">
        <is>
          <t>ZINC000006783353</t>
        </is>
      </c>
      <c r="C981" t="inlineStr"/>
      <c r="D981" t="inlineStr"/>
      <c r="E981" t="inlineStr"/>
      <c r="F981" t="inlineStr"/>
      <c r="G981" t="inlineStr"/>
      <c r="H981">
        <f>HYPERLINK("http://www.sigmaaldrich.com/catalog/search?term=R143499&amp;interface=All&amp;N=0&amp;mode=match%20partialmax&amp;lang=en&amp;region=US&amp;focus=product","R143499")</f>
        <v/>
      </c>
      <c r="I981" t="inlineStr"/>
      <c r="J981" t="inlineStr"/>
      <c r="K981" t="inlineStr"/>
      <c r="L981" t="inlineStr"/>
      <c r="M981" t="inlineStr"/>
      <c r="N981" t="inlineStr"/>
    </row>
    <row r="982">
      <c r="A982" t="inlineStr">
        <is>
          <t>CCc1c(C)c(C#N)c2nc3ccccc3n2c1Nc1cc(C)ccc1C</t>
        </is>
      </c>
      <c r="B982" t="inlineStr">
        <is>
          <t>ZINC000000639677</t>
        </is>
      </c>
      <c r="C982" t="inlineStr"/>
      <c r="D982" t="inlineStr"/>
      <c r="E982" t="inlineStr"/>
      <c r="F982" t="inlineStr"/>
      <c r="G982" t="inlineStr"/>
      <c r="H982">
        <f>HYPERLINK("http://www.sigmaaldrich.com/catalog/search?term=R780057&amp;interface=All&amp;N=0&amp;mode=match%20partialmax&amp;lang=en&amp;region=US&amp;focus=product","R780057")</f>
        <v/>
      </c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CCCCc1c(C)c(C#N)c2nc3ccccc3n2c1Nc1ccncc1</t>
        </is>
      </c>
      <c r="B983" t="inlineStr">
        <is>
          <t>ZINC000004674086</t>
        </is>
      </c>
      <c r="C983" t="inlineStr"/>
      <c r="D983" t="inlineStr"/>
      <c r="E983" t="inlineStr"/>
      <c r="F983" t="inlineStr"/>
      <c r="G983" t="inlineStr"/>
      <c r="H983">
        <f>HYPERLINK("http://www.sigmaaldrich.com/catalog/search?term=R828599&amp;interface=All&amp;N=0&amp;mode=match%20partialmax&amp;lang=en&amp;region=US&amp;focus=product","R828599")</f>
        <v/>
      </c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COc1ccc(Nc2nc3c(c(=O)n(C)c(=O)n3C)n2Cc2ccccc2)cc1</t>
        </is>
      </c>
      <c r="B984" t="inlineStr">
        <is>
          <t>ZINC000000637733</t>
        </is>
      </c>
      <c r="C984" t="inlineStr"/>
      <c r="D984" t="inlineStr"/>
      <c r="E984" t="inlineStr"/>
      <c r="F984" t="inlineStr"/>
      <c r="G984" t="inlineStr"/>
      <c r="H984">
        <f>HYPERLINK("http://www.sigmaaldrich.com/catalog/search?term=R139556&amp;interface=All&amp;N=0&amp;mode=match%20partialmax&amp;lang=en&amp;region=US&amp;focus=product","R139556")</f>
        <v/>
      </c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COc1ccc(Cn2c(=O)n(C)c(=O)c3c(Nc4ccccc4)n[nH]c32)cc1</t>
        </is>
      </c>
      <c r="B985" t="inlineStr">
        <is>
          <t>ZINC000165957122</t>
        </is>
      </c>
      <c r="C985">
        <f>HYPERLINK("http://www.combi-blocks.com/cgi-bin/find.cgi?QV-9598","QV-9598")</f>
        <v/>
      </c>
      <c r="D985" t="inlineStr"/>
      <c r="E985" t="inlineStr"/>
      <c r="F985" t="inlineStr"/>
      <c r="G985">
        <f>HYPERLINK("http://astatechinc.com/CPSResult.php?CRNO=W11959","W11959")</f>
        <v/>
      </c>
      <c r="H985" t="inlineStr"/>
      <c r="I985" t="inlineStr"/>
      <c r="J985" t="inlineStr"/>
      <c r="K985">
        <f>HYPERLINK("http://aablocks.com/goods/Goods/detail?id=AA00HDLR","AA00HDLR")</f>
        <v/>
      </c>
      <c r="L985" t="inlineStr"/>
      <c r="M985" t="inlineStr"/>
      <c r="N985" t="inlineStr"/>
    </row>
    <row r="986">
      <c r="A986" t="inlineStr">
        <is>
          <t>Cc1cccc(Nc2nc3c(c(=O)n(C)c(=O)n3C)n2Cc2ccccc2)c1</t>
        </is>
      </c>
      <c r="B986" t="inlineStr">
        <is>
          <t>ZINC000000634712</t>
        </is>
      </c>
      <c r="C986" t="inlineStr"/>
      <c r="D986" t="inlineStr"/>
      <c r="E986" t="inlineStr"/>
      <c r="F986" t="inlineStr"/>
      <c r="G986" t="inlineStr"/>
      <c r="H986">
        <f>HYPERLINK("http://www.sigmaaldrich.com/catalog/search?term=R841420&amp;interface=All&amp;N=0&amp;mode=match%20partialmax&amp;lang=en&amp;region=US&amp;focus=product","R841420")</f>
        <v/>
      </c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Cc1ccc(Nc2nc3c(c(=O)n(C)c(=O)n3C)n2Cc2ccccc2)cc1</t>
        </is>
      </c>
      <c r="B987" t="inlineStr">
        <is>
          <t>ZINC000000638238</t>
        </is>
      </c>
      <c r="C987" t="inlineStr"/>
      <c r="D987" t="inlineStr"/>
      <c r="E987" t="inlineStr"/>
      <c r="F987" t="inlineStr"/>
      <c r="G987" t="inlineStr"/>
      <c r="H987">
        <f>HYPERLINK("http://www.sigmaaldrich.com/catalog/search?term=R146307&amp;interface=All&amp;N=0&amp;mode=match%20partialmax&amp;lang=en&amp;region=US&amp;focus=product","R146307")</f>
        <v/>
      </c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CCc1ccc(Nc2nc3c(c(=O)n(C)c(=O)n3C)n2Cc2ccccc2)cc1</t>
        </is>
      </c>
      <c r="B988" t="inlineStr">
        <is>
          <t>ZINC000000637476</t>
        </is>
      </c>
      <c r="C988" t="inlineStr"/>
      <c r="D988" t="inlineStr"/>
      <c r="E988" t="inlineStr"/>
      <c r="F988" t="inlineStr"/>
      <c r="G988" t="inlineStr"/>
      <c r="H988">
        <f>HYPERLINK("http://www.sigmaaldrich.com/catalog/search?term=R138401&amp;interface=All&amp;N=0&amp;mode=match%20partialmax&amp;lang=en&amp;region=US&amp;focus=product","R138401")</f>
        <v/>
      </c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C#Cc1cccc(Nc2ncnc3cc(OCCOC)c(OCCO)cc23)c1</t>
        </is>
      </c>
      <c r="B989" t="inlineStr">
        <is>
          <t>ZINC000022065493</t>
        </is>
      </c>
      <c r="C989" t="inlineStr"/>
      <c r="D989">
        <f>HYPERLINK("http://www.matrixscientific.com/147759.html","147759")</f>
        <v/>
      </c>
      <c r="E989">
        <f>HYPERLINK("https://aksci.com/item_detail.php?cat=X7503","X7503")</f>
        <v/>
      </c>
      <c r="F989" t="inlineStr"/>
      <c r="G989">
        <f>HYPERLINK("http://astatechinc.com/CPSResult.php?CRNO=43262","43262")</f>
        <v/>
      </c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COc1ccc(-c2cc3nccn3c(Nc3ncccc3CO)n2)cc1OC</t>
        </is>
      </c>
      <c r="B990" t="inlineStr">
        <is>
          <t>ZINC000214477302</t>
        </is>
      </c>
      <c r="C990" t="inlineStr"/>
      <c r="D990" t="inlineStr"/>
      <c r="E990" t="inlineStr"/>
      <c r="F990" t="inlineStr"/>
      <c r="G990">
        <f>HYPERLINK("http://astatechinc.com/CPSResult.php?CRNO=C11809","C11809")</f>
        <v/>
      </c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inlineStr">
        <is>
          <t>COc1ccc(Nc2nc(I)ncc2Cl)c(OC)c1</t>
        </is>
      </c>
      <c r="B991" t="inlineStr">
        <is>
          <t>ZINC000230534441</t>
        </is>
      </c>
      <c r="C991" t="inlineStr"/>
      <c r="D991">
        <f>HYPERLINK("http://www.matrixscientific.com/149828.html","149828")</f>
        <v/>
      </c>
      <c r="E991" t="inlineStr"/>
      <c r="F991" t="inlineStr"/>
      <c r="G991">
        <f>HYPERLINK("http://astatechinc.com/CPSResult.php?CRNO=N10264","N10264")</f>
        <v/>
      </c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>
        <is>
          <t>C#Cc1cccc(Nc2ncnc3cc(OCCOC)c(OCCOC)cc23)c1</t>
        </is>
      </c>
      <c r="B992" t="inlineStr">
        <is>
          <t>ZINC000001546066</t>
        </is>
      </c>
      <c r="C992">
        <f>HYPERLINK("http://www.combi-blocks.com/cgi-bin/find.cgi?QB-0629","QB-0629")</f>
        <v/>
      </c>
      <c r="D992">
        <f>HYPERLINK("http://www.matrixscientific.com/076211.html","076211")</f>
        <v/>
      </c>
      <c r="E992">
        <f>HYPERLINK("https://aksci.com/item_detail.php?cat=J10200","J10200")</f>
        <v/>
      </c>
      <c r="F992">
        <f>HYPERLINK("https://www.enaminestore.com/catalog/EN300-123054","EN300-123054")</f>
        <v/>
      </c>
      <c r="G992">
        <f>HYPERLINK("http://astatechinc.com/CPSResult.php?CRNO=40204","40204")</f>
        <v/>
      </c>
      <c r="H992">
        <f>HYPERLINK("http://www.sigmaaldrich.com/catalog/search?term=CDS022564&amp;interface=All&amp;N=0&amp;mode=match%20partialmax&amp;lang=en&amp;region=US&amp;focus=product","CDS022564")</f>
        <v/>
      </c>
      <c r="I992" t="inlineStr"/>
      <c r="J992">
        <f>HYPERLINK("http://www.ambeed.com/search/Search.html?keyword=A121900","A121900")</f>
        <v/>
      </c>
      <c r="K992">
        <f>HYPERLINK("http://aablocks.com/goods/Goods/detail?id=AA0027FC","AA0027FC")</f>
        <v/>
      </c>
      <c r="L992">
        <f>HYPERLINK("http://www.achemblock.com/catalogsearch/result/?q=G-5803","G")</f>
        <v/>
      </c>
      <c r="M992" t="inlineStr"/>
      <c r="N992" t="inlineStr"/>
    </row>
    <row r="993">
      <c r="A993" t="inlineStr">
        <is>
          <t>C#Cc1cccc(Nc2ncnc3cc4c(cc23)OCCOCCOCCO4)c1</t>
        </is>
      </c>
      <c r="B993" t="inlineStr">
        <is>
          <t>ZINC000043207566</t>
        </is>
      </c>
      <c r="C993" t="inlineStr"/>
      <c r="D993">
        <f>HYPERLINK("http://www.matrixscientific.com/147760.html","147760")</f>
        <v/>
      </c>
      <c r="E993">
        <f>HYPERLINK("https://aksci.com/item_detail.php?cat=2468AH","2468AH")</f>
        <v/>
      </c>
      <c r="F993" t="inlineStr"/>
      <c r="G993">
        <f>HYPERLINK("http://astatechinc.com/CPSResult.php?CRNO=40667","40667")</f>
        <v/>
      </c>
      <c r="H993" t="inlineStr"/>
      <c r="I993" t="inlineStr"/>
      <c r="J993">
        <f>HYPERLINK("http://www.ambeed.com/search/Search.html?keyword=A120776","A120776")</f>
        <v/>
      </c>
      <c r="K993" t="inlineStr"/>
      <c r="L993">
        <f>HYPERLINK("http://www.achemblock.com/catalogsearch/result/?q=10507","10507")</f>
        <v/>
      </c>
      <c r="M993" t="inlineStr"/>
      <c r="N993" t="inlineStr"/>
    </row>
    <row r="994">
      <c r="A994" t="inlineStr">
        <is>
          <t>CCOC(=O)c1csc(Nc2ncc(C)c(-c3ccc(OC)c(F)c3)n2)n1</t>
        </is>
      </c>
      <c r="B994" t="inlineStr">
        <is>
          <t>ZINC000001384539</t>
        </is>
      </c>
      <c r="C994" t="inlineStr"/>
      <c r="D994">
        <f>HYPERLINK("http://www.matrixscientific.com/164637.html","164637")</f>
        <v/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inlineStr">
        <is>
          <t>COc1ccc(Nc2ncncc2-c2nc(-c3ccccc3)no2)cc1OC</t>
        </is>
      </c>
      <c r="B995" t="inlineStr">
        <is>
          <t>ZINC000169775592</t>
        </is>
      </c>
      <c r="C995" t="inlineStr"/>
      <c r="D995" t="inlineStr"/>
      <c r="E995">
        <f>HYPERLINK("https://aksci.com/item_detail.php?cat=HTS024878","HTS024878")</f>
        <v/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>
        <is>
          <t>COc1ccc(OC)c(Nc2ncncc2-c2nc(-c3ccccc3)no2)c1</t>
        </is>
      </c>
      <c r="B996" t="inlineStr">
        <is>
          <t>ZINC000169749832</t>
        </is>
      </c>
      <c r="C996" t="inlineStr"/>
      <c r="D996" t="inlineStr"/>
      <c r="E996">
        <f>HYPERLINK("https://aksci.com/item_detail.php?cat=HTS024902","HTS024902")</f>
        <v/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COC(=O)c1cc(Nc2nc(C)nc3sc4c(c23)CCC4)cc(C(=O)OC)c1</t>
        </is>
      </c>
      <c r="B997" t="inlineStr">
        <is>
          <t>ZINC000000628456</t>
        </is>
      </c>
      <c r="C997" t="inlineStr"/>
      <c r="D997" t="inlineStr"/>
      <c r="E997" t="inlineStr"/>
      <c r="F997" t="inlineStr"/>
      <c r="G997" t="inlineStr"/>
      <c r="H997">
        <f>HYPERLINK("http://www.sigmaaldrich.com/catalog/search?term=R854077&amp;interface=All&amp;N=0&amp;mode=match%20partialmax&amp;lang=en&amp;region=US&amp;focus=product","R854077")</f>
        <v/>
      </c>
      <c r="I997" t="inlineStr"/>
      <c r="J997" t="inlineStr"/>
      <c r="K997" t="inlineStr"/>
      <c r="L997" t="inlineStr"/>
      <c r="M997" t="inlineStr"/>
      <c r="N997" t="inlineStr"/>
    </row>
    <row r="998">
      <c r="A998" t="inlineStr">
        <is>
          <t>CCc1cccc(Nc2ncnc3cc(OCCOC)c(OCCOC)cc23)c1</t>
        </is>
      </c>
      <c r="B998" t="inlineStr">
        <is>
          <t>ZINC000034171127</t>
        </is>
      </c>
      <c r="C998">
        <f>HYPERLINK("http://www.combi-blocks.com/cgi-bin/find.cgi?QV-5750","QV-5750")</f>
        <v/>
      </c>
      <c r="D998" t="inlineStr"/>
      <c r="E998" t="inlineStr"/>
      <c r="F998" t="inlineStr"/>
      <c r="G998">
        <f>HYPERLINK("http://astatechinc.com/CPSResult.php?CRNO=V10173","V10173")</f>
        <v/>
      </c>
      <c r="H998">
        <f>HYPERLINK("http://www.sigmaaldrich.com/catalog/search?term=VBP00240&amp;interface=All&amp;N=0&amp;mode=match%20partialmax&amp;lang=en&amp;region=US&amp;focus=product","VBP00240")</f>
        <v/>
      </c>
      <c r="I998" t="inlineStr"/>
      <c r="J998" t="inlineStr"/>
      <c r="K998" t="inlineStr"/>
      <c r="L998" t="inlineStr"/>
      <c r="M998" t="inlineStr"/>
      <c r="N998" t="inlineStr"/>
    </row>
    <row r="999">
      <c r="A999" t="inlineStr">
        <is>
          <t>COc1ccc(Nc2ncncc2-c2nc(-c3ccccc3)no2)c(OC)c1</t>
        </is>
      </c>
      <c r="B999" t="inlineStr">
        <is>
          <t>ZINC000225577600</t>
        </is>
      </c>
      <c r="C999" t="inlineStr"/>
      <c r="D999" t="inlineStr"/>
      <c r="E999">
        <f>HYPERLINK("https://aksci.com/item_detail.php?cat=HTS024887","HTS024887")</f>
        <v/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>
        <is>
          <t>C#Cc1cccc(Nc2ncnc3cc(OCCOC)c(OCCCl)cc23)c1</t>
        </is>
      </c>
      <c r="B1000" t="inlineStr">
        <is>
          <t>ZINC000034891905</t>
        </is>
      </c>
      <c r="C1000" t="inlineStr"/>
      <c r="D1000" t="inlineStr"/>
      <c r="E1000" t="inlineStr"/>
      <c r="F1000" t="inlineStr"/>
      <c r="G1000">
        <f>HYPERLINK("http://astatechinc.com/CPSResult.php?CRNO=C12550","C12550")</f>
        <v/>
      </c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inlineStr">
        <is>
          <t>C#Cc1cccc(Nc2ncnc3cc(OCCCl)c(OCCOC)cc23)c1</t>
        </is>
      </c>
      <c r="B1001" t="inlineStr">
        <is>
          <t>ZINC000034891970</t>
        </is>
      </c>
      <c r="C1001" t="inlineStr"/>
      <c r="D1001" t="inlineStr"/>
      <c r="E1001" t="inlineStr"/>
      <c r="F1001" t="inlineStr"/>
      <c r="G1001">
        <f>HYPERLINK("http://astatechinc.com/CPSResult.php?CRNO=C12549","C12549")</f>
        <v/>
      </c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inlineStr">
        <is>
          <t>CCOC(=O)COc1ccc(Nc2c3ccccc3nc3c2c(C)nn3C)cc1</t>
        </is>
      </c>
      <c r="B1002" t="inlineStr">
        <is>
          <t>ZINC000000632767</t>
        </is>
      </c>
      <c r="C1002" t="inlineStr"/>
      <c r="D1002" t="inlineStr"/>
      <c r="E1002" t="inlineStr"/>
      <c r="F1002" t="inlineStr"/>
      <c r="G1002" t="inlineStr"/>
      <c r="H1002">
        <f>HYPERLINK("http://www.sigmaaldrich.com/catalog/search?term=R545953&amp;interface=All&amp;N=0&amp;mode=match%20partialmax&amp;lang=en&amp;region=US&amp;focus=product","R545953")</f>
        <v/>
      </c>
      <c r="I1002" t="inlineStr"/>
      <c r="J1002" t="inlineStr"/>
      <c r="K1002" t="inlineStr"/>
      <c r="L1002" t="inlineStr"/>
      <c r="M1002" t="inlineStr"/>
      <c r="N1002" t="inlineStr"/>
    </row>
    <row r="1003">
      <c r="A1003" t="inlineStr">
        <is>
          <t>Cc1cc2cc(Nc3ncnn4cc(-c5nnc(C)o5)c(C(C)C)c34)cnc2[nH]1</t>
        </is>
      </c>
      <c r="B1003" t="inlineStr">
        <is>
          <t>ZINC000029047551</t>
        </is>
      </c>
      <c r="C1003" t="inlineStr"/>
      <c r="D1003">
        <f>HYPERLINK("http://www.matrixscientific.com/069281.html","069281")</f>
        <v/>
      </c>
      <c r="E1003">
        <f>HYPERLINK("https://aksci.com/item_detail.php?cat=7445AE","7445AE")</f>
        <v/>
      </c>
      <c r="F1003" t="inlineStr"/>
      <c r="G1003" t="inlineStr"/>
      <c r="H1003" t="inlineStr"/>
      <c r="I1003" t="inlineStr"/>
      <c r="J1003" t="inlineStr"/>
      <c r="K1003" t="inlineStr"/>
      <c r="L1003">
        <f>HYPERLINK("http://www.achemblock.com/catalogsearch/result/?q=C-2976","C")</f>
        <v/>
      </c>
      <c r="M1003" t="inlineStr"/>
      <c r="N1003" t="inlineStr"/>
    </row>
    <row r="1004">
      <c r="A1004" t="inlineStr">
        <is>
          <t>Cc1ccc(NC(=O)OC(C)(C)C)cc1Nc1ccc2ncn(C)c(=O)c2c1</t>
        </is>
      </c>
      <c r="B1004" t="inlineStr">
        <is>
          <t>ZINC000205283744</t>
        </is>
      </c>
      <c r="C1004" t="inlineStr"/>
      <c r="D1004" t="inlineStr"/>
      <c r="E1004" t="inlineStr"/>
      <c r="F1004" t="inlineStr"/>
      <c r="G1004">
        <f>HYPERLINK("http://astatechinc.com/CPSResult.php?CRNO=55419","55419")</f>
        <v/>
      </c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C=Cc1cccc(Nc2ncnc3cc(OCCOC)c(OCCOC)cc23)c1</t>
        </is>
      </c>
      <c r="B1005" t="inlineStr">
        <is>
          <t>ZINC000137200065</t>
        </is>
      </c>
      <c r="C1005">
        <f>HYPERLINK("http://www.combi-blocks.com/cgi-bin/find.cgi?QV-0721","QV-0721")</f>
        <v/>
      </c>
      <c r="D1005" t="inlineStr"/>
      <c r="E1005" t="inlineStr"/>
      <c r="F1005" t="inlineStr"/>
      <c r="G1005">
        <f>HYPERLINK("http://astatechinc.com/CPSResult.php?CRNO=V10172","V10172")</f>
        <v/>
      </c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inlineStr">
        <is>
          <t>CC(C)S(=O)(=O)c1ccccc1Nc1nc(Cl)ncc1C(F)(F)F</t>
        </is>
      </c>
      <c r="B1006" t="inlineStr">
        <is>
          <t>ZINC000116336122</t>
        </is>
      </c>
      <c r="C1006" t="inlineStr"/>
      <c r="D1006" t="inlineStr"/>
      <c r="E1006" t="inlineStr"/>
      <c r="F1006" t="inlineStr"/>
      <c r="G1006">
        <f>HYPERLINK("http://astatechinc.com/CPSResult.php?CRNO=A50943","A50943")</f>
        <v/>
      </c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inlineStr">
        <is>
          <t>CCOc1ccc(Nc2c(C(=O)O)ccc3c2C(=O)c2ccccc2C3=O)cc1</t>
        </is>
      </c>
      <c r="B1007" t="inlineStr">
        <is>
          <t>ZINC000004774663</t>
        </is>
      </c>
      <c r="C1007" t="inlineStr"/>
      <c r="D1007" t="inlineStr"/>
      <c r="E1007" t="inlineStr"/>
      <c r="F1007" t="inlineStr"/>
      <c r="G1007" t="inlineStr"/>
      <c r="H1007">
        <f>HYPERLINK("http://www.sigmaaldrich.com/catalog/search?term=S929131&amp;interface=All&amp;N=0&amp;mode=match%20partialmax&amp;lang=en&amp;region=US&amp;focus=product","S929131")</f>
        <v/>
      </c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CCOC(=O)c1c(Nc2nc3ccccc3nc2Cl)sc(C(C)=O)c1C</t>
        </is>
      </c>
      <c r="B1008" t="inlineStr">
        <is>
          <t>ZINC000002241580</t>
        </is>
      </c>
      <c r="C1008" t="inlineStr"/>
      <c r="D1008" t="inlineStr"/>
      <c r="E1008" t="inlineStr"/>
      <c r="F1008">
        <f>HYPERLINK("https://www.enaminestore.com/catalog/EN300-09550","EN300-09550")</f>
        <v/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inlineStr">
        <is>
          <t>CC(C)S(=O)(=O)c1ccc2nccc(Nc3ccc4scnc4c3)c2c1</t>
        </is>
      </c>
      <c r="B1009" t="inlineStr">
        <is>
          <t>ZINC000140045994</t>
        </is>
      </c>
      <c r="C1009" t="inlineStr"/>
      <c r="D1009" t="inlineStr"/>
      <c r="E1009">
        <f>HYPERLINK("https://aksci.com/item_detail.php?cat=SYN5481","SYN5481")</f>
        <v/>
      </c>
      <c r="F1009">
        <f>HYPERLINK("https://www.enaminestore.com/catalog/EN300-179295","EN300-179295")</f>
        <v/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inlineStr">
        <is>
          <t>COc1ccc(-c2csc(Nc3ccc(Br)cn3)n2)cc1OC</t>
        </is>
      </c>
      <c r="B1010" t="inlineStr">
        <is>
          <t>ZINC000049006099</t>
        </is>
      </c>
      <c r="C1010" t="inlineStr"/>
      <c r="D1010" t="inlineStr"/>
      <c r="E1010">
        <f>HYPERLINK("https://aksci.com/item_detail.php?cat=HTS017504","HTS017504")</f>
        <v/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inlineStr">
        <is>
          <t>Fc1ccc(-c2csc(Nc3ccc(I)cn3)n2)cc1</t>
        </is>
      </c>
      <c r="B1011" t="inlineStr">
        <is>
          <t>ZINC000001389487</t>
        </is>
      </c>
      <c r="C1011" t="inlineStr"/>
      <c r="D1011">
        <f>HYPERLINK("http://www.matrixscientific.com/165335.html","165335")</f>
        <v/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>
        <is>
          <t>CC(C)(C)S(=O)(=O)c1ccc2nccc(Nc3n[nH]c4ccc(F)cc34)c2c1</t>
        </is>
      </c>
      <c r="B1012" t="inlineStr">
        <is>
          <t>ZINC000140121291</t>
        </is>
      </c>
      <c r="C1012">
        <f>HYPERLINK("http://www.combi-blocks.com/cgi-bin/find.cgi?QV-7547","QV-7547")</f>
        <v/>
      </c>
      <c r="D1012" t="inlineStr"/>
      <c r="E1012" t="inlineStr"/>
      <c r="F1012" t="inlineStr"/>
      <c r="G1012">
        <f>HYPERLINK("http://astatechinc.com/CPSResult.php?CRNO=44239","44239")</f>
        <v/>
      </c>
      <c r="H1012" t="inlineStr"/>
      <c r="I1012" t="inlineStr"/>
      <c r="J1012">
        <f>HYPERLINK("http://www.ambeed.com/search/Search.html?keyword=A341470","A341470")</f>
        <v/>
      </c>
      <c r="K1012" t="inlineStr"/>
      <c r="L1012">
        <f>HYPERLINK("http://www.achemblock.com/catalogsearch/result/?q=O33801","O33801")</f>
        <v/>
      </c>
      <c r="M1012" t="inlineStr"/>
      <c r="N1012" t="inlineStr"/>
    </row>
    <row r="1013">
      <c r="A1013" t="inlineStr">
        <is>
          <t>CSc1nc(Nc2ccc(Oc3ccccc3)cc2)c2c(=O)[nH]ccc2n1</t>
        </is>
      </c>
      <c r="B1013" t="inlineStr">
        <is>
          <t>ZINC000115789381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>
        <f>HYPERLINK("http://www.achemblock.com/catalogsearch/result/?q=I-9152","I")</f>
        <v/>
      </c>
      <c r="M1013" t="inlineStr"/>
      <c r="N1013" t="inlineStr"/>
    </row>
    <row r="1014">
      <c r="A1014" t="inlineStr">
        <is>
          <t>CCc1c(C)nc(-c2ccc(Cl)s2)nc1Nc1ccc(CC(=O)O)cc1</t>
        </is>
      </c>
      <c r="B1014" t="inlineStr">
        <is>
          <t>ZINC000034805518</t>
        </is>
      </c>
      <c r="C1014" t="inlineStr"/>
      <c r="D1014" t="inlineStr"/>
      <c r="E1014" t="inlineStr"/>
      <c r="F1014" t="inlineStr"/>
      <c r="G1014" t="inlineStr"/>
      <c r="H1014">
        <f>HYPERLINK("http://www.sigmaaldrich.com/catalog/search?term=SML2121&amp;interface=All&amp;N=0&amp;mode=match%20partialmax&amp;lang=en&amp;region=US&amp;focus=product","SML2121")</f>
        <v/>
      </c>
      <c r="I1014" t="inlineStr"/>
      <c r="J1014" t="inlineStr"/>
      <c r="K1014" t="inlineStr"/>
      <c r="L1014" t="inlineStr"/>
      <c r="M1014" t="inlineStr"/>
      <c r="N1014" t="inlineStr"/>
    </row>
    <row r="1015">
      <c r="A1015" t="inlineStr">
        <is>
          <t>Cc1nc(Cl)cc(Nc2ccc(NC(=O)Nc3ccc(F)cc3)cc2F)n1</t>
        </is>
      </c>
      <c r="B1015" t="inlineStr">
        <is>
          <t>ZINC000261507236</t>
        </is>
      </c>
      <c r="C1015" t="inlineStr"/>
      <c r="D1015" t="inlineStr"/>
      <c r="E1015" t="inlineStr"/>
      <c r="F1015" t="inlineStr"/>
      <c r="G1015">
        <f>HYPERLINK("http://astatechinc.com/CPSResult.php?CRNO=W11333","W11333")</f>
        <v/>
      </c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>
        <is>
          <t>Cc1ccc(-c2csc3ncnc(Nc4ccc5c(c4)OCCO5)c23)cc1</t>
        </is>
      </c>
      <c r="B1016" t="inlineStr">
        <is>
          <t>ZINC000000632025</t>
        </is>
      </c>
      <c r="C1016" t="inlineStr"/>
      <c r="D1016" t="inlineStr"/>
      <c r="E1016" t="inlineStr"/>
      <c r="F1016" t="inlineStr"/>
      <c r="G1016" t="inlineStr"/>
      <c r="H1016">
        <f>HYPERLINK("http://www.sigmaaldrich.com/catalog/search?term=R873691&amp;interface=All&amp;N=0&amp;mode=match%20partialmax&amp;lang=en&amp;region=US&amp;focus=product","R873691")</f>
        <v/>
      </c>
      <c r="I1016" t="inlineStr"/>
      <c r="J1016" t="inlineStr"/>
      <c r="K1016" t="inlineStr"/>
      <c r="L1016" t="inlineStr"/>
      <c r="M1016" t="inlineStr"/>
      <c r="N1016" t="inlineStr"/>
    </row>
    <row r="1017">
      <c r="A1017" t="inlineStr">
        <is>
          <t>O=C(Nc1ccc(Nc2ccccc2)cc1)Nc1ccc(Oc2ccccc2)cc1</t>
        </is>
      </c>
      <c r="B1017" t="inlineStr">
        <is>
          <t>ZINC000000640909</t>
        </is>
      </c>
      <c r="C1017" t="inlineStr"/>
      <c r="D1017" t="inlineStr"/>
      <c r="E1017" t="inlineStr"/>
      <c r="F1017" t="inlineStr"/>
      <c r="G1017" t="inlineStr"/>
      <c r="H1017">
        <f>HYPERLINK("http://www.sigmaaldrich.com/catalog/search?term=S695866|ALDRICH&amp;interface=All&amp;N=0&amp;mode=match%20partialmax&amp;lang=en&amp;region=US&amp;focus=product","S695866")</f>
        <v/>
      </c>
      <c r="I1017" t="inlineStr"/>
      <c r="J1017" t="inlineStr"/>
      <c r="K1017" t="inlineStr"/>
      <c r="L1017" t="inlineStr"/>
      <c r="M1017" t="inlineStr"/>
      <c r="N1017" t="inlineStr"/>
    </row>
    <row r="1018">
      <c r="A1018" t="inlineStr">
        <is>
          <t>CC(C)(C)c1cc(Nc2cc(C(C)(C)C)cc(C(C)(C)C)c2)cc(C(C)(C)C)c1</t>
        </is>
      </c>
      <c r="B1018" t="inlineStr">
        <is>
          <t>ZINC000003107443</t>
        </is>
      </c>
      <c r="C1018" t="inlineStr"/>
      <c r="D1018" t="inlineStr"/>
      <c r="E1018" t="inlineStr"/>
      <c r="F1018" t="inlineStr"/>
      <c r="G1018" t="inlineStr"/>
      <c r="H1018">
        <f>HYPERLINK("http://www.sigmaaldrich.com/catalog/search?term=R253677&amp;interface=All&amp;N=0&amp;mode=match%20partialmax&amp;lang=en&amp;region=US&amp;focus=product","R253677")</f>
        <v/>
      </c>
      <c r="I1018" t="inlineStr"/>
      <c r="J1018" t="inlineStr"/>
      <c r="K1018" t="inlineStr"/>
      <c r="L1018" t="inlineStr"/>
      <c r="M1018" t="inlineStr"/>
      <c r="N1018" t="inlineStr"/>
    </row>
    <row r="1019">
      <c r="A1019" t="inlineStr">
        <is>
          <t>COc1cc2ncnc(Nc3ccc(Oc4ccccc4)cc3C)c2cc1OC</t>
        </is>
      </c>
      <c r="B1019" t="inlineStr">
        <is>
          <t>ZINC000575624003</t>
        </is>
      </c>
      <c r="C1019" t="inlineStr"/>
      <c r="D1019" t="inlineStr"/>
      <c r="E1019" t="inlineStr"/>
      <c r="F1019" t="inlineStr"/>
      <c r="G1019">
        <f>HYPERLINK("http://astatechinc.com/CPSResult.php?CRNO=C73799","C73799")</f>
        <v/>
      </c>
      <c r="H1019">
        <f>HYPERLINK("http://www.sigmaaldrich.com/catalog/search?term=SML1805&amp;interface=All&amp;N=0&amp;mode=match%20partialmax&amp;lang=en&amp;region=US&amp;focus=product","SML1805")</f>
        <v/>
      </c>
      <c r="I1019" t="inlineStr"/>
      <c r="J1019" t="inlineStr"/>
      <c r="K1019" t="inlineStr"/>
      <c r="L1019" t="inlineStr"/>
      <c r="M1019" t="inlineStr"/>
      <c r="N1019" t="inlineStr"/>
    </row>
    <row r="1020">
      <c r="A1020" t="inlineStr">
        <is>
          <t>COc1ccc(Nc2ccc3c(C(F)(F)F)cc(C(F)(F)F)nc3n2)cc1</t>
        </is>
      </c>
      <c r="B1020" t="inlineStr">
        <is>
          <t>ZINC000003041421</t>
        </is>
      </c>
      <c r="C1020" t="inlineStr"/>
      <c r="D1020">
        <f>HYPERLINK("http://www.matrixscientific.com/162510.html","162510")</f>
        <v/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inlineStr">
        <is>
          <t>CC(C)(C)CC(C)(C)c1ccc(Nc2ccc(C(C)(C)CC(C)(C)C)cc2)cc1</t>
        </is>
      </c>
      <c r="B1021" t="inlineStr">
        <is>
          <t>ZINC000005314255</t>
        </is>
      </c>
      <c r="C1021">
        <f>HYPERLINK("http://www.combi-blocks.com/cgi-bin/find.cgi?QC-2110","QC-2110")</f>
        <v/>
      </c>
      <c r="D1021">
        <f>HYPERLINK("http://www.matrixscientific.com/097194.html","097194")</f>
        <v/>
      </c>
      <c r="E1021">
        <f>HYPERLINK("https://aksci.com/item_detail.php?cat=E958","E958")</f>
        <v/>
      </c>
      <c r="F1021" t="inlineStr"/>
      <c r="G1021" t="inlineStr"/>
      <c r="H1021" t="inlineStr"/>
      <c r="I1021" t="inlineStr"/>
      <c r="J1021">
        <f>HYPERLINK("http://www.ambeed.com/search/Search.html?keyword=A183779","A183779")</f>
        <v/>
      </c>
      <c r="K1021" t="inlineStr"/>
      <c r="L1021" t="inlineStr"/>
      <c r="M1021" t="inlineStr"/>
      <c r="N1021" t="inlineStr"/>
    </row>
    <row r="1022">
      <c r="A1022" t="inlineStr">
        <is>
          <t>CC(C)(C)OC(=O)Nc1cccc(Nc2nc(Cl)ncc2C(F)(F)F)c1</t>
        </is>
      </c>
      <c r="B1022" t="inlineStr">
        <is>
          <t>ZINC000145387167</t>
        </is>
      </c>
      <c r="C1022" t="inlineStr"/>
      <c r="D1022">
        <f>HYPERLINK("http://www.matrixscientific.com/153207.html","153207")</f>
        <v/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>
        <is>
          <t>CCOC(=O)c1ccc(Nc2ncnc3sc(-c4ccccc4)cc23)cc1</t>
        </is>
      </c>
      <c r="B1023" t="inlineStr">
        <is>
          <t>ZINC000002087890</t>
        </is>
      </c>
      <c r="C1023" t="inlineStr"/>
      <c r="D1023" t="inlineStr"/>
      <c r="E1023" t="inlineStr"/>
      <c r="F1023" t="inlineStr"/>
      <c r="G1023" t="inlineStr"/>
      <c r="H1023">
        <f>HYPERLINK("http://www.sigmaaldrich.com/catalog/search?term=R855820&amp;interface=All&amp;N=0&amp;mode=match%20partialmax&amp;lang=en&amp;region=US&amp;focus=product","R855820")</f>
        <v/>
      </c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>Fc1ccc(COc2ccc(-c3cnc(Nc4ccc(F)cc4)s3)cc2)cc1</t>
        </is>
      </c>
      <c r="B1024" t="inlineStr">
        <is>
          <t>ZINC000002570702</t>
        </is>
      </c>
      <c r="C1024" t="inlineStr"/>
      <c r="D1024">
        <f>HYPERLINK("http://www.matrixscientific.com/168215.html","168215")</f>
        <v/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inlineStr">
        <is>
          <t>CCOC(=O)c1ccc(NC(=O)Nc2ccc(Nc3ccccc3)cc2)cc1</t>
        </is>
      </c>
      <c r="B1025" t="inlineStr">
        <is>
          <t>ZINC000000640924</t>
        </is>
      </c>
      <c r="C1025" t="inlineStr"/>
      <c r="D1025" t="inlineStr"/>
      <c r="E1025" t="inlineStr"/>
      <c r="F1025" t="inlineStr"/>
      <c r="G1025" t="inlineStr"/>
      <c r="H1025">
        <f>HYPERLINK("http://www.sigmaaldrich.com/catalog/search?term=S702056&amp;interface=All&amp;N=0&amp;mode=match%20partialmax&amp;lang=en&amp;region=US&amp;focus=product","S702056")</f>
        <v/>
      </c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>CCOC(=O)c1cnc2c(C)cccc2c1Nc1ccc(OC(F)(F)F)cc1</t>
        </is>
      </c>
      <c r="B1026" t="inlineStr">
        <is>
          <t>ZINC000004054105</t>
        </is>
      </c>
      <c r="C1026" t="inlineStr"/>
      <c r="D1026">
        <f>HYPERLINK("http://www.matrixscientific.com/167456.html","167456")</f>
        <v/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>
        <is>
          <t>CCOC(=O)c1cnc2ccc(OC)cc2c1Nc1ccc(C(F)(F)F)cc1</t>
        </is>
      </c>
      <c r="B1027" t="inlineStr">
        <is>
          <t>ZINC000001392824</t>
        </is>
      </c>
      <c r="C1027" t="inlineStr"/>
      <c r="D1027">
        <f>HYPERLINK("http://www.matrixscientific.com/162913.html","162913")</f>
        <v/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inlineStr">
        <is>
          <t>CCc1c(C)c(C#N)c2nc3ccccc3n2c1Nc1cccc(C(F)(F)F)c1</t>
        </is>
      </c>
      <c r="B1028" t="inlineStr">
        <is>
          <t>ZINC000006830260</t>
        </is>
      </c>
      <c r="C1028" t="inlineStr"/>
      <c r="D1028" t="inlineStr"/>
      <c r="E1028" t="inlineStr"/>
      <c r="F1028" t="inlineStr"/>
      <c r="G1028" t="inlineStr"/>
      <c r="H1028">
        <f>HYPERLINK("http://www.sigmaaldrich.com/catalog/search?term=R877182&amp;interface=All&amp;N=0&amp;mode=match%20partialmax&amp;lang=en&amp;region=US&amp;focus=product","R877182")</f>
        <v/>
      </c>
      <c r="I1028" t="inlineStr"/>
      <c r="J1028" t="inlineStr"/>
      <c r="K1028" t="inlineStr"/>
      <c r="L1028" t="inlineStr"/>
      <c r="M1028" t="inlineStr"/>
      <c r="N1028" t="inlineStr"/>
    </row>
    <row r="1029">
      <c r="A1029" t="inlineStr">
        <is>
          <t>CCc1c(C)c(C#N)c2nc3ccccc3n2c1Nc1cccc2ccccc12</t>
        </is>
      </c>
      <c r="B1029" t="inlineStr">
        <is>
          <t>ZINC000000639675</t>
        </is>
      </c>
      <c r="C1029" t="inlineStr"/>
      <c r="D1029" t="inlineStr"/>
      <c r="E1029" t="inlineStr"/>
      <c r="F1029" t="inlineStr"/>
      <c r="G1029" t="inlineStr"/>
      <c r="H1029">
        <f>HYPERLINK("http://www.sigmaaldrich.com/catalog/search?term=R780014&amp;interface=All&amp;N=0&amp;mode=match%20partialmax&amp;lang=en&amp;region=US&amp;focus=product","R780014")</f>
        <v/>
      </c>
      <c r="I1029" t="inlineStr"/>
      <c r="J1029" t="inlineStr"/>
      <c r="K1029" t="inlineStr"/>
      <c r="L1029" t="inlineStr"/>
      <c r="M1029" t="inlineStr"/>
      <c r="N1029" t="inlineStr"/>
    </row>
    <row r="1030">
      <c r="A1030" t="inlineStr">
        <is>
          <t>CCCCCc1c(C)c(C#N)c2nc3ccccc3n2c1Nc1ccc(OC)cc1</t>
        </is>
      </c>
      <c r="B1030" t="inlineStr">
        <is>
          <t>ZINC000004136208</t>
        </is>
      </c>
      <c r="C1030" t="inlineStr"/>
      <c r="D1030" t="inlineStr"/>
      <c r="E1030" t="inlineStr"/>
      <c r="F1030" t="inlineStr"/>
      <c r="G1030" t="inlineStr"/>
      <c r="H1030">
        <f>HYPERLINK("http://www.sigmaaldrich.com/catalog/search?term=R828467&amp;interface=All&amp;N=0&amp;mode=match%20partialmax&amp;lang=en&amp;region=US&amp;focus=product","R828467")</f>
        <v/>
      </c>
      <c r="I1030" t="inlineStr"/>
      <c r="J1030" t="inlineStr"/>
      <c r="K1030" t="inlineStr"/>
      <c r="L1030" t="inlineStr"/>
      <c r="M1030" t="inlineStr"/>
      <c r="N1030" t="inlineStr"/>
    </row>
    <row r="1031">
      <c r="A1031" t="inlineStr">
        <is>
          <t>Cc1cc(C#N)cc(C)c1Oc1nc(Nc2ccc(C#N)cc2)ncc1Cl</t>
        </is>
      </c>
      <c r="B1031" t="inlineStr">
        <is>
          <t>ZINC000005930708</t>
        </is>
      </c>
      <c r="C1031" t="inlineStr"/>
      <c r="D1031">
        <f>HYPERLINK("http://www.matrixscientific.com/095297.html","095297")</f>
        <v/>
      </c>
      <c r="E1031">
        <f>HYPERLINK("https://aksci.com/item_detail.php?cat=2455AB","2455AB")</f>
        <v/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>CCCCc1ccc(Nc2cc(CCC)c(C#N)c3nc4ccccc4n23)cc1</t>
        </is>
      </c>
      <c r="B1032" t="inlineStr">
        <is>
          <t>ZINC000004674693</t>
        </is>
      </c>
      <c r="C1032" t="inlineStr"/>
      <c r="D1032" t="inlineStr"/>
      <c r="E1032" t="inlineStr"/>
      <c r="F1032" t="inlineStr"/>
      <c r="G1032" t="inlineStr"/>
      <c r="H1032">
        <f>HYPERLINK("http://www.sigmaaldrich.com/catalog/search?term=L183636&amp;interface=All&amp;N=0&amp;mode=match%20partialmax&amp;lang=en&amp;region=US&amp;focus=product","L183636")</f>
        <v/>
      </c>
      <c r="I1032" t="inlineStr"/>
      <c r="J1032" t="inlineStr"/>
      <c r="K1032" t="inlineStr"/>
      <c r="L1032" t="inlineStr"/>
      <c r="M1032" t="inlineStr"/>
      <c r="N1032" t="inlineStr"/>
    </row>
    <row r="1033">
      <c r="A1033" t="inlineStr">
        <is>
          <t>Cc1cccc(/N=C/c2c(Nc3cccc(C)c3)nc3c(C)cccn3c2=O)c1</t>
        </is>
      </c>
      <c r="B1033" t="inlineStr">
        <is>
          <t>ZINC000000677393</t>
        </is>
      </c>
      <c r="C1033" t="inlineStr"/>
      <c r="D1033" t="inlineStr"/>
      <c r="E1033" t="inlineStr"/>
      <c r="F1033" t="inlineStr"/>
      <c r="G1033" t="inlineStr"/>
      <c r="H1033">
        <f>HYPERLINK("http://www.sigmaaldrich.com/catalog/search?term=R681350&amp;interface=All&amp;N=0&amp;mode=match%20partialmax&amp;lang=en&amp;region=US&amp;focus=product","R681350")</f>
        <v/>
      </c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CCCCCCCCc1ccc(Nc2ccc(CCCCCCCC)cc2)cc1</t>
        </is>
      </c>
      <c r="B1034" t="inlineStr">
        <is>
          <t>ZINC000095866665</t>
        </is>
      </c>
      <c r="C1034" t="inlineStr"/>
      <c r="D1034">
        <f>HYPERLINK("http://www.matrixscientific.com/099877.html","099877")</f>
        <v/>
      </c>
      <c r="E1034" t="inlineStr"/>
      <c r="F1034" t="inlineStr"/>
      <c r="G1034">
        <f>HYPERLINK("http://astatechinc.com/CPSResult.php?CRNO=E10203","E10203")</f>
        <v/>
      </c>
      <c r="H1034" t="inlineStr"/>
      <c r="I1034" t="inlineStr"/>
      <c r="J1034">
        <f>HYPERLINK("http://www.ambeed.com/search/Search.html?keyword=A134598","A134598")</f>
        <v/>
      </c>
      <c r="K1034" t="inlineStr"/>
      <c r="L1034" t="inlineStr"/>
      <c r="M1034" t="inlineStr"/>
      <c r="N1034">
        <f>HYPERLINK("https://www.biosynth.com/en/products/life-science/other-biochemicals/products/W-109378","W-109378")</f>
        <v/>
      </c>
    </row>
    <row r="1035">
      <c r="A1035" t="inlineStr">
        <is>
          <t>Cc1cc(Nc2ccc(C3CCCCC3)cc2)n2c(nc3ccccc32)c1C#N</t>
        </is>
      </c>
      <c r="B1035" t="inlineStr">
        <is>
          <t>ZINC000006897355</t>
        </is>
      </c>
      <c r="C1035" t="inlineStr"/>
      <c r="D1035" t="inlineStr"/>
      <c r="E1035" t="inlineStr"/>
      <c r="F1035" t="inlineStr"/>
      <c r="G1035" t="inlineStr"/>
      <c r="H1035">
        <f>HYPERLINK("http://www.sigmaaldrich.com/catalog/search?term=R473316&amp;interface=All&amp;N=0&amp;mode=match%20partialmax&amp;lang=en&amp;region=US&amp;focus=product","R473316")</f>
        <v/>
      </c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COc1ccc(Nc2c(CCC(C)C)c(C)c(C#N)c3nc4ccccc4n23)cc1</t>
        </is>
      </c>
      <c r="B1036" t="inlineStr">
        <is>
          <t>ZINC000000632306</t>
        </is>
      </c>
      <c r="C1036" t="inlineStr"/>
      <c r="D1036" t="inlineStr"/>
      <c r="E1036" t="inlineStr"/>
      <c r="F1036" t="inlineStr"/>
      <c r="G1036" t="inlineStr"/>
      <c r="H1036">
        <f>HYPERLINK("http://www.sigmaaldrich.com/catalog/search?term=R877263&amp;interface=All&amp;N=0&amp;mode=match%20partialmax&amp;lang=en&amp;region=US&amp;focus=product","R877263")</f>
        <v/>
      </c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>Cc1c(CCC(C)C)c(Nc2ccc(F)cc2)n2c(nc3ccccc32)c1C#N</t>
        </is>
      </c>
      <c r="B1037" t="inlineStr">
        <is>
          <t>ZINC000004674126</t>
        </is>
      </c>
      <c r="C1037" t="inlineStr"/>
      <c r="D1037" t="inlineStr"/>
      <c r="E1037" t="inlineStr"/>
      <c r="F1037" t="inlineStr"/>
      <c r="G1037" t="inlineStr"/>
      <c r="H1037">
        <f>HYPERLINK("http://www.sigmaaldrich.com/catalog/search?term=R877379&amp;interface=All&amp;N=0&amp;mode=match%20partialmax&amp;lang=en&amp;region=US&amp;focus=product","R877379")</f>
        <v/>
      </c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CCCCc1ccc(Nc2c(CC)c(C)c(C#N)c3nc4ccccc4n23)cc1</t>
        </is>
      </c>
      <c r="B1038" t="inlineStr">
        <is>
          <t>ZINC000004675131</t>
        </is>
      </c>
      <c r="C1038" t="inlineStr"/>
      <c r="D1038" t="inlineStr"/>
      <c r="E1038" t="inlineStr"/>
      <c r="F1038" t="inlineStr"/>
      <c r="G1038" t="inlineStr"/>
      <c r="H1038">
        <f>HYPERLINK("http://www.sigmaaldrich.com/catalog/search?term=L183318&amp;interface=All&amp;N=0&amp;mode=match%20partialmax&amp;lang=en&amp;region=US&amp;focus=product","L183318")</f>
        <v/>
      </c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Cc1ccc(/N=C/c2c(Nc3ccc(C)cc3)nc3c(C)cccn3c2=O)cc1</t>
        </is>
      </c>
      <c r="B1039" t="inlineStr">
        <is>
          <t>ZINC000001470008</t>
        </is>
      </c>
      <c r="C1039" t="inlineStr"/>
      <c r="D1039" t="inlineStr"/>
      <c r="E1039" t="inlineStr"/>
      <c r="F1039" t="inlineStr"/>
      <c r="G1039" t="inlineStr"/>
      <c r="H1039">
        <f>HYPERLINK("http://www.sigmaaldrich.com/catalog/search?term=R901342&amp;interface=All&amp;N=0&amp;mode=match%20partialmax&amp;lang=en&amp;region=US&amp;focus=product","R901342")</f>
        <v/>
      </c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CCCCc1c(C)c(C#N)c2nc3ccccc3n2c1Nc1ccc(OCC)cc1</t>
        </is>
      </c>
      <c r="B1040" t="inlineStr">
        <is>
          <t>ZINC000006783362</t>
        </is>
      </c>
      <c r="C1040" t="inlineStr"/>
      <c r="D1040" t="inlineStr"/>
      <c r="E1040" t="inlineStr"/>
      <c r="F1040" t="inlineStr"/>
      <c r="G1040" t="inlineStr"/>
      <c r="H1040">
        <f>HYPERLINK("http://www.sigmaaldrich.com/catalog/search?term=R143707&amp;interface=All&amp;N=0&amp;mode=match%20partialmax&amp;lang=en&amp;region=US&amp;focus=product","R143707")</f>
        <v/>
      </c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>N#Cc1ccc(Nc2ccc3c(C(F)(F)F)cc(C(F)(F)F)nc3n2)cc1</t>
        </is>
      </c>
      <c r="B1041" t="inlineStr">
        <is>
          <t>ZINC000003041450</t>
        </is>
      </c>
      <c r="C1041" t="inlineStr"/>
      <c r="D1041">
        <f>HYPERLINK("http://www.matrixscientific.com/162514.html","162514")</f>
        <v/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Cc1ccc(Nc2c(CCC(C)C)c(C)c(C#N)c3nc4ccccc4n23)cc1C</t>
        </is>
      </c>
      <c r="B1042" t="inlineStr">
        <is>
          <t>ZINC000004674551</t>
        </is>
      </c>
      <c r="C1042" t="inlineStr"/>
      <c r="D1042" t="inlineStr"/>
      <c r="E1042" t="inlineStr"/>
      <c r="F1042" t="inlineStr"/>
      <c r="G1042" t="inlineStr"/>
      <c r="H1042">
        <f>HYPERLINK("http://www.sigmaaldrich.com/catalog/search?term=L184772&amp;interface=All&amp;N=0&amp;mode=match%20partialmax&amp;lang=en&amp;region=US&amp;focus=product","L184772")</f>
        <v/>
      </c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Cc1ccc(Nc2c(CCC(C)C)c(C)c(C#N)c3nc4ccccc4n23)cc1</t>
        </is>
      </c>
      <c r="B1043" t="inlineStr">
        <is>
          <t>ZINC000017179911</t>
        </is>
      </c>
      <c r="C1043" t="inlineStr"/>
      <c r="D1043" t="inlineStr"/>
      <c r="E1043" t="inlineStr"/>
      <c r="F1043" t="inlineStr"/>
      <c r="G1043" t="inlineStr"/>
      <c r="H1043">
        <f>HYPERLINK("http://www.sigmaaldrich.com/catalog/search?term=R147850&amp;interface=All&amp;N=0&amp;mode=match%20partialmax&amp;lang=en&amp;region=US&amp;focus=product","R147850")</f>
        <v/>
      </c>
      <c r="I1043" t="inlineStr"/>
      <c r="J1043" t="inlineStr"/>
      <c r="K1043" t="inlineStr"/>
      <c r="L1043" t="inlineStr"/>
      <c r="M1043" t="inlineStr"/>
      <c r="N1043" t="inlineStr"/>
    </row>
    <row r="1044">
      <c r="A1044" t="inlineStr">
        <is>
          <t>CCCCCc1c(C)c(C#N)c2nc3ccccc3n2c1Nc1ccc(F)cc1</t>
        </is>
      </c>
      <c r="B1044" t="inlineStr">
        <is>
          <t>ZINC000005053327</t>
        </is>
      </c>
      <c r="C1044" t="inlineStr"/>
      <c r="D1044" t="inlineStr"/>
      <c r="E1044" t="inlineStr"/>
      <c r="F1044" t="inlineStr"/>
      <c r="G1044" t="inlineStr"/>
      <c r="H1044">
        <f>HYPERLINK("http://www.sigmaaldrich.com/catalog/search?term=R828491&amp;interface=All&amp;N=0&amp;mode=match%20partialmax&amp;lang=en&amp;region=US&amp;focus=product","R828491")</f>
        <v/>
      </c>
      <c r="I1044" t="inlineStr"/>
      <c r="J1044" t="inlineStr"/>
      <c r="K1044" t="inlineStr"/>
      <c r="L1044" t="inlineStr"/>
      <c r="M1044" t="inlineStr"/>
      <c r="N1044" t="inlineStr"/>
    </row>
    <row r="1045">
      <c r="A1045" t="inlineStr">
        <is>
          <t>CCCCCc1c(C)c(C#N)c2nc3ccccc3n2c1Nc1ccc(C)cc1</t>
        </is>
      </c>
      <c r="B1045" t="inlineStr">
        <is>
          <t>ZINC000004674082</t>
        </is>
      </c>
      <c r="C1045" t="inlineStr"/>
      <c r="D1045" t="inlineStr"/>
      <c r="E1045" t="inlineStr"/>
      <c r="F1045" t="inlineStr"/>
      <c r="G1045" t="inlineStr"/>
      <c r="H1045">
        <f>HYPERLINK("http://www.sigmaaldrich.com/catalog/search?term=L184179&amp;interface=All&amp;N=0&amp;mode=match%20partialmax&amp;lang=en&amp;region=US&amp;focus=product","L184179")</f>
        <v/>
      </c>
      <c r="I1045" t="inlineStr"/>
      <c r="J1045" t="inlineStr"/>
      <c r="K1045" t="inlineStr"/>
      <c r="L1045" t="inlineStr"/>
      <c r="M1045" t="inlineStr"/>
      <c r="N1045" t="inlineStr"/>
    </row>
    <row r="1046">
      <c r="A1046" t="inlineStr">
        <is>
          <t>CCc1ccc(Nc2c(CCC(C)C)c(C)c(C#N)c3nc4ccccc4n23)cc1</t>
        </is>
      </c>
      <c r="B1046" t="inlineStr">
        <is>
          <t>ZINC000004674092</t>
        </is>
      </c>
      <c r="C1046" t="inlineStr"/>
      <c r="D1046" t="inlineStr"/>
      <c r="E1046" t="inlineStr"/>
      <c r="F1046" t="inlineStr"/>
      <c r="G1046" t="inlineStr"/>
      <c r="H1046">
        <f>HYPERLINK("http://www.sigmaaldrich.com/catalog/search?term=L184802&amp;interface=All&amp;N=0&amp;mode=match%20partialmax&amp;lang=en&amp;region=US&amp;focus=product","L184802")</f>
        <v/>
      </c>
      <c r="I1046" t="inlineStr"/>
      <c r="J1046" t="inlineStr"/>
      <c r="K1046" t="inlineStr"/>
      <c r="L1046" t="inlineStr"/>
      <c r="M1046" t="inlineStr"/>
      <c r="N1046" t="inlineStr"/>
    </row>
    <row r="1047">
      <c r="A1047" t="inlineStr">
        <is>
          <t>C(=N/c1ccc(Nc2ccccc2)cc1)\c1ccc(OCc2ccccc2)cc1</t>
        </is>
      </c>
      <c r="B1047" t="inlineStr">
        <is>
          <t>ZINC000004990390</t>
        </is>
      </c>
      <c r="C1047" t="inlineStr"/>
      <c r="D1047" t="inlineStr"/>
      <c r="E1047" t="inlineStr"/>
      <c r="F1047" t="inlineStr"/>
      <c r="G1047" t="inlineStr"/>
      <c r="H1047">
        <f>HYPERLINK("http://www.sigmaaldrich.com/catalog/search?term=S698776&amp;interface=All&amp;N=0&amp;mode=match%20partialmax&amp;lang=en&amp;region=US&amp;focus=product","S698776")</f>
        <v/>
      </c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Cc1c(Cc2ccccc2)c(Nc2ccccc2)n2c(nc3ccccc32)c1C#N</t>
        </is>
      </c>
      <c r="B1048" t="inlineStr">
        <is>
          <t>ZINC000006645880</t>
        </is>
      </c>
      <c r="C1048" t="inlineStr"/>
      <c r="D1048" t="inlineStr"/>
      <c r="E1048" t="inlineStr"/>
      <c r="F1048" t="inlineStr"/>
      <c r="G1048" t="inlineStr"/>
      <c r="H1048">
        <f>HYPERLINK("http://www.sigmaaldrich.com/catalog/search?term=R779741&amp;interface=All&amp;N=0&amp;mode=match%20partialmax&amp;lang=en&amp;region=US&amp;focus=product","R779741")</f>
        <v/>
      </c>
      <c r="I1048" t="inlineStr"/>
      <c r="J1048" t="inlineStr"/>
      <c r="K1048" t="inlineStr"/>
      <c r="L1048" t="inlineStr"/>
      <c r="M1048" t="inlineStr"/>
      <c r="N1048" t="inlineStr"/>
    </row>
    <row r="1049">
      <c r="A1049" t="inlineStr">
        <is>
          <t>Cc1cc(C#N)cc(C)c1Oc1cc(Cl)nc(Nc2ccc(C#N)cc2)n1</t>
        </is>
      </c>
      <c r="B1049" t="inlineStr">
        <is>
          <t>ZINC000077032151</t>
        </is>
      </c>
      <c r="C1049" t="inlineStr"/>
      <c r="D1049">
        <f>HYPERLINK("http://www.matrixscientific.com/091951.html","091951")</f>
        <v/>
      </c>
      <c r="E1049">
        <f>HYPERLINK("https://aksci.com/item_detail.php?cat=1491AA","1491AA")</f>
        <v/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inlineStr">
        <is>
          <t>CCCCc1c(C)c(C#N)c2nc3ccccc3n2c1Nc1ccc(OC)cc1</t>
        </is>
      </c>
      <c r="B1050" t="inlineStr">
        <is>
          <t>ZINC000006783356</t>
        </is>
      </c>
      <c r="C1050" t="inlineStr"/>
      <c r="D1050" t="inlineStr"/>
      <c r="E1050" t="inlineStr"/>
      <c r="F1050" t="inlineStr"/>
      <c r="G1050" t="inlineStr"/>
      <c r="H1050">
        <f>HYPERLINK("http://www.sigmaaldrich.com/catalog/search?term=R144959&amp;interface=All&amp;N=0&amp;mode=match%20partialmax&amp;lang=en&amp;region=US&amp;focus=product","R144959")</f>
        <v/>
      </c>
      <c r="I1050" t="inlineStr"/>
      <c r="J1050" t="inlineStr"/>
      <c r="K1050" t="inlineStr"/>
      <c r="L1050" t="inlineStr"/>
      <c r="M1050" t="inlineStr"/>
      <c r="N1050" t="inlineStr"/>
    </row>
    <row r="1051">
      <c r="A1051" t="inlineStr">
        <is>
          <t>COc1cc(OC)c(F)c(COc2cnc(Nc3cnn(CCO)c3)nc2)c1F</t>
        </is>
      </c>
      <c r="B1051" t="inlineStr">
        <is>
          <t>ZINC000204941009</t>
        </is>
      </c>
      <c r="C1051" t="inlineStr"/>
      <c r="D1051" t="inlineStr"/>
      <c r="E1051" t="inlineStr"/>
      <c r="F1051" t="inlineStr"/>
      <c r="G1051">
        <f>HYPERLINK("http://astatechinc.com/CPSResult.php?CRNO=N17013","N17013")</f>
        <v/>
      </c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inlineStr">
        <is>
          <t>c1nn(C2CCOCC2)cc1Nc1ncc2nnn(-c3ccc4cn[nH]c4c3)c2n1</t>
        </is>
      </c>
      <c r="B1052" t="inlineStr">
        <is>
          <t>ZINC000217873341</t>
        </is>
      </c>
      <c r="C1052" t="inlineStr"/>
      <c r="D1052" t="inlineStr"/>
      <c r="E1052" t="inlineStr"/>
      <c r="F1052">
        <f>HYPERLINK("https://www.enaminestore.com/catalog/EN300-310934","EN300-310934")</f>
        <v/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inlineStr">
        <is>
          <t>CCOc1ccc(Nc2nc3c(c(=O)n(C)c(=O)n3C)n2Cc2ccccc2)cc1</t>
        </is>
      </c>
      <c r="B1053" t="inlineStr">
        <is>
          <t>ZINC000000637702</t>
        </is>
      </c>
      <c r="C1053" t="inlineStr"/>
      <c r="D1053" t="inlineStr"/>
      <c r="E1053" t="inlineStr"/>
      <c r="F1053" t="inlineStr"/>
      <c r="G1053" t="inlineStr"/>
      <c r="H1053">
        <f>HYPERLINK("http://www.sigmaaldrich.com/catalog/search?term=R139505&amp;interface=All&amp;N=0&amp;mode=match%20partialmax&amp;lang=en&amp;region=US&amp;focus=product","R139505")</f>
        <v/>
      </c>
      <c r="I1053" t="inlineStr"/>
      <c r="J1053" t="inlineStr"/>
      <c r="K1053" t="inlineStr"/>
      <c r="L1053" t="inlineStr"/>
      <c r="M1053" t="inlineStr"/>
      <c r="N1053" t="inlineStr"/>
    </row>
    <row r="1054">
      <c r="A1054" t="inlineStr">
        <is>
          <t>COCCOc1cc2ncnc(Nc3cccc(C(=O)O)c3)c2cc1OCCOC</t>
        </is>
      </c>
      <c r="B1054" t="inlineStr">
        <is>
          <t>ZINC000584907176</t>
        </is>
      </c>
      <c r="C1054">
        <f>HYPERLINK("http://www.combi-blocks.com/cgi-bin/find.cgi?QV-5201","QV-5201")</f>
        <v/>
      </c>
      <c r="D1054" t="inlineStr"/>
      <c r="E1054" t="inlineStr"/>
      <c r="F1054" t="inlineStr"/>
      <c r="G1054">
        <f>HYPERLINK("http://astatechinc.com/CPSResult.php?CRNO=V10174","V10174")</f>
        <v/>
      </c>
      <c r="H1054">
        <f>HYPERLINK("http://www.sigmaaldrich.com/catalog/search?term=VBP00241&amp;interface=All&amp;N=0&amp;mode=match%20partialmax&amp;lang=en&amp;region=US&amp;focus=product","VBP00241")</f>
        <v/>
      </c>
      <c r="I1054" t="inlineStr"/>
      <c r="J1054" t="inlineStr"/>
      <c r="K1054" t="inlineStr"/>
      <c r="L1054" t="inlineStr"/>
      <c r="M1054" t="inlineStr"/>
      <c r="N1054" t="inlineStr"/>
    </row>
    <row r="1055">
      <c r="A1055" t="inlineStr">
        <is>
          <t>C#Cc1cccc(Nc2ncnc3cc(OCCOC)c(OCCOC(C)=O)cc23)c1</t>
        </is>
      </c>
      <c r="B1055" t="inlineStr">
        <is>
          <t>ZINC000022056270</t>
        </is>
      </c>
      <c r="C1055" t="inlineStr"/>
      <c r="D1055" t="inlineStr"/>
      <c r="E1055" t="inlineStr"/>
      <c r="F1055" t="inlineStr"/>
      <c r="G1055">
        <f>HYPERLINK("http://astatechinc.com/CPSResult.php?CRNO=43263","43263")</f>
        <v/>
      </c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inlineStr">
        <is>
          <t>COc1cc(Nc2ncncc2-c2nc(-c3ccccc3)no2)cc(OC)c1OC</t>
        </is>
      </c>
      <c r="B1056" t="inlineStr">
        <is>
          <t>ZINC000169775588</t>
        </is>
      </c>
      <c r="C1056" t="inlineStr"/>
      <c r="D1056" t="inlineStr"/>
      <c r="E1056">
        <f>HYPERLINK("https://aksci.com/item_detail.php?cat=HTS024876","HTS024876")</f>
        <v/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inlineStr">
        <is>
          <t>O=S(=O)(c1ccccc1)c1nnn2c1nc(Nc1ccccc1)c1ccccc12</t>
        </is>
      </c>
      <c r="B1057" t="inlineStr">
        <is>
          <t>ZINC000006802830</t>
        </is>
      </c>
      <c r="C1057" t="inlineStr"/>
      <c r="D1057" t="inlineStr"/>
      <c r="E1057">
        <f>HYPERLINK("https://aksci.com/item_detail.php?cat=HTS006171","HTS006171")</f>
        <v/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O=S(=O)(c1ccccc1)c1nnn2c1nc(Nc1ccc(F)cc1)c1ccccc12</t>
        </is>
      </c>
      <c r="B1058" t="inlineStr">
        <is>
          <t>ZINC000020356018</t>
        </is>
      </c>
      <c r="C1058" t="inlineStr"/>
      <c r="D1058" t="inlineStr"/>
      <c r="E1058">
        <f>HYPERLINK("https://aksci.com/item_detail.php?cat=HTS009809","HTS009809")</f>
        <v/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inlineStr">
        <is>
          <t>C#Cc1cc(Nc2ncnc3cc(OCCOC)c(OCCOC)cc23)ccc1C</t>
        </is>
      </c>
      <c r="B1059" t="inlineStr">
        <is>
          <t>ZINC000077302892</t>
        </is>
      </c>
      <c r="C1059" t="inlineStr"/>
      <c r="D1059" t="inlineStr"/>
      <c r="E1059" t="inlineStr"/>
      <c r="F1059" t="inlineStr"/>
      <c r="G1059">
        <f>HYPERLINK("http://astatechinc.com/CPSResult.php?CRNO=F19462","F19462")</f>
        <v/>
      </c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inlineStr">
        <is>
          <t>Cc1cccc(Nc2nc3c(S(=O)(=O)c4ccccc4)nnn3c3ccccc23)c1</t>
        </is>
      </c>
      <c r="B1060" t="inlineStr">
        <is>
          <t>ZINC000002692136</t>
        </is>
      </c>
      <c r="C1060" t="inlineStr"/>
      <c r="D1060" t="inlineStr"/>
      <c r="E1060">
        <f>HYPERLINK("https://aksci.com/item_detail.php?cat=HTS007057","HTS007057")</f>
        <v/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Cc1ccccc1Nc1nc2c(S(=O)(=O)c3ccccc3)nnn2c2ccccc12</t>
        </is>
      </c>
      <c r="B1061" t="inlineStr">
        <is>
          <t>ZINC000057524088</t>
        </is>
      </c>
      <c r="C1061" t="inlineStr"/>
      <c r="D1061" t="inlineStr"/>
      <c r="E1061">
        <f>HYPERLINK("https://aksci.com/item_detail.php?cat=HTS009806","HTS009806")</f>
        <v/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>
        <is>
          <t>Cc1ccc(Nc2nc3c(S(=O)(=O)c4ccccc4)nnn3c3ccccc23)cc1</t>
        </is>
      </c>
      <c r="B1062" t="inlineStr">
        <is>
          <t>ZINC000006802832</t>
        </is>
      </c>
      <c r="C1062" t="inlineStr"/>
      <c r="D1062" t="inlineStr"/>
      <c r="E1062">
        <f>HYPERLINK("https://aksci.com/item_detail.php?cat=HTS006172","HTS006172")</f>
        <v/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inlineStr">
        <is>
          <t>COc1ccc(/N=C/c2c(Nc3ccc(OC)cc3)nc3ccccn3c2=O)cc1</t>
        </is>
      </c>
      <c r="B1063" t="inlineStr">
        <is>
          <t>ZINC000000911108</t>
        </is>
      </c>
      <c r="C1063" t="inlineStr"/>
      <c r="D1063" t="inlineStr"/>
      <c r="E1063" t="inlineStr"/>
      <c r="F1063" t="inlineStr"/>
      <c r="G1063" t="inlineStr"/>
      <c r="H1063">
        <f>HYPERLINK("http://www.sigmaaldrich.com/catalog/search?term=R799149&amp;interface=All&amp;N=0&amp;mode=match%20partialmax&amp;lang=en&amp;region=US&amp;focus=product","R799149")</f>
        <v/>
      </c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CC(C)n1cnc2c(Nc3ccc(B4OC(C)(C)C(C)(C)O4)cc3)nc(Cl)nc21</t>
        </is>
      </c>
      <c r="B1064" t="inlineStr">
        <is>
          <t>ZINC000169988868</t>
        </is>
      </c>
      <c r="C1064" t="inlineStr"/>
      <c r="D1064">
        <f>HYPERLINK("http://www.matrixscientific.com/090087.html","090087")</f>
        <v/>
      </c>
      <c r="E1064">
        <f>HYPERLINK("https://aksci.com/item_detail.php?cat=1264AA","1264AA")</f>
        <v/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inlineStr">
        <is>
          <t>CCOc1ccc(OCC)c(Nc2ncncc2-c2nc(-c3ccccc3)no2)c1</t>
        </is>
      </c>
      <c r="B1065" t="inlineStr">
        <is>
          <t>ZINC000169776354</t>
        </is>
      </c>
      <c r="C1065" t="inlineStr"/>
      <c r="D1065" t="inlineStr"/>
      <c r="E1065">
        <f>HYPERLINK("https://aksci.com/item_detail.php?cat=HTS024894","HTS024894")</f>
        <v/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>CCOC(=O)c1cnc2cc(C(F)(F)F)ccc2c1Nc1ccc(C(=O)O)cc1</t>
        </is>
      </c>
      <c r="B1066" t="inlineStr">
        <is>
          <t>ZINC000005520825</t>
        </is>
      </c>
      <c r="C1066" t="inlineStr"/>
      <c r="D1066">
        <f>HYPERLINK("http://www.matrixscientific.com/138557.html","138557")</f>
        <v/>
      </c>
      <c r="E1066" t="inlineStr"/>
      <c r="F1066">
        <f>HYPERLINK("https://www.enaminestore.com/catalog/EN300-265796","EN300-265796")</f>
        <v/>
      </c>
      <c r="G1066" t="inlineStr"/>
      <c r="H1066" t="inlineStr"/>
      <c r="I1066" t="inlineStr"/>
      <c r="J1066" t="inlineStr"/>
      <c r="K1066" t="inlineStr"/>
      <c r="L1066">
        <f>HYPERLINK("http://www.achemblock.com/catalogsearch/result/?q=L19621","L19621")</f>
        <v/>
      </c>
      <c r="M1066" t="inlineStr"/>
      <c r="N1066" t="inlineStr"/>
    </row>
    <row r="1067">
      <c r="A1067" t="inlineStr">
        <is>
          <t>FC(F)(F)c1cc(Nc2nc(Cl)nc(-c3cccc(C(F)(F)F)n3)n2)ccn1</t>
        </is>
      </c>
      <c r="B1067" t="inlineStr">
        <is>
          <t>ZINC000222778904</t>
        </is>
      </c>
      <c r="C1067" t="inlineStr"/>
      <c r="D1067" t="inlineStr"/>
      <c r="E1067" t="inlineStr"/>
      <c r="F1067" t="inlineStr"/>
      <c r="G1067">
        <f>HYPERLINK("http://astatechinc.com/CPSResult.php?CRNO=A50927","A50927")</f>
        <v/>
      </c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COc1ccc(/N=C/c2c(Nc3ccc(OC)cc3)nc3ccc(C)cn3c2=O)cc1</t>
        </is>
      </c>
      <c r="B1068" t="inlineStr">
        <is>
          <t>ZINC000000940938</t>
        </is>
      </c>
      <c r="C1068" t="inlineStr"/>
      <c r="D1068" t="inlineStr"/>
      <c r="E1068" t="inlineStr"/>
      <c r="F1068" t="inlineStr"/>
      <c r="G1068" t="inlineStr"/>
      <c r="H1068">
        <f>HYPERLINK("http://www.sigmaaldrich.com/catalog/search?term=R391077&amp;interface=All&amp;N=0&amp;mode=match%20partialmax&amp;lang=en&amp;region=US&amp;focus=product","R391077")</f>
        <v/>
      </c>
      <c r="I1068" t="inlineStr"/>
      <c r="J1068" t="inlineStr"/>
      <c r="K1068" t="inlineStr"/>
      <c r="L1068" t="inlineStr"/>
      <c r="M1068" t="inlineStr"/>
      <c r="N1068" t="inlineStr"/>
    </row>
    <row r="1069">
      <c r="A1069" t="inlineStr">
        <is>
          <t>COc1ccc(/N=C/c2c(Nc3ccc(OC)cc3)nc3c(C)cccn3c2=O)cc1</t>
        </is>
      </c>
      <c r="B1069" t="inlineStr">
        <is>
          <t>ZINC000001215378</t>
        </is>
      </c>
      <c r="C1069" t="inlineStr"/>
      <c r="D1069" t="inlineStr"/>
      <c r="E1069" t="inlineStr"/>
      <c r="F1069" t="inlineStr"/>
      <c r="G1069" t="inlineStr"/>
      <c r="H1069">
        <f>HYPERLINK("http://www.sigmaaldrich.com/catalog/search?term=R902497&amp;interface=All&amp;N=0&amp;mode=match%20partialmax&amp;lang=en&amp;region=US&amp;focus=product","R902497")</f>
        <v/>
      </c>
      <c r="I1069" t="inlineStr"/>
      <c r="J1069" t="inlineStr"/>
      <c r="K1069" t="inlineStr"/>
      <c r="L1069" t="inlineStr"/>
      <c r="M1069" t="inlineStr"/>
      <c r="N1069" t="inlineStr"/>
    </row>
    <row r="1070">
      <c r="A1070" t="inlineStr">
        <is>
          <t>CC1(C)c2ccccc2-c2ccc(Nc3ccc4c(c3)C(C)(C)c3ccccc3-4)cc21</t>
        </is>
      </c>
      <c r="B1070" t="inlineStr">
        <is>
          <t>ZINC000082048518</t>
        </is>
      </c>
      <c r="C1070">
        <f>HYPERLINK("http://www.combi-blocks.com/cgi-bin/find.cgi?QK-3489","QK-3489")</f>
        <v/>
      </c>
      <c r="D1070">
        <f>HYPERLINK("http://www.matrixscientific.com/094497.html","094497")</f>
        <v/>
      </c>
      <c r="E1070">
        <f>HYPERLINK("https://aksci.com/item_detail.php?cat=6806AB","6806AB")</f>
        <v/>
      </c>
      <c r="F1070" t="inlineStr"/>
      <c r="G1070">
        <f>HYPERLINK("http://astatechinc.com/CPSResult.php?CRNO=74356","74356")</f>
        <v/>
      </c>
      <c r="H1070">
        <f>HYPERLINK("http://www.sigmaaldrich.com/catalog/search?term=900387&amp;interface=All&amp;N=0&amp;mode=match%20partialmax&amp;lang=en&amp;region=US&amp;focus=product","900387")</f>
        <v/>
      </c>
      <c r="I1070" t="inlineStr"/>
      <c r="J1070">
        <f>HYPERLINK("http://www.ambeed.com/search/Search.html?keyword=A267912","A267912")</f>
        <v/>
      </c>
      <c r="K1070" t="inlineStr"/>
      <c r="L1070" t="inlineStr"/>
      <c r="M1070" t="inlineStr"/>
      <c r="N1070" t="inlineStr"/>
    </row>
    <row r="1071">
      <c r="A1071" t="inlineStr">
        <is>
          <t>COc1cccc2sc(Nc3nc4ccc5nc(SC)sc5c4s3)nc12</t>
        </is>
      </c>
      <c r="B1071" t="inlineStr">
        <is>
          <t>ZINC000009381959</t>
        </is>
      </c>
      <c r="C1071" t="inlineStr"/>
      <c r="D1071">
        <f>HYPERLINK("http://www.matrixscientific.com/135641.html","135641")</f>
        <v/>
      </c>
      <c r="E1071" t="inlineStr"/>
      <c r="F1071" t="inlineStr"/>
      <c r="G1071" t="inlineStr"/>
      <c r="H1071" t="inlineStr"/>
      <c r="I1071" t="inlineStr"/>
      <c r="J1071" t="inlineStr"/>
      <c r="K1071" t="inlineStr"/>
      <c r="L1071">
        <f>HYPERLINK("http://www.achemblock.com/catalogsearch/result/?q=L20315","L20315")</f>
        <v/>
      </c>
      <c r="M1071" t="inlineStr"/>
      <c r="N1071" t="inlineStr"/>
    </row>
    <row r="1072">
      <c r="A1072" t="inlineStr">
        <is>
          <t>c1ccc(-c2ccc(-c3csc4ncnc(Nc5ccc6c(c5)OCO6)c34)cc2)cc1</t>
        </is>
      </c>
      <c r="B1072" t="inlineStr">
        <is>
          <t>ZINC000012583931</t>
        </is>
      </c>
      <c r="C1072" t="inlineStr"/>
      <c r="D1072" t="inlineStr"/>
      <c r="E1072" t="inlineStr"/>
      <c r="F1072" t="inlineStr"/>
      <c r="G1072" t="inlineStr"/>
      <c r="H1072">
        <f>HYPERLINK("http://www.sigmaaldrich.com/catalog/search?term=R875007&amp;interface=All&amp;N=0&amp;mode=match%20partialmax&amp;lang=en&amp;region=US&amp;focus=product","R875007")</f>
        <v/>
      </c>
      <c r="I1072" t="inlineStr"/>
      <c r="J1072" t="inlineStr"/>
      <c r="K1072" t="inlineStr"/>
      <c r="L1072" t="inlineStr"/>
      <c r="M1072" t="inlineStr"/>
      <c r="N1072" t="inlineStr"/>
    </row>
    <row r="1073">
      <c r="A1073" t="inlineStr">
        <is>
          <t>CC(C)(c1ccccc1)c1ccc(Nc2ccc(C(C)(C)c3ccccc3)cc2)cc1</t>
        </is>
      </c>
      <c r="B1073" t="inlineStr">
        <is>
          <t>ZINC000002565249</t>
        </is>
      </c>
      <c r="C1073" t="inlineStr"/>
      <c r="D1073" t="inlineStr"/>
      <c r="E1073">
        <f>HYPERLINK("https://aksci.com/item_detail.php?cat=R277","R277")</f>
        <v/>
      </c>
      <c r="F1073" t="inlineStr"/>
      <c r="G1073" t="inlineStr"/>
      <c r="H1073">
        <f>HYPERLINK("http://www.sigmaaldrich.com/catalog/search?term=CDS000491&amp;interface=All&amp;N=0&amp;mode=match%20partialmax&amp;lang=en&amp;region=US&amp;focus=product","CDS000491")</f>
        <v/>
      </c>
      <c r="I1073" t="inlineStr"/>
      <c r="J1073" t="inlineStr"/>
      <c r="K1073" t="inlineStr"/>
      <c r="L1073" t="inlineStr"/>
      <c r="M1073" t="inlineStr"/>
      <c r="N1073">
        <f>HYPERLINK("https://www.biosynth.com/en/products/life-science/other-biochemicals/products/W-108938","W-108938")</f>
        <v/>
      </c>
    </row>
    <row r="1074">
      <c r="A1074" t="inlineStr">
        <is>
          <t>c1ccc(Nc2ccc3c(c2)C(c2ccccc2)(c2ccccc2)c2ccccc2-3)cc1</t>
        </is>
      </c>
      <c r="B1074" t="inlineStr">
        <is>
          <t>ZINC000114581938</t>
        </is>
      </c>
      <c r="C1074" t="inlineStr"/>
      <c r="D1074" t="inlineStr"/>
      <c r="E1074" t="inlineStr"/>
      <c r="F1074" t="inlineStr"/>
      <c r="G1074">
        <f>HYPERLINK("http://astatechinc.com/CPSResult.php?CRNO=T73005","T73005")</f>
        <v/>
      </c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Cc1cccc(Nc2c(Cc3ccccc3)c(C)c(C#N)c3nc4ccccc4n23)c1</t>
        </is>
      </c>
      <c r="B1075" t="inlineStr">
        <is>
          <t>ZINC000004160103</t>
        </is>
      </c>
      <c r="C1075" t="inlineStr"/>
      <c r="D1075" t="inlineStr"/>
      <c r="E1075" t="inlineStr"/>
      <c r="F1075" t="inlineStr"/>
      <c r="G1075" t="inlineStr"/>
      <c r="H1075">
        <f>HYPERLINK("http://www.sigmaaldrich.com/catalog/search?term=R779628&amp;interface=All&amp;N=0&amp;mode=match%20partialmax&amp;lang=en&amp;region=US&amp;focus=product","R779628")</f>
        <v/>
      </c>
      <c r="I1075" t="inlineStr"/>
      <c r="J1075" t="inlineStr"/>
      <c r="K1075" t="inlineStr"/>
      <c r="L1075" t="inlineStr"/>
      <c r="M1075" t="inlineStr"/>
      <c r="N1075" t="inlineStr"/>
    </row>
    <row r="1076">
      <c r="A1076" t="inlineStr">
        <is>
          <t>CCCCCCCCc1c(C)c(C#N)c2nc3ccccc3n2c1Nc1ccccc1</t>
        </is>
      </c>
      <c r="B1076" t="inlineStr">
        <is>
          <t>ZINC000008431010</t>
        </is>
      </c>
      <c r="C1076" t="inlineStr"/>
      <c r="D1076" t="inlineStr"/>
      <c r="E1076" t="inlineStr"/>
      <c r="F1076" t="inlineStr"/>
      <c r="G1076" t="inlineStr"/>
      <c r="H1076">
        <f>HYPERLINK("http://www.sigmaaldrich.com/catalog/search?term=R471046&amp;interface=All&amp;N=0&amp;mode=match%20partialmax&amp;lang=en&amp;region=US&amp;focus=product","R471046")</f>
        <v/>
      </c>
      <c r="I1076" t="inlineStr"/>
      <c r="J1076" t="inlineStr"/>
      <c r="K1076" t="inlineStr"/>
      <c r="L1076" t="inlineStr"/>
      <c r="M1076" t="inlineStr"/>
      <c r="N1076" t="inlineStr"/>
    </row>
    <row r="1077">
      <c r="A1077" t="inlineStr">
        <is>
          <t>CCCCCCCCc1c(C)c(C#N)c2nc3ccccc3n2c1Nc1cccc(C)c1</t>
        </is>
      </c>
      <c r="B1077" t="inlineStr">
        <is>
          <t>ZINC000050860253</t>
        </is>
      </c>
      <c r="C1077" t="inlineStr"/>
      <c r="D1077" t="inlineStr"/>
      <c r="E1077" t="inlineStr"/>
      <c r="F1077" t="inlineStr"/>
      <c r="G1077" t="inlineStr"/>
      <c r="H1077">
        <f>HYPERLINK("http://www.sigmaaldrich.com/catalog/search?term=R144096&amp;interface=All&amp;N=0&amp;mode=match%20partialmax&amp;lang=en&amp;region=US&amp;focus=product","R144096")</f>
        <v/>
      </c>
      <c r="I1077" t="inlineStr"/>
      <c r="J1077" t="inlineStr"/>
      <c r="K1077" t="inlineStr"/>
      <c r="L1077" t="inlineStr"/>
      <c r="M1077" t="inlineStr"/>
      <c r="N1077" t="inlineStr"/>
    </row>
    <row r="1078">
      <c r="A1078" t="inlineStr">
        <is>
          <t>Cc1c(Cc2ccccc2)c(Nc2ccc(F)cc2)n2c(nc3ccccc32)c1C#N</t>
        </is>
      </c>
      <c r="B1078" t="inlineStr">
        <is>
          <t>ZINC000004815767</t>
        </is>
      </c>
      <c r="C1078" t="inlineStr"/>
      <c r="D1078" t="inlineStr"/>
      <c r="E1078" t="inlineStr"/>
      <c r="F1078" t="inlineStr"/>
      <c r="G1078" t="inlineStr"/>
      <c r="H1078">
        <f>HYPERLINK("http://www.sigmaaldrich.com/catalog/search?term=R524468&amp;interface=All&amp;N=0&amp;mode=match%20partialmax&amp;lang=en&amp;region=US&amp;focus=product","R524468")</f>
        <v/>
      </c>
      <c r="I1078" t="inlineStr"/>
      <c r="J1078" t="inlineStr"/>
      <c r="K1078" t="inlineStr"/>
      <c r="L1078" t="inlineStr"/>
      <c r="M1078" t="inlineStr"/>
      <c r="N1078" t="inlineStr"/>
    </row>
    <row r="1079">
      <c r="A1079" t="inlineStr">
        <is>
          <t>CCOc1ccc(Nc2c(CCC(C)C)c(C)c(C#N)c3nc4ccccc4n23)cc1</t>
        </is>
      </c>
      <c r="B1079" t="inlineStr">
        <is>
          <t>ZINC000004136222</t>
        </is>
      </c>
      <c r="C1079" t="inlineStr"/>
      <c r="D1079" t="inlineStr"/>
      <c r="E1079" t="inlineStr"/>
      <c r="F1079" t="inlineStr"/>
      <c r="G1079" t="inlineStr"/>
      <c r="H1079">
        <f>HYPERLINK("http://www.sigmaaldrich.com/catalog/search?term=R877387&amp;interface=All&amp;N=0&amp;mode=match%20partialmax&amp;lang=en&amp;region=US&amp;focus=product","R877387")</f>
        <v/>
      </c>
      <c r="I1079" t="inlineStr"/>
      <c r="J1079" t="inlineStr"/>
      <c r="K1079" t="inlineStr"/>
      <c r="L1079" t="inlineStr"/>
      <c r="M1079" t="inlineStr"/>
      <c r="N1079" t="inlineStr"/>
    </row>
    <row r="1080">
      <c r="A1080" t="inlineStr">
        <is>
          <t>COc1ccc(Nc2c(Cc3ccccc3)c(C)c(C#N)c3nc4ccccc4n23)cc1</t>
        </is>
      </c>
      <c r="B1080" t="inlineStr">
        <is>
          <t>ZINC000004160102</t>
        </is>
      </c>
      <c r="C1080" t="inlineStr"/>
      <c r="D1080" t="inlineStr"/>
      <c r="E1080" t="inlineStr"/>
      <c r="F1080" t="inlineStr"/>
      <c r="G1080" t="inlineStr"/>
      <c r="H1080">
        <f>HYPERLINK("http://www.sigmaaldrich.com/catalog/search?term=R148555&amp;interface=All&amp;N=0&amp;mode=match%20partialmax&amp;lang=en&amp;region=US&amp;focus=product","R148555")</f>
        <v/>
      </c>
      <c r="I1080" t="inlineStr"/>
      <c r="J1080" t="inlineStr"/>
      <c r="K1080" t="inlineStr"/>
      <c r="L1080" t="inlineStr"/>
      <c r="M1080" t="inlineStr"/>
      <c r="N1080" t="inlineStr"/>
    </row>
    <row r="1081">
      <c r="A1081" t="inlineStr">
        <is>
          <t>CCCCCc1c(C)c(C#N)c2nc3ccccc3n2c1Nc1ccc(OCC)cc1</t>
        </is>
      </c>
      <c r="B1081" t="inlineStr">
        <is>
          <t>ZINC000004674642</t>
        </is>
      </c>
      <c r="C1081" t="inlineStr"/>
      <c r="D1081" t="inlineStr"/>
      <c r="E1081" t="inlineStr"/>
      <c r="F1081" t="inlineStr"/>
      <c r="G1081" t="inlineStr"/>
      <c r="H1081">
        <f>HYPERLINK("http://www.sigmaaldrich.com/catalog/search?term=L184268&amp;interface=All&amp;N=0&amp;mode=match%20partialmax&amp;lang=en&amp;region=US&amp;focus=product","L184268")</f>
        <v/>
      </c>
      <c r="I1081" t="inlineStr"/>
      <c r="J1081" t="inlineStr"/>
      <c r="K1081" t="inlineStr"/>
      <c r="L1081" t="inlineStr"/>
      <c r="M1081" t="inlineStr"/>
      <c r="N1081" t="inlineStr"/>
    </row>
    <row r="1082">
      <c r="A1082" t="inlineStr">
        <is>
          <t>Cc1ccc(/N=C/c2c(Nc3ccc(C)cc3C)nc3c(C)cccn3c2=O)c(C)c1</t>
        </is>
      </c>
      <c r="B1082" t="inlineStr">
        <is>
          <t>ZINC000005337165</t>
        </is>
      </c>
      <c r="C1082" t="inlineStr"/>
      <c r="D1082" t="inlineStr"/>
      <c r="E1082" t="inlineStr"/>
      <c r="F1082" t="inlineStr"/>
      <c r="G1082" t="inlineStr"/>
      <c r="H1082">
        <f>HYPERLINK("http://www.sigmaaldrich.com/catalog/search?term=R678120&amp;interface=All&amp;N=0&amp;mode=match%20partialmax&amp;lang=en&amp;region=US&amp;focus=product","R678120")</f>
        <v/>
      </c>
      <c r="I1082" t="inlineStr"/>
      <c r="J1082" t="inlineStr"/>
      <c r="K1082" t="inlineStr"/>
      <c r="L1082" t="inlineStr"/>
      <c r="M1082" t="inlineStr"/>
      <c r="N1082" t="inlineStr"/>
    </row>
    <row r="1083">
      <c r="A1083" t="inlineStr">
        <is>
          <t>Cc1ccc(Nc2c(Cc3ccccc3)c(C)c(C#N)c3nc4ccccc4n23)cc1</t>
        </is>
      </c>
      <c r="B1083" t="inlineStr">
        <is>
          <t>ZINC000004135818</t>
        </is>
      </c>
      <c r="C1083" t="inlineStr"/>
      <c r="D1083" t="inlineStr"/>
      <c r="E1083" t="inlineStr"/>
      <c r="F1083" t="inlineStr"/>
      <c r="G1083" t="inlineStr"/>
      <c r="H1083">
        <f>HYPERLINK("http://www.sigmaaldrich.com/catalog/search?term=R404624&amp;interface=All&amp;N=0&amp;mode=match%20partialmax&amp;lang=en&amp;region=US&amp;focus=product","R404624")</f>
        <v/>
      </c>
      <c r="I1083" t="inlineStr"/>
      <c r="J1083" t="inlineStr"/>
      <c r="K1083" t="inlineStr"/>
      <c r="L1083" t="inlineStr"/>
      <c r="M1083" t="inlineStr"/>
      <c r="N1083" t="inlineStr"/>
    </row>
    <row r="1084">
      <c r="A1084" t="inlineStr">
        <is>
          <t>Cc1c(CCC(C)C)c(Nc2ccc(C(C)C)cc2)n2c(nc3ccccc32)c1C#N</t>
        </is>
      </c>
      <c r="B1084" t="inlineStr">
        <is>
          <t>ZINC000004674770</t>
        </is>
      </c>
      <c r="C1084" t="inlineStr"/>
      <c r="D1084" t="inlineStr"/>
      <c r="E1084" t="inlineStr"/>
      <c r="F1084" t="inlineStr"/>
      <c r="G1084" t="inlineStr"/>
      <c r="H1084">
        <f>HYPERLINK("http://www.sigmaaldrich.com/catalog/search?term=L184799&amp;interface=All&amp;N=0&amp;mode=match%20partialmax&amp;lang=en&amp;region=US&amp;focus=product","L184799")</f>
        <v/>
      </c>
      <c r="I1084" t="inlineStr"/>
      <c r="J1084" t="inlineStr"/>
      <c r="K1084" t="inlineStr"/>
      <c r="L1084" t="inlineStr"/>
      <c r="M1084" t="inlineStr"/>
      <c r="N1084" t="inlineStr"/>
    </row>
    <row r="1085">
      <c r="A1085" t="inlineStr">
        <is>
          <t>CCOC(=O)CCc1c(C)c(C#N)c2nc3ccccc3n2c1Nc1cccc(C)c1</t>
        </is>
      </c>
      <c r="B1085" t="inlineStr">
        <is>
          <t>ZINC000000638317</t>
        </is>
      </c>
      <c r="C1085" t="inlineStr"/>
      <c r="D1085" t="inlineStr"/>
      <c r="E1085" t="inlineStr"/>
      <c r="F1085" t="inlineStr"/>
      <c r="G1085" t="inlineStr"/>
      <c r="H1085">
        <f>HYPERLINK("http://www.sigmaaldrich.com/catalog/search?term=R148563&amp;interface=All&amp;N=0&amp;mode=match%20partialmax&amp;lang=en&amp;region=US&amp;focus=product","R148563")</f>
        <v/>
      </c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Cc1ccc(C)c(/N=C/c2c(Nc3cc(C)ccc3C)nc3c(C)cccn3c2=O)c1</t>
        </is>
      </c>
      <c r="B1086" t="inlineStr">
        <is>
          <t>ZINC000004733031</t>
        </is>
      </c>
      <c r="C1086" t="inlineStr"/>
      <c r="D1086" t="inlineStr"/>
      <c r="E1086" t="inlineStr"/>
      <c r="F1086" t="inlineStr"/>
      <c r="G1086" t="inlineStr"/>
      <c r="H1086">
        <f>HYPERLINK("http://www.sigmaaldrich.com/catalog/search?term=R798533&amp;interface=All&amp;N=0&amp;mode=match%20partialmax&amp;lang=en&amp;region=US&amp;focus=product","R798533")</f>
        <v/>
      </c>
      <c r="I1086" t="inlineStr"/>
      <c r="J1086" t="inlineStr"/>
      <c r="K1086" t="inlineStr"/>
      <c r="L1086" t="inlineStr"/>
      <c r="M1086" t="inlineStr"/>
      <c r="N1086" t="inlineStr"/>
    </row>
    <row r="1087">
      <c r="A1087" t="inlineStr">
        <is>
          <t>CCCCc1ccc(Nc2c(CCC(C)C)c(C)c(C#N)c3nc4ccccc4n23)cc1</t>
        </is>
      </c>
      <c r="B1087" t="inlineStr">
        <is>
          <t>ZINC000004674121</t>
        </is>
      </c>
      <c r="C1087" t="inlineStr"/>
      <c r="D1087" t="inlineStr"/>
      <c r="E1087" t="inlineStr"/>
      <c r="F1087" t="inlineStr"/>
      <c r="G1087" t="inlineStr"/>
      <c r="H1087">
        <f>HYPERLINK("http://www.sigmaaldrich.com/catalog/search?term=L184810&amp;interface=All&amp;N=0&amp;mode=match%20partialmax&amp;lang=en&amp;region=US&amp;focus=product","L184810")</f>
        <v/>
      </c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N#Cc1c2c(c(Nc3ccc(C4CCCCC4)cc3)n3c1nc1ccccc13)CCC2</t>
        </is>
      </c>
      <c r="B1088" t="inlineStr">
        <is>
          <t>ZINC000004160108</t>
        </is>
      </c>
      <c r="C1088" t="inlineStr"/>
      <c r="D1088" t="inlineStr"/>
      <c r="E1088" t="inlineStr"/>
      <c r="F1088" t="inlineStr"/>
      <c r="G1088" t="inlineStr"/>
      <c r="H1088">
        <f>HYPERLINK("http://www.sigmaaldrich.com/catalog/search?term=R473456&amp;interface=All&amp;N=0&amp;mode=match%20partialmax&amp;lang=en&amp;region=US&amp;focus=product","R473456")</f>
        <v/>
      </c>
      <c r="I1088" t="inlineStr"/>
      <c r="J1088" t="inlineStr"/>
      <c r="K1088" t="inlineStr"/>
      <c r="L1088" t="inlineStr"/>
      <c r="M1088" t="inlineStr"/>
      <c r="N1088" t="inlineStr"/>
    </row>
    <row r="1089">
      <c r="A1089" t="inlineStr">
        <is>
          <t>Cc1cc(Nc2ccc(S(F)(F)(F)(F)F)cc2)n2nc(C(C)(F)F)nc2n1</t>
        </is>
      </c>
      <c r="B1089" t="inlineStr">
        <is>
          <t>ZINC000073311109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>
        <f>HYPERLINK("http://www.achemblock.com/catalogsearch/result/?q=Q65520","Q65520")</f>
        <v/>
      </c>
      <c r="M1089" t="inlineStr"/>
      <c r="N1089" t="inlineStr"/>
    </row>
    <row r="1090">
      <c r="A1090" t="inlineStr">
        <is>
          <t>COc1ccccc1Nc1nc2c(S(=O)(=O)c3ccccc3)nnn2c2ccccc12</t>
        </is>
      </c>
      <c r="B1090" t="inlineStr">
        <is>
          <t>ZINC000009970196</t>
        </is>
      </c>
      <c r="C1090" t="inlineStr"/>
      <c r="D1090" t="inlineStr"/>
      <c r="E1090">
        <f>HYPERLINK("https://aksci.com/item_detail.php?cat=HTS009808","HTS009808")</f>
        <v/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>O=S(=O)(c1ccccc1)c1nnn2c1nc(Nc1ccc3c(c1)OCO3)c1ccccc12</t>
        </is>
      </c>
      <c r="B1091" t="inlineStr">
        <is>
          <t>ZINC000057524130</t>
        </is>
      </c>
      <c r="C1091" t="inlineStr"/>
      <c r="D1091" t="inlineStr"/>
      <c r="E1091">
        <f>HYPERLINK("https://aksci.com/item_detail.php?cat=HTS009820","HTS009820")</f>
        <v/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inlineStr">
        <is>
          <t>COC(=O)c1ccc2c(=O)n(-c3ccccc3)c(Nc3ccccc3C(=O)OC)nc2c1</t>
        </is>
      </c>
      <c r="B1092" t="inlineStr">
        <is>
          <t>ZINC000098212129</t>
        </is>
      </c>
      <c r="C1092" t="inlineStr"/>
      <c r="D1092" t="inlineStr"/>
      <c r="E1092">
        <f>HYPERLINK("https://aksci.com/item_detail.php?cat=HTS004418","HTS004418")</f>
        <v/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inlineStr">
        <is>
          <t>Cc1ccc(Nc2nc3c(S(=O)(=O)c4ccccc4)nnn3c3ccccc23)c(C)c1</t>
        </is>
      </c>
      <c r="B1093" t="inlineStr">
        <is>
          <t>ZINC000002692303</t>
        </is>
      </c>
      <c r="C1093" t="inlineStr"/>
      <c r="D1093" t="inlineStr"/>
      <c r="E1093">
        <f>HYPERLINK("https://aksci.com/item_detail.php?cat=HTS009817","HTS009817")</f>
        <v/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>
        <is>
          <t>CCc1ccccc1Nc1nc2c(S(=O)(=O)c3ccccc3)nnn2c2ccccc12</t>
        </is>
      </c>
      <c r="B1094" t="inlineStr">
        <is>
          <t>ZINC000009970198</t>
        </is>
      </c>
      <c r="C1094" t="inlineStr"/>
      <c r="D1094" t="inlineStr"/>
      <c r="E1094">
        <f>HYPERLINK("https://aksci.com/item_detail.php?cat=HTS009821","HTS009821")</f>
        <v/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inlineStr">
        <is>
          <t>Cc1cc(C)cc(Nc2nc3c(S(=O)(=O)c4ccccc4)nnn3c3ccccc23)c1</t>
        </is>
      </c>
      <c r="B1095" t="inlineStr">
        <is>
          <t>ZINC000002692295</t>
        </is>
      </c>
      <c r="C1095" t="inlineStr"/>
      <c r="D1095" t="inlineStr"/>
      <c r="E1095">
        <f>HYPERLINK("https://aksci.com/item_detail.php?cat=HTS009812","HTS009812")</f>
        <v/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inlineStr">
        <is>
          <t>Cc1cccc(Nc2nc3c(S(=O)(=O)c4ccccc4)nnn3c3ccccc23)c1C</t>
        </is>
      </c>
      <c r="B1096" t="inlineStr">
        <is>
          <t>ZINC000002692301</t>
        </is>
      </c>
      <c r="C1096" t="inlineStr"/>
      <c r="D1096" t="inlineStr"/>
      <c r="E1096">
        <f>HYPERLINK("https://aksci.com/item_detail.php?cat=HTS009816","HTS009816")</f>
        <v/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inlineStr">
        <is>
          <t>CCc1ccc(Nc2nc3c(S(=O)(=O)c4ccccc4)nnn3c3ccccc23)cc1</t>
        </is>
      </c>
      <c r="B1097" t="inlineStr">
        <is>
          <t>ZINC000002692307</t>
        </is>
      </c>
      <c r="C1097" t="inlineStr"/>
      <c r="D1097" t="inlineStr"/>
      <c r="E1097">
        <f>HYPERLINK("https://aksci.com/item_detail.php?cat=HTS009822","HTS009822")</f>
        <v/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inlineStr">
        <is>
          <t>COc1cccc(Nc2nc3c(S(=O)(=O)c4ccc(C)cc4)nnn3c3ccccc23)c1</t>
        </is>
      </c>
      <c r="B1098" t="inlineStr">
        <is>
          <t>ZINC000002713134</t>
        </is>
      </c>
      <c r="C1098" t="inlineStr"/>
      <c r="D1098" t="inlineStr"/>
      <c r="E1098">
        <f>HYPERLINK("https://aksci.com/item_detail.php?cat=HTS006180","HTS006180")</f>
        <v/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>
        <is>
          <t>Cc1ccc(C)c(Nc2nc3c(S(=O)(=O)c4ccccc4)nnn3c3ccccc23)c1</t>
        </is>
      </c>
      <c r="B1099" t="inlineStr">
        <is>
          <t>ZINC000002692297</t>
        </is>
      </c>
      <c r="C1099" t="inlineStr"/>
      <c r="D1099" t="inlineStr"/>
      <c r="E1099">
        <f>HYPERLINK("https://aksci.com/item_detail.php?cat=HTS009813","HTS009813")</f>
        <v/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inlineStr">
        <is>
          <t>CCOc1ccccc1Nc1nc2c(S(=O)(=O)c3ccccc3)nnn2c2ccccc12</t>
        </is>
      </c>
      <c r="B1100" t="inlineStr">
        <is>
          <t>ZINC000002692312</t>
        </is>
      </c>
      <c r="C1100" t="inlineStr"/>
      <c r="D1100" t="inlineStr"/>
      <c r="E1100">
        <f>HYPERLINK("https://aksci.com/item_detail.php?cat=HTS009824","HTS009824")</f>
        <v/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t="inlineStr">
        <is>
          <t>COc1ccc(C)cc1Nc1nc2c(S(=O)(=O)c3ccccc3)nnn2c2ccccc12</t>
        </is>
      </c>
      <c r="B1101" t="inlineStr">
        <is>
          <t>ZINC000002692313</t>
        </is>
      </c>
      <c r="C1101" t="inlineStr"/>
      <c r="D1101" t="inlineStr"/>
      <c r="E1101">
        <f>HYPERLINK("https://aksci.com/item_detail.php?cat=HTS009825","HTS009825")</f>
        <v/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inlineStr">
        <is>
          <t>Cc1cccc(C)c1Nc1nc2c(S(=O)(=O)c3ccccc3)nnn2c2ccccc12</t>
        </is>
      </c>
      <c r="B1102" t="inlineStr">
        <is>
          <t>ZINC000057524124</t>
        </is>
      </c>
      <c r="C1102" t="inlineStr"/>
      <c r="D1102" t="inlineStr"/>
      <c r="E1102">
        <f>HYPERLINK("https://aksci.com/item_detail.php?cat=HTS009818","HTS009818")</f>
        <v/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inlineStr">
        <is>
          <t>Cc1ccc(S(=O)(=O)c2nnn3c2nc(Nc2ccc(F)cc2)c2ccccc23)cc1C</t>
        </is>
      </c>
      <c r="B1103" t="inlineStr">
        <is>
          <t>ZINC000002693121</t>
        </is>
      </c>
      <c r="C1103" t="inlineStr"/>
      <c r="D1103" t="inlineStr"/>
      <c r="E1103">
        <f>HYPERLINK("https://aksci.com/item_detail.php?cat=HTS009831","HTS009831")</f>
        <v/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inlineStr">
        <is>
          <t>CSc1cccc(Nc2nc3c(S(=O)(=O)c4ccccc4)nnn3c3ccccc23)c1</t>
        </is>
      </c>
      <c r="B1104" t="inlineStr">
        <is>
          <t>ZINC000002693514</t>
        </is>
      </c>
      <c r="C1104" t="inlineStr"/>
      <c r="D1104" t="inlineStr"/>
      <c r="E1104">
        <f>HYPERLINK("https://aksci.com/item_detail.php?cat=HTS007054","HTS007054")</f>
        <v/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inlineStr">
        <is>
          <t>CC(C)(O)c1cc(Nc2cc(Oc3cn(C4CC4)nc3C3CCOCC3)ccn2)ccn1</t>
        </is>
      </c>
      <c r="B1105" t="inlineStr">
        <is>
          <t>ZINC000953001276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>
        <f>HYPERLINK("http://www.achemblock.com/catalogsearch/result/?q=Q65531","Q65531")</f>
        <v/>
      </c>
      <c r="M1105" t="inlineStr"/>
      <c r="N1105" t="inlineStr"/>
    </row>
    <row r="1106">
      <c r="A1106" t="inlineStr">
        <is>
          <t>CC(C)c1ccc(Nc2nc3c(S(=O)(=O)c4ccccc4)nnn3c3ccccc23)cc1</t>
        </is>
      </c>
      <c r="B1106" t="inlineStr">
        <is>
          <t>ZINC000002693309</t>
        </is>
      </c>
      <c r="C1106" t="inlineStr"/>
      <c r="D1106" t="inlineStr"/>
      <c r="E1106">
        <f>HYPERLINK("https://aksci.com/item_detail.php?cat=HTS009826","HTS009826")</f>
        <v/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inlineStr">
        <is>
          <t>O=C1c2ccccc2C(=O)c2c(Nc3cccc4c3C(=O)c3ccccc3C4=O)cccc21</t>
        </is>
      </c>
      <c r="B1107" t="inlineStr">
        <is>
          <t>ZINC000003873988</t>
        </is>
      </c>
      <c r="C1107">
        <f>HYPERLINK("http://www.combi-blocks.com/cgi-bin/find.cgi?QC-3266","QC-3266")</f>
        <v/>
      </c>
      <c r="D1107" t="inlineStr"/>
      <c r="E1107">
        <f>HYPERLINK("https://aksci.com/item_detail.php?cat=6757AF","6757AF")</f>
        <v/>
      </c>
      <c r="F1107" t="inlineStr"/>
      <c r="G1107">
        <f>HYPERLINK("http://astatechinc.com/CPSResult.php?CRNO=T71363","T71363")</f>
        <v/>
      </c>
      <c r="H1107" t="inlineStr"/>
      <c r="I1107" t="inlineStr"/>
      <c r="J1107" t="inlineStr"/>
      <c r="K1107" t="inlineStr"/>
      <c r="L1107" t="inlineStr"/>
      <c r="M1107" t="inlineStr"/>
      <c r="N1107">
        <f>HYPERLINK("https://www.biosynth.com/en/products/life-science/other-biochemicals/products/W-109294","W-109294")</f>
        <v/>
      </c>
    </row>
    <row r="1108">
      <c r="A1108" t="inlineStr">
        <is>
          <t>CCOc1ccc(/N=C/c2c(Nc3ccc(OCC)cc3)nc3ccccn3c2=O)cc1</t>
        </is>
      </c>
      <c r="B1108" t="inlineStr">
        <is>
          <t>ZINC000000911120</t>
        </is>
      </c>
      <c r="C1108" t="inlineStr"/>
      <c r="D1108" t="inlineStr"/>
      <c r="E1108" t="inlineStr"/>
      <c r="F1108" t="inlineStr"/>
      <c r="G1108" t="inlineStr"/>
      <c r="H1108">
        <f>HYPERLINK("http://www.sigmaaldrich.com/catalog/search?term=R797251&amp;interface=All&amp;N=0&amp;mode=match%20partialmax&amp;lang=en&amp;region=US&amp;focus=product","R797251")</f>
        <v/>
      </c>
      <c r="I1108" t="inlineStr"/>
      <c r="J1108" t="inlineStr"/>
      <c r="K1108" t="inlineStr"/>
      <c r="L1108" t="inlineStr"/>
      <c r="M1108" t="inlineStr"/>
      <c r="N1108" t="inlineStr"/>
    </row>
    <row r="1109">
      <c r="A1109" t="inlineStr">
        <is>
          <t>CCc1c(C)c(C#N)c2nc3ccccc3n2c1Nc1c(C)n(C)n(-c2ccccc2)c1=O</t>
        </is>
      </c>
      <c r="B1109" t="inlineStr">
        <is>
          <t>ZINC000000945523</t>
        </is>
      </c>
      <c r="C1109" t="inlineStr"/>
      <c r="D1109" t="inlineStr"/>
      <c r="E1109" t="inlineStr"/>
      <c r="F1109" t="inlineStr"/>
      <c r="G1109" t="inlineStr"/>
      <c r="H1109">
        <f>HYPERLINK("http://www.sigmaaldrich.com/catalog/search?term=R492477&amp;interface=All&amp;N=0&amp;mode=match%20partialmax&amp;lang=en&amp;region=US&amp;focus=product","R492477")</f>
        <v/>
      </c>
      <c r="I1109" t="inlineStr"/>
      <c r="J1109" t="inlineStr"/>
      <c r="K1109" t="inlineStr"/>
      <c r="L1109" t="inlineStr"/>
      <c r="M1109" t="inlineStr"/>
      <c r="N1109" t="inlineStr"/>
    </row>
    <row r="1110">
      <c r="A1110" t="inlineStr">
        <is>
          <t>Cc1c(Nc2c3c(c(C#N)c4nc5ccccc5n24)CCCC3)c(=O)n(-c2ccccc2)n1C</t>
        </is>
      </c>
      <c r="B1110" t="inlineStr">
        <is>
          <t>ZINC000000941785</t>
        </is>
      </c>
      <c r="C1110" t="inlineStr"/>
      <c r="D1110" t="inlineStr"/>
      <c r="E1110" t="inlineStr"/>
      <c r="F1110" t="inlineStr"/>
      <c r="G1110" t="inlineStr"/>
      <c r="H1110">
        <f>HYPERLINK("http://www.sigmaaldrich.com/catalog/search?term=L183768&amp;interface=All&amp;N=0&amp;mode=match%20partialmax&amp;lang=en&amp;region=US&amp;focus=product","L183768")</f>
        <v/>
      </c>
      <c r="I1110" t="inlineStr"/>
      <c r="J1110" t="inlineStr"/>
      <c r="K1110" t="inlineStr"/>
      <c r="L1110" t="inlineStr"/>
      <c r="M1110" t="inlineStr"/>
      <c r="N1110" t="inlineStr"/>
    </row>
    <row r="1111">
      <c r="A1111" t="inlineStr">
        <is>
          <t>CCCc1cc(Nc2c(C)n(C)n(-c3ccccc3)c2=O)n2c(nc3ccccc32)c1C#N</t>
        </is>
      </c>
      <c r="B1111" t="inlineStr">
        <is>
          <t>ZINC000008931583</t>
        </is>
      </c>
      <c r="C1111" t="inlineStr"/>
      <c r="D1111" t="inlineStr"/>
      <c r="E1111" t="inlineStr"/>
      <c r="F1111" t="inlineStr"/>
      <c r="G1111" t="inlineStr"/>
      <c r="H1111">
        <f>HYPERLINK("http://www.sigmaaldrich.com/catalog/search?term=L183393&amp;interface=All&amp;N=0&amp;mode=match%20partialmax&amp;lang=en&amp;region=US&amp;focus=product","L183393")</f>
        <v/>
      </c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COc1ccc(COc2cccc(Nc3ccnc4cc(Br)sc34)c2)cc1</t>
        </is>
      </c>
      <c r="B1112" t="inlineStr">
        <is>
          <t>ZINC000149516942</t>
        </is>
      </c>
      <c r="C1112">
        <f>HYPERLINK("http://www.combi-blocks.com/cgi-bin/find.cgi?QW-3809","QW-3809")</f>
        <v/>
      </c>
      <c r="D1112" t="inlineStr"/>
      <c r="E1112" t="inlineStr"/>
      <c r="F1112" t="inlineStr"/>
      <c r="G1112">
        <f>HYPERLINK("http://astatechinc.com/CPSResult.php?CRNO=P15334","P15334")</f>
        <v/>
      </c>
      <c r="H1112" t="inlineStr"/>
      <c r="I1112" t="inlineStr"/>
      <c r="J1112" t="inlineStr"/>
      <c r="K1112" t="inlineStr"/>
      <c r="L1112">
        <f>HYPERLINK("http://www.achemblock.com/catalogsearch/result/?q=L13927","L13927")</f>
        <v/>
      </c>
      <c r="M1112" t="inlineStr"/>
      <c r="N1112" t="inlineStr"/>
    </row>
    <row r="1113">
      <c r="A1113" t="inlineStr">
        <is>
          <t>FC(F)(F)c1ccc(Nc2nc(-c3c(C(F)(F)F)nc4ccccn34)cs2)cc1</t>
        </is>
      </c>
      <c r="B1113" t="inlineStr">
        <is>
          <t>ZINC000210522261</t>
        </is>
      </c>
      <c r="C1113" t="inlineStr"/>
      <c r="D1113" t="inlineStr"/>
      <c r="E1113" t="inlineStr"/>
      <c r="F1113" t="inlineStr"/>
      <c r="G1113">
        <f>HYPERLINK("http://astatechinc.com/CPSResult.php?CRNO=C15779","C15779")</f>
        <v/>
      </c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inlineStr">
        <is>
          <t>CC1(C)c2ccccc2-c2ccc(Nc3cc(-c4ccccc4)cc(-c4ccccc4)c3)cc21</t>
        </is>
      </c>
      <c r="B1114" t="inlineStr">
        <is>
          <t>ZINC000675083021</t>
        </is>
      </c>
      <c r="C1114" t="inlineStr"/>
      <c r="D1114" t="inlineStr"/>
      <c r="E1114" t="inlineStr"/>
      <c r="F1114" t="inlineStr"/>
      <c r="G1114">
        <f>HYPERLINK("http://astatechinc.com/CPSResult.php?CRNO=S11707","S11707")</f>
        <v/>
      </c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inlineStr">
        <is>
          <t>CCOc1ccc(/N=C/c2c(Nc3ccc(OCC)cc3)nc3c(C)cccn3c2=O)cc1</t>
        </is>
      </c>
      <c r="B1115" t="inlineStr">
        <is>
          <t>ZINC000001214481</t>
        </is>
      </c>
      <c r="C1115" t="inlineStr"/>
      <c r="D1115" t="inlineStr"/>
      <c r="E1115" t="inlineStr"/>
      <c r="F1115" t="inlineStr"/>
      <c r="G1115" t="inlineStr"/>
      <c r="H1115">
        <f>HYPERLINK("http://www.sigmaaldrich.com/catalog/search?term=R798258&amp;interface=All&amp;N=0&amp;mode=match%20partialmax&amp;lang=en&amp;region=US&amp;focus=product","R798258")</f>
        <v/>
      </c>
      <c r="I1115" t="inlineStr"/>
      <c r="J1115" t="inlineStr"/>
      <c r="K1115" t="inlineStr"/>
      <c r="L1115" t="inlineStr"/>
      <c r="M1115" t="inlineStr"/>
      <c r="N1115" t="inlineStr"/>
    </row>
    <row r="1116">
      <c r="A1116" t="inlineStr">
        <is>
          <t>CCCCCCCCOc1ccc(Nc2ccc(OCCCCCCCC)cc2)cc1</t>
        </is>
      </c>
      <c r="B1116" t="inlineStr">
        <is>
          <t>ZINC000059961900</t>
        </is>
      </c>
      <c r="C1116">
        <f>HYPERLINK("http://www.combi-blocks.com/cgi-bin/find.cgi?QV-4349","QV-4349")</f>
        <v/>
      </c>
      <c r="D1116" t="inlineStr"/>
      <c r="E1116" t="inlineStr"/>
      <c r="F1116" t="inlineStr"/>
      <c r="G1116">
        <f>HYPERLINK("http://astatechinc.com/CPSResult.php?CRNO=E10189","E10189")</f>
        <v/>
      </c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inlineStr">
        <is>
          <t>FC(F)(F)c1cccc(Nc2ccc3c(C(F)(F)F)cc(C(F)(F)F)nc3n2)c1</t>
        </is>
      </c>
      <c r="B1117" t="inlineStr">
        <is>
          <t>ZINC000095691960</t>
        </is>
      </c>
      <c r="C1117" t="inlineStr"/>
      <c r="D1117">
        <f>HYPERLINK("http://www.matrixscientific.com/162512.html","162512")</f>
        <v/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inlineStr">
        <is>
          <t>COc1c(Nc2ccc(S(C)(=O)=O)nc2C)ncnc1OC1CCN(C(=O)OC(C)C)CC1</t>
        </is>
      </c>
      <c r="B1118" t="inlineStr">
        <is>
          <t>ZINC000038256220</t>
        </is>
      </c>
      <c r="C1118" t="inlineStr"/>
      <c r="D1118" t="inlineStr"/>
      <c r="E1118" t="inlineStr"/>
      <c r="F1118" t="inlineStr"/>
      <c r="G1118">
        <f>HYPERLINK("http://astatechinc.com/CPSResult.php?CRNO=C77029","C77029")</f>
        <v/>
      </c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inlineStr">
        <is>
          <t>O=S(=O)(c1ccccc1)c1nnn2c1nc(Nc1ccc3c(c1)OCCO3)c1ccccc12</t>
        </is>
      </c>
      <c r="B1119" t="inlineStr">
        <is>
          <t>ZINC000009970197</t>
        </is>
      </c>
      <c r="C1119" t="inlineStr"/>
      <c r="D1119" t="inlineStr"/>
      <c r="E1119">
        <f>HYPERLINK("https://aksci.com/item_detail.php?cat=HTS009819","HTS009819")</f>
        <v/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inlineStr">
        <is>
          <t>COc1cc(Nc2nc3c(S(=O)(=O)c4ccccc4)nnn3c3ccccc23)cc(OC)c1</t>
        </is>
      </c>
      <c r="B1120" t="inlineStr">
        <is>
          <t>ZINC000002692309</t>
        </is>
      </c>
      <c r="C1120" t="inlineStr"/>
      <c r="D1120" t="inlineStr"/>
      <c r="E1120">
        <f>HYPERLINK("https://aksci.com/item_detail.php?cat=HTS009823","HTS009823")</f>
        <v/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inlineStr">
        <is>
          <t>COc1ccc(Nc2nc3c(S(=O)(=O)c4ccccc4)nnn3c3ccccc23)cc1OC</t>
        </is>
      </c>
      <c r="B1121" t="inlineStr">
        <is>
          <t>ZINC000002692291</t>
        </is>
      </c>
      <c r="C1121" t="inlineStr"/>
      <c r="D1121" t="inlineStr"/>
      <c r="E1121">
        <f>HYPERLINK("https://aksci.com/item_detail.php?cat=HTS009811","HTS009811")</f>
        <v/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COc1ccc(OC)c(Nc2nc3c(S(=O)(=O)c4ccccc4)nnn3c3ccccc23)c1</t>
        </is>
      </c>
      <c r="B1122" t="inlineStr">
        <is>
          <t>ZINC000002692286</t>
        </is>
      </c>
      <c r="C1122" t="inlineStr"/>
      <c r="D1122" t="inlineStr"/>
      <c r="E1122">
        <f>HYPERLINK("https://aksci.com/item_detail.php?cat=HTS007371","HTS007371")</f>
        <v/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>COc1ccc(Nc2nc3c(S(=O)(=O)c4ccccc4)nnn3c3ccccc23)c(OC)c1</t>
        </is>
      </c>
      <c r="B1123" t="inlineStr">
        <is>
          <t>ZINC000002692288</t>
        </is>
      </c>
      <c r="C1123" t="inlineStr"/>
      <c r="D1123" t="inlineStr"/>
      <c r="E1123">
        <f>HYPERLINK("https://aksci.com/item_detail.php?cat=HTS007056","HTS007056")</f>
        <v/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inlineStr">
        <is>
          <t>CCOc1ccccc1Nc1nc2c(S(=O)(=O)c3ccccc3)nnn2c2ccsc12</t>
        </is>
      </c>
      <c r="B1124" t="inlineStr">
        <is>
          <t>ZINC000009971141</t>
        </is>
      </c>
      <c r="C1124" t="inlineStr"/>
      <c r="D1124" t="inlineStr"/>
      <c r="E1124">
        <f>HYPERLINK("https://aksci.com/item_detail.php?cat=HTS010302","HTS010302")</f>
        <v/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inlineStr">
        <is>
          <t>O=S(=O)(c1ccccc1)c1nnn2c1nc(Nc1ccccc1C(F)(F)F)c1ccccc12</t>
        </is>
      </c>
      <c r="B1125" t="inlineStr">
        <is>
          <t>ZINC000067240958</t>
        </is>
      </c>
      <c r="C1125" t="inlineStr"/>
      <c r="D1125" t="inlineStr"/>
      <c r="E1125">
        <f>HYPERLINK("https://aksci.com/item_detail.php?cat=HTS009810","HTS009810")</f>
        <v/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inlineStr">
        <is>
          <t>COc1ccc(Nc2nc3c(S(=O)(=O)c4c(C)cc(C)cc4C)nnn3c3ccccc23)cc1</t>
        </is>
      </c>
      <c r="B1126" t="inlineStr">
        <is>
          <t>ZINC000009970209</t>
        </is>
      </c>
      <c r="C1126" t="inlineStr"/>
      <c r="D1126" t="inlineStr"/>
      <c r="E1126">
        <f>HYPERLINK("https://aksci.com/item_detail.php?cat=HTS009830","HTS009830")</f>
        <v/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inlineStr">
        <is>
          <t>c1ccc(-c2ccc(Nc3ccc(-c4ccc5c(c4)c4ccccc4n5-c4ccccc4)cc3)cc2)cc1</t>
        </is>
      </c>
      <c r="B1127" t="inlineStr">
        <is>
          <t>ZINC000094568738</t>
        </is>
      </c>
      <c r="C1127">
        <f>HYPERLINK("http://www.combi-blocks.com/cgi-bin/find.cgi?QJ-5528","QJ-5528")</f>
        <v/>
      </c>
      <c r="D1127" t="inlineStr"/>
      <c r="E1127">
        <f>HYPERLINK("https://aksci.com/item_detail.php?cat=X5613","X5613")</f>
        <v/>
      </c>
      <c r="F1127" t="inlineStr"/>
      <c r="G1127">
        <f>HYPERLINK("http://astatechinc.com/CPSResult.php?CRNO=19026","19026")</f>
        <v/>
      </c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inlineStr">
        <is>
          <t>CC(C)(C)c1ccc(S(=O)(=O)c2nnn3c2nc(Nc2ccc(F)cc2)c2ccccc23)cc1</t>
        </is>
      </c>
      <c r="B1128" t="inlineStr">
        <is>
          <t>ZINC000002712938</t>
        </is>
      </c>
      <c r="C1128" t="inlineStr"/>
      <c r="D1128" t="inlineStr"/>
      <c r="E1128">
        <f>HYPERLINK("https://aksci.com/item_detail.php?cat=HTS007387","HTS007387")</f>
        <v/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inlineStr">
        <is>
          <t>Cc1ccc(Nc2nc3c(S(=O)(=O)c4ccc(C(C)(C)C)cc4)nnn3c3ccccc23)cc1C</t>
        </is>
      </c>
      <c r="B1129" t="inlineStr">
        <is>
          <t>ZINC000002698931</t>
        </is>
      </c>
      <c r="C1129" t="inlineStr"/>
      <c r="D1129" t="inlineStr"/>
      <c r="E1129">
        <f>HYPERLINK("https://aksci.com/item_detail.php?cat=HTS007388","HTS007388")</f>
        <v/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inlineStr">
        <is>
          <t>CC(C)c1ccc(Nc2nc3c(S(=O)(=O)c4ccc(C(C)(C)C)cc4)nnn3c3ccccc23)cc1</t>
        </is>
      </c>
      <c r="B1130" t="inlineStr">
        <is>
          <t>ZINC000009829908</t>
        </is>
      </c>
      <c r="C1130" t="inlineStr"/>
      <c r="D1130" t="inlineStr"/>
      <c r="E1130">
        <f>HYPERLINK("https://aksci.com/item_detail.php?cat=HTS007390","HTS007390")</f>
        <v/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inlineStr">
        <is>
          <t>COc1cccc(Nc2nc3c(S(=O)(=O)c4ccc(C(C)(C)C)cc4)nnn3c3ccccc23)c1</t>
        </is>
      </c>
      <c r="B1131" t="inlineStr">
        <is>
          <t>ZINC000002698928</t>
        </is>
      </c>
      <c r="C1131" t="inlineStr"/>
      <c r="D1131" t="inlineStr"/>
      <c r="E1131">
        <f>HYPERLINK("https://aksci.com/item_detail.php?cat=HTS007386","HTS007386")</f>
        <v/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inlineStr">
        <is>
          <t>Cc1ccc(S(=O)(=O)c2nnn3c2nc(Nc2ccc(C(C)C)cc2)c2ccccc23)cc1C</t>
        </is>
      </c>
      <c r="B1132" t="inlineStr">
        <is>
          <t>ZINC000009829912</t>
        </is>
      </c>
      <c r="C1132" t="inlineStr"/>
      <c r="D1132" t="inlineStr"/>
      <c r="E1132">
        <f>HYPERLINK("https://aksci.com/item_detail.php?cat=HTS009832","HTS009832")</f>
        <v/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inlineStr">
        <is>
          <t>CCOC(=O)NC/C=C/c1ccc2ncnc(Nc3ccc(Oc4ccc(C)nc4)c(C)c3)c2c1</t>
        </is>
      </c>
      <c r="B1133" t="inlineStr">
        <is>
          <t>ZINC000072482108</t>
        </is>
      </c>
      <c r="C1133" t="inlineStr"/>
      <c r="D1133">
        <f>HYPERLINK("http://www.matrixscientific.com/090308.html","090308")</f>
        <v/>
      </c>
      <c r="E1133" t="inlineStr"/>
      <c r="F1133" t="inlineStr"/>
      <c r="G1133">
        <f>HYPERLINK("http://astatechinc.com/CPSResult.php?CRNO=I10298","I10298")</f>
        <v/>
      </c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inlineStr">
        <is>
          <t>Cc1ccc(Oc2ccc(Nc3ncnc4ccc(/C=C/CNC(=O)OC(C)(C)C)cc34)cc2C)cn1</t>
        </is>
      </c>
      <c r="B1134" t="inlineStr">
        <is>
          <t>ZINC000044124360</t>
        </is>
      </c>
      <c r="C1134" t="inlineStr"/>
      <c r="D1134" t="inlineStr"/>
      <c r="E1134" t="inlineStr"/>
      <c r="F1134" t="inlineStr"/>
      <c r="G1134" t="inlineStr"/>
      <c r="H1134">
        <f>HYPERLINK("http://www.sigmaaldrich.com/catalog/search?term=PH001030&amp;interface=All&amp;N=0&amp;mode=match%20partialmax&amp;lang=en&amp;region=US&amp;focus=product","PH001030")</f>
        <v/>
      </c>
      <c r="I1134" t="inlineStr"/>
      <c r="J1134" t="inlineStr"/>
      <c r="K1134" t="inlineStr"/>
      <c r="L1134" t="inlineStr"/>
      <c r="M1134" t="inlineStr"/>
      <c r="N1134" t="inlineStr"/>
    </row>
    <row r="1135">
      <c r="A1135" t="inlineStr">
        <is>
          <t>CCc1ccc(Nc2nc3c(S(=O)(=O)c4ccc(C(C)(C)C)cc4)nnn3c3ccccc23)cc1</t>
        </is>
      </c>
      <c r="B1135" t="inlineStr">
        <is>
          <t>ZINC000002698933</t>
        </is>
      </c>
      <c r="C1135" t="inlineStr"/>
      <c r="D1135" t="inlineStr"/>
      <c r="E1135">
        <f>HYPERLINK("https://aksci.com/item_detail.php?cat=HTS007389","HTS007389")</f>
        <v/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c1ccc(-c2cccc(Nc3cccc4c3C(c3ccccc3)(c3ccccc3)c3ccccc3-4)c2)cc1</t>
        </is>
      </c>
      <c r="B1136" t="inlineStr">
        <is>
          <t>ZINC000575449153</t>
        </is>
      </c>
      <c r="C1136" t="inlineStr"/>
      <c r="D1136" t="inlineStr"/>
      <c r="E1136" t="inlineStr"/>
      <c r="F1136" t="inlineStr"/>
      <c r="G1136">
        <f>HYPERLINK("http://astatechinc.com/CPSResult.php?CRNO=T70360","T70360")</f>
        <v/>
      </c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inlineStr">
        <is>
          <t>c1ccc(-c2ccc(Nc3ccc4c(c3)C(c3ccccc3)(c3ccccc3)c3ccccc3-4)cc2)cc1</t>
        </is>
      </c>
      <c r="B1137" t="inlineStr">
        <is>
          <t>ZINC000082048516</t>
        </is>
      </c>
      <c r="C1137">
        <f>HYPERLINK("http://www.combi-blocks.com/cgi-bin/find.cgi?QH-1111","QH-1111")</f>
        <v/>
      </c>
      <c r="D1137">
        <f>HYPERLINK("http://www.matrixscientific.com/094496.html","094496")</f>
        <v/>
      </c>
      <c r="E1137">
        <f>HYPERLINK("https://aksci.com/item_detail.php?cat=X6688","X6688")</f>
        <v/>
      </c>
      <c r="F1137" t="inlineStr"/>
      <c r="G1137">
        <f>HYPERLINK("http://astatechinc.com/CPSResult.php?CRNO=I10517","I10517")</f>
        <v/>
      </c>
      <c r="H1137" t="inlineStr"/>
      <c r="I1137" t="inlineStr"/>
      <c r="J1137">
        <f>HYPERLINK("http://www.ambeed.com/search/Search.html?keyword=A118167","A118167")</f>
        <v/>
      </c>
      <c r="K1137" t="inlineStr"/>
      <c r="L1137" t="inlineStr"/>
      <c r="M1137" t="inlineStr"/>
      <c r="N1137" t="inlineStr"/>
    </row>
    <row r="1138">
      <c r="A1138" t="inlineStr">
        <is>
          <t>CC(C)(C)c1ccc(S(=O)(=O)c2nnn3c2nc(Nc2ccccc2)c2ccccc23)cc1</t>
        </is>
      </c>
      <c r="B1138" t="inlineStr">
        <is>
          <t>ZINC000002698919</t>
        </is>
      </c>
      <c r="C1138" t="inlineStr"/>
      <c r="D1138" t="inlineStr"/>
      <c r="E1138">
        <f>HYPERLINK("https://aksci.com/item_detail.php?cat=HTS007383","HTS007383")</f>
        <v/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inlineStr">
        <is>
          <t>CSc1nc(Nc2ccc(Oc3ccccc3)cc2)c2c(O)ncc(Br)c2n1</t>
        </is>
      </c>
      <c r="B1139" t="inlineStr">
        <is>
          <t>ZINC000265540524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>
        <f>HYPERLINK("http://www.achemblock.com/catalogsearch/result/?q=I-9492","I")</f>
        <v/>
      </c>
      <c r="M1139" t="inlineStr"/>
      <c r="N1139" t="inlineStr"/>
    </row>
    <row r="1140">
      <c r="A1140" t="inlineStr">
        <is>
          <t>c1ccc(N=c2ccc3nc4cc5c(cc4n(-c4ccccc4)c-3c2)Oc2ccccc2N5)cc1</t>
        </is>
      </c>
      <c r="B1140" t="inlineStr">
        <is>
          <t>ZINC000368108238</t>
        </is>
      </c>
      <c r="C1140" t="inlineStr"/>
      <c r="D1140" t="inlineStr"/>
      <c r="E1140" t="inlineStr"/>
      <c r="F1140" t="inlineStr"/>
      <c r="G1140" t="inlineStr"/>
      <c r="H1140">
        <f>HYPERLINK("http://www.sigmaaldrich.com/catalog/search?term=R580465&amp;interface=All&amp;N=0&amp;mode=match%20partialmax&amp;lang=en&amp;region=US&amp;focus=product","R580465")</f>
        <v/>
      </c>
      <c r="I1140" t="inlineStr"/>
      <c r="J1140" t="inlineStr"/>
      <c r="K1140" t="inlineStr"/>
      <c r="L1140" t="inlineStr"/>
      <c r="M1140" t="inlineStr"/>
      <c r="N1140" t="inlineStr"/>
    </row>
    <row r="1141">
      <c r="A1141" t="inlineStr">
        <is>
          <t>O=C1c2ccccc2C(=O)c2c(Nc3ccc4c5c(cccc35)C(=O)c3ccccc3-4)cccc21</t>
        </is>
      </c>
      <c r="B1141" t="inlineStr">
        <is>
          <t>ZINC000003953858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>
        <f>HYPERLINK("https://www.biosynth.com/en/products/life-science/other-biochemicals/products/W-109291","W-109291")</f>
        <v/>
      </c>
    </row>
    <row r="1142">
      <c r="A1142" t="inlineStr">
        <is>
          <t>CCCCc1c(C)c(C#N)c2nc3ccccc3n2c1Nc1c(C)n(C)n(-c2ccccc2)c1=O</t>
        </is>
      </c>
      <c r="B1142" t="inlineStr">
        <is>
          <t>ZINC000008836500</t>
        </is>
      </c>
      <c r="C1142" t="inlineStr"/>
      <c r="D1142" t="inlineStr"/>
      <c r="E1142" t="inlineStr"/>
      <c r="F1142" t="inlineStr"/>
      <c r="G1142" t="inlineStr"/>
      <c r="H1142">
        <f>HYPERLINK("http://www.sigmaaldrich.com/catalog/search?term=R144444&amp;interface=All&amp;N=0&amp;mode=match%20partialmax&amp;lang=en&amp;region=US&amp;focus=product","R144444")</f>
        <v/>
      </c>
      <c r="I1142" t="inlineStr"/>
      <c r="J1142" t="inlineStr"/>
      <c r="K1142" t="inlineStr"/>
      <c r="L1142" t="inlineStr"/>
      <c r="M1142" t="inlineStr"/>
      <c r="N1142" t="inlineStr"/>
    </row>
    <row r="1143">
      <c r="A1143" t="inlineStr">
        <is>
          <t>Cc1cccn2c(=O)c(/C=N/c3cccc(C(F)(F)F)c3)c(Nc3cccc(C(F)(F)F)c3)nc12</t>
        </is>
      </c>
      <c r="B1143" t="inlineStr">
        <is>
          <t>ZINC000001877994</t>
        </is>
      </c>
      <c r="C1143" t="inlineStr"/>
      <c r="D1143" t="inlineStr"/>
      <c r="E1143" t="inlineStr"/>
      <c r="F1143" t="inlineStr"/>
      <c r="G1143" t="inlineStr"/>
      <c r="H1143">
        <f>HYPERLINK("http://www.sigmaaldrich.com/catalog/search?term=R797634&amp;interface=All&amp;N=0&amp;mode=match%20partialmax&amp;lang=en&amp;region=US&amp;focus=product","R797634")</f>
        <v/>
      </c>
      <c r="I1143" t="inlineStr"/>
      <c r="J1143" t="inlineStr"/>
      <c r="K1143" t="inlineStr"/>
      <c r="L1143" t="inlineStr"/>
      <c r="M1143" t="inlineStr"/>
      <c r="N1143" t="inlineStr"/>
    </row>
    <row r="1144">
      <c r="A1144" t="inlineStr">
        <is>
          <t>Cc1c(CCC(C)C)c(Nc2c(C)n(C)n(-c3ccccc3)c2=O)n2c(nc3ccccc32)c1C#N</t>
        </is>
      </c>
      <c r="B1144" t="inlineStr">
        <is>
          <t>ZINC000009272417</t>
        </is>
      </c>
      <c r="C1144" t="inlineStr"/>
      <c r="D1144" t="inlineStr"/>
      <c r="E1144" t="inlineStr"/>
      <c r="F1144" t="inlineStr"/>
      <c r="G1144" t="inlineStr"/>
      <c r="H1144">
        <f>HYPERLINK("http://www.sigmaaldrich.com/catalog/search?term=R147761&amp;interface=All&amp;N=0&amp;mode=match%20partialmax&amp;lang=en&amp;region=US&amp;focus=product","R147761")</f>
        <v/>
      </c>
      <c r="I1144" t="inlineStr"/>
      <c r="J1144" t="inlineStr"/>
      <c r="K1144" t="inlineStr"/>
      <c r="L1144" t="inlineStr"/>
      <c r="M1144" t="inlineStr"/>
      <c r="N1144" t="inlineStr"/>
    </row>
    <row r="1145">
      <c r="A1145" t="inlineStr">
        <is>
          <t>CCCCCCCCc1c(C)c(C#N)c2nc3ccccc3n2c1Nc1ccc(OCC)cc1</t>
        </is>
      </c>
      <c r="B1145" t="inlineStr">
        <is>
          <t>ZINC000050704709</t>
        </is>
      </c>
      <c r="C1145" t="inlineStr"/>
      <c r="D1145" t="inlineStr"/>
      <c r="E1145" t="inlineStr"/>
      <c r="F1145" t="inlineStr"/>
      <c r="G1145" t="inlineStr"/>
      <c r="H1145">
        <f>HYPERLINK("http://www.sigmaaldrich.com/catalog/search?term=R143405&amp;interface=All&amp;N=0&amp;mode=match%20partialmax&amp;lang=en&amp;region=US&amp;focus=product","R143405")</f>
        <v/>
      </c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>O=c1c(Nc2ccc(-n3c(-c4cccs4)ccc3-c3cccs3)cc2)c(O)/c1=N/c1ccc(-n2c(-c3cccs3)ccc2-c2cccs2)cc1</t>
        </is>
      </c>
      <c r="B1146" t="inlineStr">
        <is>
          <t>ZINC000150648455</t>
        </is>
      </c>
      <c r="C1146" t="inlineStr"/>
      <c r="D1146" t="inlineStr"/>
      <c r="E1146" t="inlineStr"/>
      <c r="F1146" t="inlineStr"/>
      <c r="G1146" t="inlineStr"/>
      <c r="H1146">
        <f>HYPERLINK("http://www.sigmaaldrich.com/catalog/search?term=L166618&amp;interface=All&amp;N=0&amp;mode=match%20partialmax&amp;lang=en&amp;region=US&amp;focus=product","L166618")</f>
        <v/>
      </c>
      <c r="I1146" t="inlineStr"/>
      <c r="J1146" t="inlineStr"/>
      <c r="K1146" t="inlineStr"/>
      <c r="L1146" t="inlineStr"/>
      <c r="M1146" t="inlineStr"/>
      <c r="N1146" t="inlineStr"/>
    </row>
    <row r="1147">
      <c r="A1147" t="inlineStr">
        <is>
          <t>O=C(Oc1ccc2c(=O)c(Oc3ccccc3)c(C(F)(F)F)oc2c1)c1ccccc1Nc1ccc(SC(F)F)cc1</t>
        </is>
      </c>
      <c r="B1147" t="inlineStr">
        <is>
          <t>ZINC000003178833</t>
        </is>
      </c>
      <c r="C1147" t="inlineStr"/>
      <c r="D1147" t="inlineStr"/>
      <c r="E1147" t="inlineStr"/>
      <c r="F1147" t="inlineStr"/>
      <c r="G1147" t="inlineStr"/>
      <c r="H1147">
        <f>HYPERLINK("http://www.sigmaaldrich.com/catalog/search?term=R604593&amp;interface=All&amp;N=0&amp;mode=match%20partialmax&amp;lang=en&amp;region=US&amp;focus=product","R604593")</f>
        <v/>
      </c>
      <c r="I1147" t="inlineStr"/>
      <c r="J1147" t="inlineStr"/>
      <c r="K1147" t="inlineStr"/>
      <c r="L1147" t="inlineStr"/>
      <c r="M1147" t="inlineStr"/>
      <c r="N1147" t="inlineStr"/>
    </row>
    <row r="1148">
      <c r="A1148" t="inlineStr">
        <is>
          <t>Cn1c(Nc2ccc(C(F)(F)F)cc2)nc2cc(Oc3ccnc(-c4ncc(C(F)(F)F)[nH]4)c3)ccc21</t>
        </is>
      </c>
      <c r="B1148" t="inlineStr">
        <is>
          <t>ZINC000018710085</t>
        </is>
      </c>
      <c r="C1148" t="inlineStr"/>
      <c r="D1148">
        <f>HYPERLINK("http://www.matrixscientific.com/133060.html","133060")</f>
        <v/>
      </c>
      <c r="E1148">
        <f>HYPERLINK("https://aksci.com/item_detail.php?cat=X7407","X7407")</f>
        <v/>
      </c>
      <c r="F1148" t="inlineStr"/>
      <c r="G1148">
        <f>HYPERLINK("http://astatechinc.com/CPSResult.php?CRNO=40581","40581")</f>
        <v/>
      </c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O=C1c2ccccc2C(=O)c2c(Nc3ccc4c5c6c(ccc7c8ccc9c(c8[nH]c(c76)CC5=O)C(=O)c5ccccc5C9=O)c(=O)c4c3)cccc21</t>
        </is>
      </c>
      <c r="B1149" t="inlineStr">
        <is>
          <t>ZINC000150350068</t>
        </is>
      </c>
      <c r="C1149" t="inlineStr"/>
      <c r="D1149" t="inlineStr"/>
      <c r="E1149">
        <f>HYPERLINK("https://aksci.com/item_detail.php?cat=T908","T908")</f>
        <v/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inlineStr">
        <is>
          <t>CCCCCCCCCCCCc1ccc(Nc2ccc(CCCCCCCCCCCC)cc2)cc1</t>
        </is>
      </c>
      <c r="B1150" t="inlineStr">
        <is>
          <t>ZINC000113508911</t>
        </is>
      </c>
      <c r="C1150">
        <f>HYPERLINK("http://www.combi-blocks.com/cgi-bin/find.cgi?QV-9640","QV-9640")</f>
        <v/>
      </c>
      <c r="D1150" t="inlineStr"/>
      <c r="E1150" t="inlineStr"/>
      <c r="F1150" t="inlineStr"/>
      <c r="G1150">
        <f>HYPERLINK("http://astatechinc.com/CPSResult.php?CRNO=E10205","E10205")</f>
        <v/>
      </c>
      <c r="H1150" t="inlineStr"/>
      <c r="I1150" t="inlineStr"/>
      <c r="J1150" t="inlineStr"/>
      <c r="K1150" t="inlineStr"/>
      <c r="L1150" t="inlineStr"/>
      <c r="M1150" t="inlineStr"/>
      <c r="N1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2022-04-13T23:15:39Z</dcterms:created>
  <dcterms:modified xsi:type="dcterms:W3CDTF">2022-04-13T23:15:39Z</dcterms:modified>
</cp:coreProperties>
</file>