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4.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5.xml" ContentType="application/vnd.openxmlformats-officedocument.drawing+xml"/>
  <Override PartName="/xl/ink/ink4.xml" ContentType="application/inkml+xml"/>
  <Override PartName="/xl/ink/ink5.xml" ContentType="application/inkml+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hidePivotFieldList="1"/>
  <mc:AlternateContent xmlns:mc="http://schemas.openxmlformats.org/markup-compatibility/2006">
    <mc:Choice Requires="x15">
      <x15ac:absPath xmlns:x15ac="http://schemas.microsoft.com/office/spreadsheetml/2010/11/ac" url="/Users/signenissen/Desktop/"/>
    </mc:Choice>
  </mc:AlternateContent>
  <xr:revisionPtr revIDLastSave="0" documentId="8_{D6A1B716-3C11-9247-AA1B-F9FE25BFF6A8}" xr6:coauthVersionLast="47" xr6:coauthVersionMax="47" xr10:uidLastSave="{00000000-0000-0000-0000-000000000000}"/>
  <bookViews>
    <workbookView xWindow="0" yWindow="500" windowWidth="23260" windowHeight="12460" firstSheet="12" activeTab="16" xr2:uid="{00000000-000D-0000-FFFF-FFFF00000000}"/>
  </bookViews>
  <sheets>
    <sheet name="Beskrivelser" sheetId="19" r:id="rId1"/>
    <sheet name="1 Projektplan &amp; risikovurdering" sheetId="1" r:id="rId2"/>
    <sheet name="2 Interessentanalyse &amp; kom.plan" sheetId="3" r:id="rId3"/>
    <sheet name="3 Organisation &amp; arbejdsopg." sheetId="2" r:id="rId4"/>
    <sheet name="4 Stykliste" sheetId="4" r:id="rId5"/>
    <sheet name="5 Forsyningsstrategi" sheetId="5" r:id="rId6"/>
    <sheet name="6 Operationsdiagram" sheetId="6" r:id="rId7"/>
    <sheet name="7 Maskinliste &amp; fremstil.valg" sheetId="8" r:id="rId8"/>
    <sheet name="8 Faciliteter &amp; layout" sheetId="7" r:id="rId9"/>
    <sheet name="9 Procesanalyse&amp;Operationskort" sheetId="9" r:id="rId10"/>
    <sheet name="10 Prod.plan&amp;vedligehold" sheetId="16" r:id="rId11"/>
    <sheet name="11 Lagerstyring" sheetId="17" r:id="rId12"/>
    <sheet name="12 MRP" sheetId="18" r:id="rId13"/>
    <sheet name="13 Etableringsbudget" sheetId="10" r:id="rId14"/>
    <sheet name="Budget lister" sheetId="21" r:id="rId15"/>
    <sheet name="14 Driftbudget" sheetId="11" r:id="rId16"/>
    <sheet name="15 Investreringsrentabilitet" sheetId="13" r:id="rId17"/>
  </sheets>
  <externalReferences>
    <externalReference r:id="rId18"/>
  </externalReferences>
  <definedNames>
    <definedName name="Faktisk">(TidsrumIFaktisk*([1]Projektplanlægger!$E1&gt;0))*TidsrumIPlan</definedName>
    <definedName name="FaktiskUdOver">TidsrumIFaktisk*([1]Projektplanlægger!$E1&gt;0)</definedName>
    <definedName name="Plan">TidsrumIPlan*([1]Projektplanlægger!$C1&gt;0)</definedName>
    <definedName name="ProcentdelFuldført">ProcentdelFuldførtUdOver*TidsrumIPlan</definedName>
    <definedName name="ProcentdelFuldførtUdOver">([1]Projektplanlægger!A$4=MEDIAN([1]Projektplanlægger!A$4,[1]Projektplanlægger!$E1,[1]Projektplanlægger!$E1+[1]Projektplanlægger!$F1)*([1]Projektplanlægger!$E1&gt;0))*(([1]Projektplanlægger!A$4&lt;(INT([1]Projektplanlægger!$E1+[1]Projektplanlægger!$F1*[1]Projektplanlægger!$G1)))+([1]Projektplanlægger!A$4=[1]Projektplanlægger!$E1))*([1]Projektplanlægger!$G1&gt;0)</definedName>
    <definedName name="TidsrumIFaktisk">[1]Projektplanlægger!A$4=MEDIAN([1]Projektplanlægger!A$4,[1]Projektplanlægger!$E1,[1]Projektplanlægger!$E1+[1]Projektplanlægger!$F1-1)</definedName>
    <definedName name="TidsrumIPlan">[1]Projektplanlægger!A$4=MEDIAN([1]Projektplanlægger!A$4,[1]Projektplanlægger!$C1,[1]Projektplanlægger!$C1+[1]Projektplanlægger!$D1-1)</definedName>
    <definedName name="valgt_tidsrum">[1]Projektplanlægger!$H$2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1" l="1"/>
  <c r="B13" i="11" s="1"/>
  <c r="C6" i="13"/>
  <c r="E13" i="13" s="1"/>
  <c r="P20" i="21"/>
  <c r="B8" i="11"/>
  <c r="N15" i="21"/>
  <c r="B153" i="5"/>
  <c r="B139" i="5"/>
  <c r="B122" i="5"/>
  <c r="B107" i="5"/>
  <c r="B93" i="5"/>
  <c r="B79" i="5"/>
  <c r="D39" i="10"/>
  <c r="O19" i="8"/>
  <c r="D8" i="10"/>
  <c r="B15" i="11"/>
  <c r="C15" i="11" s="1"/>
  <c r="D15" i="11" s="1"/>
  <c r="E15" i="11" s="1"/>
  <c r="F15" i="11" s="1"/>
  <c r="G15" i="11" s="1"/>
  <c r="H15" i="11" s="1"/>
  <c r="I15" i="11" s="1"/>
  <c r="J15" i="11" s="1"/>
  <c r="K15" i="11" s="1"/>
  <c r="L15" i="11" s="1"/>
  <c r="M15" i="11" s="1"/>
  <c r="E18" i="21"/>
  <c r="E12" i="13"/>
  <c r="E15" i="13"/>
  <c r="E16" i="13"/>
  <c r="E17" i="13"/>
  <c r="E18" i="13"/>
  <c r="E19" i="13"/>
  <c r="E20" i="13"/>
  <c r="L10" i="11"/>
  <c r="M10" i="11" s="1"/>
  <c r="L11" i="11"/>
  <c r="M11" i="11" s="1"/>
  <c r="B41" i="10"/>
  <c r="B40" i="10"/>
  <c r="B11" i="11"/>
  <c r="B10" i="11"/>
  <c r="O151" i="17"/>
  <c r="O149" i="17"/>
  <c r="G26" i="17"/>
  <c r="G39" i="17"/>
  <c r="G52" i="17"/>
  <c r="G65" i="17"/>
  <c r="H78" i="17"/>
  <c r="K91" i="17"/>
  <c r="H104" i="17"/>
  <c r="I117" i="17"/>
  <c r="G143" i="17"/>
  <c r="B21" i="10"/>
  <c r="J130" i="17"/>
  <c r="O147" i="17"/>
  <c r="O145" i="17"/>
  <c r="E58" i="21"/>
  <c r="E49" i="21"/>
  <c r="E50" i="21"/>
  <c r="E51" i="21"/>
  <c r="E52" i="21"/>
  <c r="E53" i="21"/>
  <c r="E54" i="21"/>
  <c r="E55" i="21"/>
  <c r="E56" i="21"/>
  <c r="E57" i="21"/>
  <c r="K83" i="17"/>
  <c r="K82" i="17"/>
  <c r="K81" i="17"/>
  <c r="C119" i="21"/>
  <c r="B19" i="11" s="1"/>
  <c r="B16" i="11"/>
  <c r="I16" i="16"/>
  <c r="C47" i="2"/>
  <c r="E11" i="13"/>
  <c r="D31" i="5"/>
  <c r="F22" i="5"/>
  <c r="E108" i="21"/>
  <c r="C111" i="21"/>
  <c r="E111" i="21" s="1"/>
  <c r="E98" i="21"/>
  <c r="C103" i="21" s="1"/>
  <c r="D93" i="21"/>
  <c r="B103" i="21" s="1"/>
  <c r="J47" i="2"/>
  <c r="J37" i="16"/>
  <c r="K37" i="16" s="1"/>
  <c r="J36" i="16"/>
  <c r="K36" i="16" s="1"/>
  <c r="J35" i="16"/>
  <c r="J38" i="16" s="1"/>
  <c r="B14" i="11" l="1"/>
  <c r="E14" i="13"/>
  <c r="D103" i="21"/>
  <c r="B17" i="11" s="1"/>
  <c r="E112" i="21"/>
  <c r="K35" i="16"/>
  <c r="C9" i="11"/>
  <c r="D9" i="11" s="1"/>
  <c r="E9" i="11" s="1"/>
  <c r="F9" i="11" s="1"/>
  <c r="G9" i="11" s="1"/>
  <c r="H9" i="11" s="1"/>
  <c r="I9" i="11" s="1"/>
  <c r="J9" i="11" s="1"/>
  <c r="K9" i="11" s="1"/>
  <c r="L9" i="11" s="1"/>
  <c r="M9" i="11" s="1"/>
  <c r="O143" i="17"/>
  <c r="E146" i="17"/>
  <c r="F146" i="17" s="1"/>
  <c r="E147" i="17"/>
  <c r="E148" i="17"/>
  <c r="E149" i="17"/>
  <c r="E150" i="17"/>
  <c r="E151" i="17"/>
  <c r="E152" i="17"/>
  <c r="E153" i="17"/>
  <c r="E154" i="17"/>
  <c r="E155" i="17"/>
  <c r="C133" i="17"/>
  <c r="G133" i="17" s="1"/>
  <c r="C107" i="17"/>
  <c r="F107" i="17" s="1"/>
  <c r="C94" i="17"/>
  <c r="C61" i="17"/>
  <c r="F61" i="17" s="1"/>
  <c r="C55" i="17"/>
  <c r="F55" i="17" s="1"/>
  <c r="C42" i="17"/>
  <c r="E42" i="17" s="1"/>
  <c r="C29" i="17"/>
  <c r="F29" i="17" s="1"/>
  <c r="C16" i="17"/>
  <c r="F16" i="17" s="1"/>
  <c r="D16" i="10"/>
  <c r="I13" i="17"/>
  <c r="O4" i="17"/>
  <c r="C35" i="17" s="1"/>
  <c r="O5" i="17"/>
  <c r="C48" i="17" s="1"/>
  <c r="E48" i="17" s="1"/>
  <c r="O6" i="17"/>
  <c r="O7" i="17"/>
  <c r="C74" i="17" s="1"/>
  <c r="H74" i="17" s="1"/>
  <c r="O8" i="17"/>
  <c r="C87" i="17" s="1"/>
  <c r="O9" i="17"/>
  <c r="C100" i="17" s="1"/>
  <c r="O10" i="17"/>
  <c r="C113" i="17" s="1"/>
  <c r="F113" i="17" s="1"/>
  <c r="O11" i="17"/>
  <c r="C126" i="17" s="1"/>
  <c r="I126" i="17" s="1"/>
  <c r="O12" i="17"/>
  <c r="C139" i="17" s="1"/>
  <c r="G139" i="17" s="1"/>
  <c r="O3" i="17"/>
  <c r="C22" i="17" s="1"/>
  <c r="C16" i="11"/>
  <c r="D16" i="11" s="1"/>
  <c r="E16" i="11" s="1"/>
  <c r="F16" i="11" s="1"/>
  <c r="G16" i="11" s="1"/>
  <c r="H16" i="11" s="1"/>
  <c r="I16" i="11" s="1"/>
  <c r="J16" i="11" s="1"/>
  <c r="K16" i="11" s="1"/>
  <c r="L16" i="11" s="1"/>
  <c r="M16" i="11" s="1"/>
  <c r="C19" i="11"/>
  <c r="D19" i="11" s="1"/>
  <c r="E19" i="11" s="1"/>
  <c r="F19" i="11" s="1"/>
  <c r="G19" i="11" s="1"/>
  <c r="H19" i="11" s="1"/>
  <c r="I19" i="11" s="1"/>
  <c r="J19" i="11" s="1"/>
  <c r="K19" i="11" s="1"/>
  <c r="L19" i="11" s="1"/>
  <c r="M19" i="11" s="1"/>
  <c r="C8" i="11"/>
  <c r="D8" i="11" s="1"/>
  <c r="E8" i="11" s="1"/>
  <c r="F8" i="11" s="1"/>
  <c r="G8" i="11" s="1"/>
  <c r="H8" i="11" s="1"/>
  <c r="I8" i="11" s="1"/>
  <c r="J8" i="11" s="1"/>
  <c r="K8" i="11" s="1"/>
  <c r="L8" i="11" s="1"/>
  <c r="E10" i="13"/>
  <c r="M13" i="17"/>
  <c r="E10" i="17"/>
  <c r="F10" i="17" s="1"/>
  <c r="H10" i="17" s="1"/>
  <c r="J10" i="17" s="1"/>
  <c r="L10" i="17" s="1"/>
  <c r="C111" i="17" s="1"/>
  <c r="I111" i="17" s="1"/>
  <c r="E24" i="5"/>
  <c r="D24" i="5"/>
  <c r="E12" i="17"/>
  <c r="F12" i="17" s="1"/>
  <c r="H12" i="17" s="1"/>
  <c r="J12" i="17" s="1"/>
  <c r="L12" i="17" s="1"/>
  <c r="C137" i="17" s="1"/>
  <c r="G137" i="17" s="1"/>
  <c r="C8" i="17"/>
  <c r="E8" i="17" s="1"/>
  <c r="F8" i="17" s="1"/>
  <c r="H8" i="17" s="1"/>
  <c r="J8" i="17" s="1"/>
  <c r="L8" i="17" s="1"/>
  <c r="C85" i="17" s="1"/>
  <c r="C11" i="17"/>
  <c r="E11" i="17" s="1"/>
  <c r="F11" i="17" s="1"/>
  <c r="H11" i="17" s="1"/>
  <c r="J11" i="17" s="1"/>
  <c r="L11" i="17" s="1"/>
  <c r="C124" i="17" s="1"/>
  <c r="J124" i="17" s="1"/>
  <c r="D22" i="5"/>
  <c r="E9" i="17"/>
  <c r="F9" i="17" s="1"/>
  <c r="H9" i="17" s="1"/>
  <c r="J9" i="17" s="1"/>
  <c r="L9" i="17" s="1"/>
  <c r="C98" i="17" s="1"/>
  <c r="C7" i="17"/>
  <c r="E7" i="17" s="1"/>
  <c r="F7" i="17" s="1"/>
  <c r="H7" i="17" s="1"/>
  <c r="J7" i="17" s="1"/>
  <c r="L7" i="17" s="1"/>
  <c r="C72" i="17" s="1"/>
  <c r="H72" i="17" s="1"/>
  <c r="E6" i="17"/>
  <c r="F6" i="17" s="1"/>
  <c r="H6" i="17" s="1"/>
  <c r="J6" i="17" s="1"/>
  <c r="L6" i="17" s="1"/>
  <c r="C59" i="17" s="1"/>
  <c r="E3" i="17"/>
  <c r="F3" i="17" s="1"/>
  <c r="H3" i="17" s="1"/>
  <c r="J3" i="17" s="1"/>
  <c r="L3" i="17" s="1"/>
  <c r="C20" i="17" s="1"/>
  <c r="F20" i="17" s="1"/>
  <c r="E5" i="17"/>
  <c r="F5" i="17" s="1"/>
  <c r="H5" i="17" s="1"/>
  <c r="J5" i="17" s="1"/>
  <c r="L5" i="17" s="1"/>
  <c r="C46" i="17" s="1"/>
  <c r="E4" i="17"/>
  <c r="F4" i="17" s="1"/>
  <c r="H4" i="17" s="1"/>
  <c r="J4" i="17" s="1"/>
  <c r="L4" i="17" s="1"/>
  <c r="C33" i="17" s="1"/>
  <c r="D19" i="10"/>
  <c r="C83" i="21"/>
  <c r="E82" i="21"/>
  <c r="E81" i="21"/>
  <c r="E80" i="21"/>
  <c r="E79" i="21"/>
  <c r="E78" i="21"/>
  <c r="E77" i="21"/>
  <c r="E76" i="21"/>
  <c r="E75" i="21"/>
  <c r="E74" i="21"/>
  <c r="E73" i="21"/>
  <c r="BS78" i="16"/>
  <c r="BS80" i="16" s="1"/>
  <c r="BS82" i="16"/>
  <c r="BS74" i="16"/>
  <c r="BS71" i="16"/>
  <c r="BS70" i="16"/>
  <c r="BS73" i="16"/>
  <c r="BS66" i="16"/>
  <c r="BS62" i="16"/>
  <c r="BS65" i="16"/>
  <c r="BS68" i="16"/>
  <c r="BS63" i="16"/>
  <c r="BS61" i="16"/>
  <c r="BS60" i="16"/>
  <c r="BS59" i="16"/>
  <c r="D21" i="10"/>
  <c r="D20" i="10" s="1"/>
  <c r="F31" i="5"/>
  <c r="D32" i="5"/>
  <c r="F32" i="5"/>
  <c r="D33" i="5"/>
  <c r="F33" i="5"/>
  <c r="D34" i="5"/>
  <c r="F34" i="5"/>
  <c r="D35" i="5"/>
  <c r="F35" i="5"/>
  <c r="E25" i="5"/>
  <c r="D25" i="5"/>
  <c r="G63" i="21"/>
  <c r="G67" i="21"/>
  <c r="E63" i="21"/>
  <c r="C61" i="5"/>
  <c r="D61" i="5" s="1"/>
  <c r="C62" i="5"/>
  <c r="D62" i="5" s="1"/>
  <c r="C63" i="5"/>
  <c r="D63" i="5" s="1"/>
  <c r="E48" i="21"/>
  <c r="E47" i="21"/>
  <c r="R89" i="9"/>
  <c r="S88" i="9"/>
  <c r="R27" i="9"/>
  <c r="S26" i="9"/>
  <c r="R65" i="9"/>
  <c r="E67" i="21"/>
  <c r="S64" i="9"/>
  <c r="Q66" i="9" s="1"/>
  <c r="E66" i="21"/>
  <c r="E65" i="21"/>
  <c r="E64" i="21"/>
  <c r="G64" i="21"/>
  <c r="G65" i="21"/>
  <c r="G66" i="21"/>
  <c r="E22" i="5"/>
  <c r="E21" i="5"/>
  <c r="E23" i="5"/>
  <c r="F23" i="5" s="1"/>
  <c r="D21" i="5"/>
  <c r="E37" i="21"/>
  <c r="C38" i="21"/>
  <c r="C39" i="21"/>
  <c r="E39" i="21" s="1"/>
  <c r="C40" i="21"/>
  <c r="E40" i="21" s="1"/>
  <c r="C41" i="21"/>
  <c r="E41" i="21" s="1"/>
  <c r="C30" i="21"/>
  <c r="E30" i="21" s="1"/>
  <c r="C31" i="21"/>
  <c r="E31" i="21" s="1"/>
  <c r="E23" i="21"/>
  <c r="E24" i="21"/>
  <c r="C25" i="21"/>
  <c r="C205" i="5"/>
  <c r="D205" i="5" s="1"/>
  <c r="C206" i="5"/>
  <c r="D206" i="5" s="1"/>
  <c r="C207" i="5"/>
  <c r="D207" i="5" s="1"/>
  <c r="B209" i="5"/>
  <c r="C209" i="5" s="1"/>
  <c r="D209" i="5" s="1"/>
  <c r="C210" i="5"/>
  <c r="D210" i="5" s="1"/>
  <c r="C211" i="5"/>
  <c r="D211" i="5" s="1"/>
  <c r="C212" i="5"/>
  <c r="D212" i="5" s="1"/>
  <c r="C213" i="5"/>
  <c r="D213" i="5" s="1"/>
  <c r="B195" i="5"/>
  <c r="C195" i="5" s="1"/>
  <c r="D195" i="5" s="1"/>
  <c r="C191" i="5"/>
  <c r="C192" i="5"/>
  <c r="D192" i="5" s="1"/>
  <c r="C193" i="5"/>
  <c r="D193" i="5" s="1"/>
  <c r="C196" i="5"/>
  <c r="D196" i="5" s="1"/>
  <c r="C197" i="5"/>
  <c r="D197" i="5" s="1"/>
  <c r="C198" i="5"/>
  <c r="D198" i="5" s="1"/>
  <c r="C199" i="5"/>
  <c r="D199" i="5" s="1"/>
  <c r="K15" i="21"/>
  <c r="K8" i="21"/>
  <c r="K7" i="21"/>
  <c r="K6" i="21"/>
  <c r="K9" i="21"/>
  <c r="C118" i="5"/>
  <c r="D118" i="5" s="1"/>
  <c r="C119" i="5"/>
  <c r="D119" i="5" s="1"/>
  <c r="C120" i="5"/>
  <c r="D120" i="5" s="1"/>
  <c r="C122" i="5"/>
  <c r="C123" i="5"/>
  <c r="D123" i="5" s="1"/>
  <c r="C124" i="5"/>
  <c r="D124" i="5" s="1"/>
  <c r="C125" i="5"/>
  <c r="D125" i="5" s="1"/>
  <c r="C126" i="5"/>
  <c r="D126" i="5" s="1"/>
  <c r="C68" i="5"/>
  <c r="D68" i="5" s="1"/>
  <c r="C82" i="5"/>
  <c r="D82" i="5" s="1"/>
  <c r="C96" i="5"/>
  <c r="D96" i="5" s="1"/>
  <c r="C110" i="5"/>
  <c r="D110" i="5" s="1"/>
  <c r="C142" i="5"/>
  <c r="D142" i="5" s="1"/>
  <c r="C156" i="5"/>
  <c r="D156" i="5" s="1"/>
  <c r="C170" i="5"/>
  <c r="D170" i="5" s="1"/>
  <c r="C184" i="5"/>
  <c r="D184" i="5" s="1"/>
  <c r="B181" i="5"/>
  <c r="C181" i="5" s="1"/>
  <c r="D181" i="5" s="1"/>
  <c r="C65" i="5"/>
  <c r="D65" i="5" s="1"/>
  <c r="B151" i="5"/>
  <c r="B167" i="5"/>
  <c r="C167" i="5" s="1"/>
  <c r="C153" i="5"/>
  <c r="D153" i="5" s="1"/>
  <c r="C139" i="5"/>
  <c r="D139" i="5" s="1"/>
  <c r="C107" i="5"/>
  <c r="D107" i="5" s="1"/>
  <c r="C177" i="5"/>
  <c r="D177" i="5" s="1"/>
  <c r="C178" i="5"/>
  <c r="D178" i="5" s="1"/>
  <c r="C179" i="5"/>
  <c r="D179" i="5" s="1"/>
  <c r="C182" i="5"/>
  <c r="D182" i="5" s="1"/>
  <c r="C183" i="5"/>
  <c r="D183" i="5" s="1"/>
  <c r="C185" i="5"/>
  <c r="D185" i="5" s="1"/>
  <c r="C163" i="5"/>
  <c r="D163" i="5" s="1"/>
  <c r="C164" i="5"/>
  <c r="D164" i="5" s="1"/>
  <c r="C165" i="5"/>
  <c r="D165" i="5" s="1"/>
  <c r="C168" i="5"/>
  <c r="D168" i="5" s="1"/>
  <c r="C169" i="5"/>
  <c r="D169" i="5" s="1"/>
  <c r="C171" i="5"/>
  <c r="D171" i="5" s="1"/>
  <c r="C149" i="5"/>
  <c r="D149" i="5" s="1"/>
  <c r="C150" i="5"/>
  <c r="D150" i="5" s="1"/>
  <c r="C154" i="5"/>
  <c r="D154" i="5" s="1"/>
  <c r="C155" i="5"/>
  <c r="D155" i="5" s="1"/>
  <c r="C157" i="5"/>
  <c r="D157" i="5" s="1"/>
  <c r="C135" i="5"/>
  <c r="D135" i="5" s="1"/>
  <c r="C136" i="5"/>
  <c r="D136" i="5" s="1"/>
  <c r="C137" i="5"/>
  <c r="D137" i="5" s="1"/>
  <c r="C140" i="5"/>
  <c r="D140" i="5" s="1"/>
  <c r="C141" i="5"/>
  <c r="D141" i="5" s="1"/>
  <c r="C143" i="5"/>
  <c r="D143" i="5" s="1"/>
  <c r="C103" i="5"/>
  <c r="D103" i="5" s="1"/>
  <c r="C104" i="5"/>
  <c r="D104" i="5" s="1"/>
  <c r="C105" i="5"/>
  <c r="D105" i="5" s="1"/>
  <c r="C108" i="5"/>
  <c r="D108" i="5" s="1"/>
  <c r="C109" i="5"/>
  <c r="D109" i="5" s="1"/>
  <c r="C111" i="5"/>
  <c r="D111" i="5" s="1"/>
  <c r="C93" i="5"/>
  <c r="D93" i="5" s="1"/>
  <c r="C89" i="5"/>
  <c r="D89" i="5" s="1"/>
  <c r="C90" i="5"/>
  <c r="D90" i="5" s="1"/>
  <c r="C91" i="5"/>
  <c r="D91" i="5" s="1"/>
  <c r="C94" i="5"/>
  <c r="D94" i="5" s="1"/>
  <c r="C95" i="5"/>
  <c r="D95" i="5" s="1"/>
  <c r="C97" i="5"/>
  <c r="D97" i="5" s="1"/>
  <c r="C79" i="5"/>
  <c r="D79" i="5" s="1"/>
  <c r="C75" i="5"/>
  <c r="D75" i="5" s="1"/>
  <c r="C76" i="5"/>
  <c r="D76" i="5" s="1"/>
  <c r="C77" i="5"/>
  <c r="D77" i="5" s="1"/>
  <c r="C80" i="5"/>
  <c r="D80" i="5" s="1"/>
  <c r="C81" i="5"/>
  <c r="D81" i="5" s="1"/>
  <c r="C83" i="5"/>
  <c r="D83" i="5" s="1"/>
  <c r="C69" i="5"/>
  <c r="D69" i="5" s="1"/>
  <c r="C67" i="5"/>
  <c r="D67" i="5" s="1"/>
  <c r="C66" i="5"/>
  <c r="D66" i="5" s="1"/>
  <c r="D29" i="10"/>
  <c r="D30" i="10"/>
  <c r="D27" i="10"/>
  <c r="N9" i="21"/>
  <c r="B28" i="10" s="1"/>
  <c r="D28" i="10" s="1"/>
  <c r="D26" i="10" s="1"/>
  <c r="K10" i="21"/>
  <c r="K11" i="21"/>
  <c r="K12" i="21"/>
  <c r="K13" i="21"/>
  <c r="K14" i="21"/>
  <c r="D18" i="10"/>
  <c r="D45" i="10"/>
  <c r="D44" i="10"/>
  <c r="D48" i="10"/>
  <c r="D47" i="10" s="1"/>
  <c r="D9" i="10"/>
  <c r="D7" i="10" s="1"/>
  <c r="D10" i="10"/>
  <c r="D11" i="10"/>
  <c r="D13" i="10"/>
  <c r="C17" i="11" l="1"/>
  <c r="D17" i="11" s="1"/>
  <c r="E17" i="11" s="1"/>
  <c r="F17" i="11" s="1"/>
  <c r="G17" i="11" s="1"/>
  <c r="H17" i="11" s="1"/>
  <c r="I17" i="11" s="1"/>
  <c r="J17" i="11" s="1"/>
  <c r="K17" i="11" s="1"/>
  <c r="L17" i="11" s="1"/>
  <c r="M17" i="11" s="1"/>
  <c r="M8" i="11"/>
  <c r="G98" i="17"/>
  <c r="H98" i="17"/>
  <c r="G100" i="17"/>
  <c r="H100" i="17"/>
  <c r="H102" i="17" s="1"/>
  <c r="I85" i="17"/>
  <c r="J85" i="17"/>
  <c r="I87" i="17"/>
  <c r="J87" i="17"/>
  <c r="G94" i="17"/>
  <c r="H94" i="17"/>
  <c r="B18" i="11"/>
  <c r="B46" i="10"/>
  <c r="D46" i="10" s="1"/>
  <c r="D43" i="10" s="1"/>
  <c r="A40" i="5"/>
  <c r="B12" i="11" s="1"/>
  <c r="C12" i="11" s="1"/>
  <c r="D12" i="11" s="1"/>
  <c r="E12" i="11" s="1"/>
  <c r="F12" i="11" s="1"/>
  <c r="G12" i="11" s="1"/>
  <c r="H12" i="11" s="1"/>
  <c r="I12" i="11" s="1"/>
  <c r="J12" i="11" s="1"/>
  <c r="K12" i="11" s="1"/>
  <c r="L12" i="11" s="1"/>
  <c r="M12" i="11" s="1"/>
  <c r="Q90" i="9"/>
  <c r="F147" i="17"/>
  <c r="C63" i="17"/>
  <c r="D133" i="17"/>
  <c r="D137" i="17"/>
  <c r="F133" i="17"/>
  <c r="F137" i="17"/>
  <c r="G141" i="17"/>
  <c r="D139" i="17"/>
  <c r="D141" i="17" s="1"/>
  <c r="F139" i="17"/>
  <c r="E133" i="17"/>
  <c r="E137" i="17"/>
  <c r="J126" i="17"/>
  <c r="J128" i="17" s="1"/>
  <c r="E139" i="17"/>
  <c r="C128" i="17"/>
  <c r="E111" i="17"/>
  <c r="H111" i="17"/>
  <c r="H113" i="17"/>
  <c r="E107" i="17"/>
  <c r="D124" i="17"/>
  <c r="F124" i="17"/>
  <c r="H124" i="17"/>
  <c r="I113" i="17"/>
  <c r="I115" i="17" s="1"/>
  <c r="D126" i="17"/>
  <c r="F126" i="17"/>
  <c r="H126" i="17"/>
  <c r="G107" i="17"/>
  <c r="H107" i="17"/>
  <c r="G111" i="17"/>
  <c r="G113" i="17"/>
  <c r="I107" i="17"/>
  <c r="E124" i="17"/>
  <c r="G124" i="17"/>
  <c r="I124" i="17"/>
  <c r="I128" i="17" s="1"/>
  <c r="E126" i="17"/>
  <c r="G126" i="17"/>
  <c r="F111" i="17"/>
  <c r="F115" i="17" s="1"/>
  <c r="D94" i="17"/>
  <c r="E94" i="17"/>
  <c r="E113" i="17"/>
  <c r="F94" i="17"/>
  <c r="D107" i="17"/>
  <c r="D111" i="17"/>
  <c r="D113" i="17"/>
  <c r="D98" i="17"/>
  <c r="F98" i="17"/>
  <c r="G102" i="17"/>
  <c r="D100" i="17"/>
  <c r="F100" i="17"/>
  <c r="E98" i="17"/>
  <c r="E100" i="17"/>
  <c r="D87" i="17"/>
  <c r="K87" i="17" s="1"/>
  <c r="D85" i="17"/>
  <c r="K85" i="17" s="1"/>
  <c r="K89" i="17" s="1"/>
  <c r="F85" i="17"/>
  <c r="F87" i="17"/>
  <c r="H85" i="17"/>
  <c r="H87" i="17"/>
  <c r="H76" i="17"/>
  <c r="G42" i="17"/>
  <c r="E85" i="17"/>
  <c r="G85" i="17"/>
  <c r="E55" i="17"/>
  <c r="E87" i="17"/>
  <c r="G87" i="17"/>
  <c r="G55" i="17"/>
  <c r="E61" i="17"/>
  <c r="C50" i="17"/>
  <c r="G61" i="17"/>
  <c r="G46" i="17"/>
  <c r="E59" i="17"/>
  <c r="G59" i="17"/>
  <c r="E72" i="17"/>
  <c r="G72" i="17"/>
  <c r="G48" i="17"/>
  <c r="E74" i="17"/>
  <c r="G74" i="17"/>
  <c r="D55" i="17"/>
  <c r="D42" i="17"/>
  <c r="D59" i="17"/>
  <c r="F59" i="17"/>
  <c r="F63" i="17" s="1"/>
  <c r="D72" i="17"/>
  <c r="F72" i="17"/>
  <c r="F42" i="17"/>
  <c r="D61" i="17"/>
  <c r="D74" i="17"/>
  <c r="F74" i="17"/>
  <c r="C115" i="17"/>
  <c r="F46" i="17"/>
  <c r="C83" i="17"/>
  <c r="J83" i="17" s="1"/>
  <c r="F48" i="17"/>
  <c r="C141" i="17"/>
  <c r="C89" i="17"/>
  <c r="D46" i="17"/>
  <c r="G29" i="17"/>
  <c r="D48" i="17"/>
  <c r="C76" i="17"/>
  <c r="C102" i="17"/>
  <c r="C56" i="17"/>
  <c r="C134" i="17"/>
  <c r="C135" i="17"/>
  <c r="C81" i="17"/>
  <c r="J81" i="17" s="1"/>
  <c r="E46" i="17"/>
  <c r="E50" i="17" s="1"/>
  <c r="C82" i="17"/>
  <c r="J82" i="17" s="1"/>
  <c r="F33" i="17"/>
  <c r="D33" i="17"/>
  <c r="G33" i="17"/>
  <c r="E33" i="17"/>
  <c r="D35" i="17"/>
  <c r="E35" i="17"/>
  <c r="F35" i="17"/>
  <c r="G35" i="17"/>
  <c r="C31" i="17"/>
  <c r="E29" i="17"/>
  <c r="D29" i="17"/>
  <c r="C68" i="17"/>
  <c r="C120" i="17"/>
  <c r="J120" i="17" s="1"/>
  <c r="C43" i="17"/>
  <c r="C69" i="17"/>
  <c r="C95" i="17"/>
  <c r="H95" i="17" s="1"/>
  <c r="C121" i="17"/>
  <c r="J121" i="17" s="1"/>
  <c r="C108" i="17"/>
  <c r="C57" i="17"/>
  <c r="C44" i="17"/>
  <c r="C70" i="17"/>
  <c r="C96" i="17"/>
  <c r="H96" i="17" s="1"/>
  <c r="C122" i="17"/>
  <c r="J122" i="17" s="1"/>
  <c r="C109" i="17"/>
  <c r="C30" i="17"/>
  <c r="G22" i="17"/>
  <c r="E22" i="17"/>
  <c r="F22" i="17"/>
  <c r="D22" i="17"/>
  <c r="G20" i="17"/>
  <c r="E20" i="17"/>
  <c r="D20" i="17"/>
  <c r="E16" i="17"/>
  <c r="G16" i="17"/>
  <c r="C17" i="17"/>
  <c r="C18" i="17"/>
  <c r="D16" i="17"/>
  <c r="P11" i="17"/>
  <c r="P4" i="17"/>
  <c r="C37" i="17" s="1"/>
  <c r="P7" i="17"/>
  <c r="P9" i="17"/>
  <c r="P3" i="17"/>
  <c r="C24" i="17" s="1"/>
  <c r="P8" i="17"/>
  <c r="P12" i="17"/>
  <c r="P10" i="17"/>
  <c r="P6" i="17"/>
  <c r="P5" i="17"/>
  <c r="O13" i="17"/>
  <c r="E13" i="17"/>
  <c r="H13" i="17"/>
  <c r="J13" i="17"/>
  <c r="F24" i="5"/>
  <c r="H24" i="5" s="1"/>
  <c r="L13" i="17"/>
  <c r="H23" i="5"/>
  <c r="D17" i="10"/>
  <c r="E83" i="21"/>
  <c r="B22" i="11" s="1"/>
  <c r="C22" i="11" s="1"/>
  <c r="D22" i="11" s="1"/>
  <c r="E22" i="11" s="1"/>
  <c r="F22" i="11" s="1"/>
  <c r="G22" i="11" s="1"/>
  <c r="H22" i="11" s="1"/>
  <c r="I22" i="11" s="1"/>
  <c r="J22" i="11" s="1"/>
  <c r="K22" i="11" s="1"/>
  <c r="L22" i="11" s="1"/>
  <c r="M22" i="11" s="1"/>
  <c r="E25" i="21"/>
  <c r="B36" i="10" s="1"/>
  <c r="D36" i="10" s="1"/>
  <c r="E26" i="5"/>
  <c r="F36" i="5"/>
  <c r="D41" i="10" s="1"/>
  <c r="D36" i="5"/>
  <c r="H22" i="5"/>
  <c r="F25" i="5"/>
  <c r="H25" i="5" s="1"/>
  <c r="Q28" i="9"/>
  <c r="E68" i="21"/>
  <c r="C42" i="21"/>
  <c r="C32" i="21"/>
  <c r="G68" i="21"/>
  <c r="E38" i="21"/>
  <c r="E42" i="21" s="1"/>
  <c r="B34" i="10" s="1"/>
  <c r="D34" i="10" s="1"/>
  <c r="E32" i="21"/>
  <c r="B35" i="10" s="1"/>
  <c r="D35" i="10" s="1"/>
  <c r="F21" i="5"/>
  <c r="H21" i="5" s="1"/>
  <c r="C214" i="5"/>
  <c r="C200" i="5"/>
  <c r="D214" i="5"/>
  <c r="D191" i="5"/>
  <c r="D200" i="5" s="1"/>
  <c r="K18" i="21"/>
  <c r="C127" i="5"/>
  <c r="D122" i="5"/>
  <c r="D127" i="5" s="1"/>
  <c r="D186" i="5"/>
  <c r="C144" i="5"/>
  <c r="D112" i="5"/>
  <c r="C112" i="5"/>
  <c r="D98" i="5"/>
  <c r="C186" i="5"/>
  <c r="C98" i="5"/>
  <c r="D84" i="5"/>
  <c r="C172" i="5"/>
  <c r="D167" i="5"/>
  <c r="D172" i="5" s="1"/>
  <c r="D144" i="5"/>
  <c r="C84" i="5"/>
  <c r="C151" i="5"/>
  <c r="D151" i="5" s="1"/>
  <c r="D158" i="5" s="1"/>
  <c r="C70" i="5"/>
  <c r="D70" i="5"/>
  <c r="D33" i="10" l="1"/>
  <c r="B20" i="11"/>
  <c r="C20" i="11" s="1"/>
  <c r="D20" i="11" s="1"/>
  <c r="E20" i="11" s="1"/>
  <c r="F20" i="11" s="1"/>
  <c r="G20" i="11" s="1"/>
  <c r="H20" i="11" s="1"/>
  <c r="I20" i="11" s="1"/>
  <c r="J20" i="11" s="1"/>
  <c r="K20" i="11" s="1"/>
  <c r="L20" i="11" s="1"/>
  <c r="M20" i="11" s="1"/>
  <c r="F141" i="17"/>
  <c r="I89" i="17"/>
  <c r="E115" i="17"/>
  <c r="J89" i="17"/>
  <c r="D89" i="17"/>
  <c r="C10" i="11"/>
  <c r="D10" i="11" s="1"/>
  <c r="E10" i="11" s="1"/>
  <c r="F10" i="11" s="1"/>
  <c r="G10" i="11" s="1"/>
  <c r="H10" i="11" s="1"/>
  <c r="I10" i="11" s="1"/>
  <c r="J10" i="11" s="1"/>
  <c r="K10" i="11" s="1"/>
  <c r="G115" i="17"/>
  <c r="E141" i="17"/>
  <c r="C18" i="11"/>
  <c r="D18" i="11" s="1"/>
  <c r="E18" i="11" s="1"/>
  <c r="F18" i="11" s="1"/>
  <c r="G18" i="11" s="1"/>
  <c r="H18" i="11" s="1"/>
  <c r="I18" i="11" s="1"/>
  <c r="J18" i="11" s="1"/>
  <c r="K18" i="11" s="1"/>
  <c r="L18" i="11" s="1"/>
  <c r="M18" i="11" s="1"/>
  <c r="F148" i="17"/>
  <c r="D102" i="17"/>
  <c r="H128" i="17"/>
  <c r="G135" i="17"/>
  <c r="E135" i="17"/>
  <c r="F135" i="17"/>
  <c r="D135" i="17"/>
  <c r="G134" i="17"/>
  <c r="E134" i="17"/>
  <c r="F134" i="17"/>
  <c r="D134" i="17"/>
  <c r="H115" i="17"/>
  <c r="I108" i="17"/>
  <c r="H108" i="17"/>
  <c r="G108" i="17"/>
  <c r="I121" i="17"/>
  <c r="G121" i="17"/>
  <c r="E121" i="17"/>
  <c r="H121" i="17"/>
  <c r="F121" i="17"/>
  <c r="D121" i="17"/>
  <c r="G128" i="17"/>
  <c r="H120" i="17"/>
  <c r="I120" i="17"/>
  <c r="G120" i="17"/>
  <c r="E120" i="17"/>
  <c r="D120" i="17"/>
  <c r="F120" i="17"/>
  <c r="E128" i="17"/>
  <c r="F128" i="17"/>
  <c r="D128" i="17"/>
  <c r="I109" i="17"/>
  <c r="H109" i="17"/>
  <c r="G109" i="17"/>
  <c r="I122" i="17"/>
  <c r="G122" i="17"/>
  <c r="E122" i="17"/>
  <c r="H122" i="17"/>
  <c r="F122" i="17"/>
  <c r="D122" i="17"/>
  <c r="D115" i="17"/>
  <c r="F108" i="17"/>
  <c r="D108" i="17"/>
  <c r="E108" i="17"/>
  <c r="F109" i="17"/>
  <c r="D109" i="17"/>
  <c r="E109" i="17"/>
  <c r="F102" i="17"/>
  <c r="G95" i="17"/>
  <c r="F95" i="17"/>
  <c r="E95" i="17"/>
  <c r="D95" i="17"/>
  <c r="E102" i="17"/>
  <c r="G96" i="17"/>
  <c r="E96" i="17"/>
  <c r="F96" i="17"/>
  <c r="D96" i="17"/>
  <c r="E89" i="17"/>
  <c r="E24" i="17"/>
  <c r="F89" i="17"/>
  <c r="H89" i="17"/>
  <c r="I82" i="17"/>
  <c r="G82" i="17"/>
  <c r="E82" i="17"/>
  <c r="H82" i="17"/>
  <c r="F82" i="17"/>
  <c r="D82" i="17"/>
  <c r="I81" i="17"/>
  <c r="G81" i="17"/>
  <c r="E81" i="17"/>
  <c r="D81" i="17"/>
  <c r="F81" i="17"/>
  <c r="H81" i="17"/>
  <c r="G24" i="17"/>
  <c r="G89" i="17"/>
  <c r="F83" i="17"/>
  <c r="D83" i="17"/>
  <c r="I83" i="17"/>
  <c r="G83" i="17"/>
  <c r="E83" i="17"/>
  <c r="H83" i="17"/>
  <c r="G63" i="17"/>
  <c r="E63" i="17"/>
  <c r="D63" i="17"/>
  <c r="F50" i="17"/>
  <c r="F57" i="17"/>
  <c r="D57" i="17"/>
  <c r="E57" i="17"/>
  <c r="G57" i="17"/>
  <c r="G56" i="17"/>
  <c r="F56" i="17"/>
  <c r="D56" i="17"/>
  <c r="E56" i="17"/>
  <c r="G76" i="17"/>
  <c r="E68" i="17"/>
  <c r="H68" i="17"/>
  <c r="F68" i="17"/>
  <c r="D68" i="17"/>
  <c r="G68" i="17"/>
  <c r="G70" i="17"/>
  <c r="H70" i="17"/>
  <c r="F70" i="17"/>
  <c r="D70" i="17"/>
  <c r="E70" i="17"/>
  <c r="F44" i="17"/>
  <c r="G44" i="17"/>
  <c r="E76" i="17"/>
  <c r="G69" i="17"/>
  <c r="H69" i="17"/>
  <c r="F69" i="17"/>
  <c r="D69" i="17"/>
  <c r="E69" i="17"/>
  <c r="F76" i="17"/>
  <c r="F43" i="17"/>
  <c r="G43" i="17"/>
  <c r="D76" i="17"/>
  <c r="G50" i="17"/>
  <c r="D24" i="17"/>
  <c r="F24" i="17"/>
  <c r="D43" i="17"/>
  <c r="E43" i="17"/>
  <c r="D50" i="17"/>
  <c r="E44" i="17"/>
  <c r="D44" i="17"/>
  <c r="E37" i="17"/>
  <c r="G37" i="17"/>
  <c r="D37" i="17"/>
  <c r="F31" i="17"/>
  <c r="D31" i="17"/>
  <c r="G31" i="17"/>
  <c r="E31" i="17"/>
  <c r="F30" i="17"/>
  <c r="D30" i="17"/>
  <c r="E30" i="17"/>
  <c r="G30" i="17"/>
  <c r="F37" i="17"/>
  <c r="G18" i="17"/>
  <c r="E18" i="17"/>
  <c r="F18" i="17"/>
  <c r="D18" i="17"/>
  <c r="D17" i="17"/>
  <c r="F17" i="17"/>
  <c r="G17" i="17"/>
  <c r="E17" i="17"/>
  <c r="P13" i="17"/>
  <c r="F13" i="17"/>
  <c r="D15" i="10"/>
  <c r="D49" i="10" s="1"/>
  <c r="H26" i="5"/>
  <c r="C14" i="5"/>
  <c r="E14" i="5" s="1"/>
  <c r="C17" i="5"/>
  <c r="C16" i="5"/>
  <c r="E16" i="5" s="1"/>
  <c r="F16" i="5" s="1"/>
  <c r="H16" i="5" s="1"/>
  <c r="C15" i="5"/>
  <c r="E15" i="5" s="1"/>
  <c r="F15" i="5" s="1"/>
  <c r="H15" i="5" s="1"/>
  <c r="F26" i="5"/>
  <c r="C158" i="5"/>
  <c r="F149" i="17" l="1"/>
  <c r="C11" i="11"/>
  <c r="D11" i="11" s="1"/>
  <c r="E11" i="11" s="1"/>
  <c r="F11" i="11" s="1"/>
  <c r="G11" i="11" s="1"/>
  <c r="H11" i="11" s="1"/>
  <c r="I11" i="11" s="1"/>
  <c r="J11" i="11" s="1"/>
  <c r="K11" i="11" s="1"/>
  <c r="D40" i="10"/>
  <c r="E17" i="5"/>
  <c r="F14" i="5"/>
  <c r="F150" i="17" l="1"/>
  <c r="C13" i="11"/>
  <c r="D13" i="11" s="1"/>
  <c r="B21" i="11"/>
  <c r="B23" i="11" s="1"/>
  <c r="C2" i="13"/>
  <c r="C10" i="13" s="1"/>
  <c r="B10" i="13" s="1"/>
  <c r="H10" i="13" s="1"/>
  <c r="F17" i="5"/>
  <c r="H14" i="5"/>
  <c r="H17" i="5" s="1"/>
  <c r="B24" i="11" l="1"/>
  <c r="B25" i="11" s="1"/>
  <c r="D11" i="13" s="1"/>
  <c r="B11" i="13" s="1"/>
  <c r="E13" i="11"/>
  <c r="D14" i="11"/>
  <c r="F151" i="17"/>
  <c r="C14" i="11"/>
  <c r="C21" i="11" s="1"/>
  <c r="C23" i="11" s="1"/>
  <c r="F10" i="13"/>
  <c r="G10" i="13"/>
  <c r="G11" i="13" l="1"/>
  <c r="F11" i="13"/>
  <c r="H11" i="13"/>
  <c r="C24" i="11"/>
  <c r="C25" i="11" s="1"/>
  <c r="D12" i="13" s="1"/>
  <c r="B12" i="13" s="1"/>
  <c r="F13" i="11"/>
  <c r="E14" i="11"/>
  <c r="F152" i="17"/>
  <c r="D21" i="11"/>
  <c r="D23" i="11" s="1"/>
  <c r="G12" i="13" l="1"/>
  <c r="F12" i="13"/>
  <c r="H12" i="13"/>
  <c r="D24" i="11"/>
  <c r="D25" i="11" s="1"/>
  <c r="D13" i="13" s="1"/>
  <c r="B13" i="13" s="1"/>
  <c r="G13" i="11"/>
  <c r="F14" i="11"/>
  <c r="F153" i="17"/>
  <c r="E21" i="11"/>
  <c r="E23" i="11" s="1"/>
  <c r="H13" i="13" l="1"/>
  <c r="F13" i="13"/>
  <c r="G13" i="13"/>
  <c r="E24" i="11"/>
  <c r="E25" i="11"/>
  <c r="D14" i="13" s="1"/>
  <c r="B14" i="13" s="1"/>
  <c r="H13" i="11"/>
  <c r="G14" i="11"/>
  <c r="F154" i="17"/>
  <c r="F21" i="11"/>
  <c r="F23" i="11" s="1"/>
  <c r="G14" i="13" l="1"/>
  <c r="F14" i="13"/>
  <c r="H14" i="13"/>
  <c r="F24" i="11"/>
  <c r="F25" i="11"/>
  <c r="D15" i="13" s="1"/>
  <c r="B15" i="13" s="1"/>
  <c r="I13" i="11"/>
  <c r="H14" i="11"/>
  <c r="F155" i="17"/>
  <c r="G21" i="11"/>
  <c r="G23" i="11" s="1"/>
  <c r="H15" i="13" l="1"/>
  <c r="F15" i="13"/>
  <c r="G15" i="13"/>
  <c r="G24" i="11"/>
  <c r="G25" i="11"/>
  <c r="D16" i="13" s="1"/>
  <c r="B16" i="13" s="1"/>
  <c r="J13" i="11"/>
  <c r="I14" i="11"/>
  <c r="I21" i="11" s="1"/>
  <c r="I23" i="11" s="1"/>
  <c r="G155" i="17"/>
  <c r="G146" i="17"/>
  <c r="G147" i="17"/>
  <c r="G148" i="17"/>
  <c r="G149" i="17"/>
  <c r="G150" i="17"/>
  <c r="G151" i="17"/>
  <c r="G152" i="17"/>
  <c r="G153" i="17"/>
  <c r="G154" i="17"/>
  <c r="H21" i="11"/>
  <c r="H23" i="11" s="1"/>
  <c r="G16" i="13" l="1"/>
  <c r="F16" i="13"/>
  <c r="H16" i="13"/>
  <c r="I24" i="11"/>
  <c r="I25" i="11" s="1"/>
  <c r="D18" i="13" s="1"/>
  <c r="B18" i="13" s="1"/>
  <c r="H24" i="11"/>
  <c r="H25" i="11" s="1"/>
  <c r="D17" i="13" s="1"/>
  <c r="B17" i="13" s="1"/>
  <c r="K13" i="11"/>
  <c r="J14" i="11"/>
  <c r="J21" i="11" s="1"/>
  <c r="J23" i="11" s="1"/>
  <c r="F17" i="13" l="1"/>
  <c r="G17" i="13"/>
  <c r="H17" i="13"/>
  <c r="G18" i="13"/>
  <c r="F18" i="13"/>
  <c r="H18" i="13"/>
  <c r="J24" i="11"/>
  <c r="J25" i="11"/>
  <c r="D19" i="13" s="1"/>
  <c r="B19" i="13" s="1"/>
  <c r="K14" i="11"/>
  <c r="K21" i="11" s="1"/>
  <c r="K23" i="11" s="1"/>
  <c r="L13" i="11"/>
  <c r="F19" i="13" l="1"/>
  <c r="H19" i="13"/>
  <c r="G19" i="13"/>
  <c r="K24" i="11"/>
  <c r="K25" i="11" s="1"/>
  <c r="D20" i="13" s="1"/>
  <c r="B20" i="13" s="1"/>
  <c r="M13" i="11"/>
  <c r="M14" i="11" s="1"/>
  <c r="M21" i="11" s="1"/>
  <c r="M23" i="11" s="1"/>
  <c r="L14" i="11"/>
  <c r="L21" i="11" s="1"/>
  <c r="L23" i="11" s="1"/>
  <c r="F20" i="13" l="1"/>
  <c r="F21" i="13" s="1"/>
  <c r="C22" i="13" s="1"/>
  <c r="G20" i="13"/>
  <c r="H20" i="13"/>
  <c r="H21" i="13" s="1"/>
  <c r="L24" i="11"/>
  <c r="L25" i="11" s="1"/>
  <c r="M24" i="11"/>
  <c r="M25"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tc={B3E71D52-469A-4653-A942-99B6EB4CD392}</author>
  </authors>
  <commentList>
    <comment ref="A44" authorId="0" shapeId="0" xr:uid="{B3E71D52-469A-4653-A942-99B6EB4CD39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Intet behov</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8224DD-6B94-43D2-A09A-9198402DD06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<sst xmlns="http://schemas.openxmlformats.org/spreadsheetml/2006/main" count="1823" uniqueCount="968">
  <si>
    <r>
      <t xml:space="preserve"> </t>
    </r>
    <r>
      <rPr>
        <b/>
        <sz val="20"/>
        <color rgb="FF404040"/>
        <rFont val="Calibri"/>
        <family val="2"/>
        <scheme val="minor"/>
      </rPr>
      <t xml:space="preserve">1) </t>
    </r>
    <r>
      <rPr>
        <sz val="20"/>
        <color rgb="FF404040"/>
        <rFont val="Calibri"/>
        <family val="2"/>
        <scheme val="minor"/>
      </rPr>
      <t>Hvordan planlægger vi projektet? (</t>
    </r>
    <r>
      <rPr>
        <b/>
        <i/>
        <sz val="20"/>
        <color rgb="FF404040"/>
        <rFont val="Calibri"/>
        <family val="2"/>
        <scheme val="minor"/>
      </rPr>
      <t>projektplan &amp; tidslinje samt SWOT &amp; risikovurdering</t>
    </r>
    <r>
      <rPr>
        <sz val="20"/>
        <color rgb="FF404040"/>
        <rFont val="Calibri"/>
        <family val="2"/>
        <scheme val="minor"/>
      </rPr>
      <t xml:space="preserve">) </t>
    </r>
  </si>
  <si>
    <r>
      <t xml:space="preserve"> </t>
    </r>
    <r>
      <rPr>
        <b/>
        <sz val="20"/>
        <color rgb="FF404040"/>
        <rFont val="Calibri"/>
        <family val="2"/>
        <scheme val="minor"/>
      </rPr>
      <t xml:space="preserve">2) </t>
    </r>
    <r>
      <rPr>
        <sz val="20"/>
        <color rgb="FF404040"/>
        <rFont val="Calibri"/>
        <family val="2"/>
        <scheme val="minor"/>
      </rPr>
      <t>Hvem er projektets interessenter, og hvordan kommunikerer vi med dem? (</t>
    </r>
    <r>
      <rPr>
        <b/>
        <i/>
        <sz val="20"/>
        <color rgb="FF404040"/>
        <rFont val="Calibri"/>
        <family val="2"/>
        <scheme val="minor"/>
      </rPr>
      <t>interessentanalyse &amp; kommunikationsplan</t>
    </r>
    <r>
      <rPr>
        <sz val="20"/>
        <color rgb="FF404040"/>
        <rFont val="Calibri"/>
        <family val="2"/>
        <scheme val="minor"/>
      </rPr>
      <t xml:space="preserve">) </t>
    </r>
  </si>
  <si>
    <r>
      <t xml:space="preserve"> </t>
    </r>
    <r>
      <rPr>
        <b/>
        <sz val="20"/>
        <color rgb="FF404040"/>
        <rFont val="Calibri"/>
        <family val="2"/>
        <scheme val="minor"/>
      </rPr>
      <t>3)</t>
    </r>
    <r>
      <rPr>
        <sz val="20"/>
        <color rgb="FF404040"/>
        <rFont val="Calibri"/>
        <family val="2"/>
        <scheme val="minor"/>
      </rPr>
      <t xml:space="preserve"> Hvordan skal organisationen se ud? Hvor mange medarbejdere skal der være? Hvilke arbejdsopgaver er der i organisationen? (</t>
    </r>
    <r>
      <rPr>
        <b/>
        <i/>
        <sz val="20"/>
        <color rgb="FF404040"/>
        <rFont val="Calibri"/>
        <family val="2"/>
        <scheme val="minor"/>
      </rPr>
      <t>organisationsdiagram og arbejdsbeskrivelser for afdelingerne</t>
    </r>
    <r>
      <rPr>
        <sz val="20"/>
        <color rgb="FF404040"/>
        <rFont val="Calibri"/>
        <family val="2"/>
        <scheme val="minor"/>
      </rPr>
      <t>)</t>
    </r>
  </si>
  <si>
    <r>
      <rPr>
        <b/>
        <sz val="20"/>
        <color rgb="FF404040"/>
        <rFont val="Calibri"/>
        <family val="2"/>
        <scheme val="minor"/>
      </rPr>
      <t xml:space="preserve">4) </t>
    </r>
    <r>
      <rPr>
        <sz val="20"/>
        <color rgb="FF404040"/>
        <rFont val="Calibri"/>
        <family val="2"/>
        <scheme val="minor"/>
      </rPr>
      <t>Hvilket færdigvareprodukt skal vi sælge? (</t>
    </r>
    <r>
      <rPr>
        <b/>
        <i/>
        <sz val="20"/>
        <color rgb="FF404040"/>
        <rFont val="Calibri"/>
        <family val="2"/>
        <scheme val="minor"/>
      </rPr>
      <t>arbejdstegninger og BOM/stykliste</t>
    </r>
    <r>
      <rPr>
        <sz val="20"/>
        <color rgb="FF404040"/>
        <rFont val="Calibri"/>
        <family val="2"/>
        <scheme val="minor"/>
      </rPr>
      <t>)</t>
    </r>
  </si>
  <si>
    <r>
      <rPr>
        <b/>
        <sz val="20"/>
        <color rgb="FF404040"/>
        <rFont val="Calibri"/>
        <family val="2"/>
        <scheme val="minor"/>
      </rPr>
      <t xml:space="preserve">5) </t>
    </r>
    <r>
      <rPr>
        <sz val="20"/>
        <color rgb="FF404040"/>
        <rFont val="Calibri"/>
        <family val="2"/>
        <scheme val="minor"/>
      </rPr>
      <t>Hvad vil vi selv fremstille, og hvad vil vi købe af leverandører? (</t>
    </r>
    <r>
      <rPr>
        <b/>
        <i/>
        <sz val="20"/>
        <color rgb="FF404040"/>
        <rFont val="Calibri"/>
        <family val="2"/>
        <scheme val="minor"/>
      </rPr>
      <t>MAKE-BUY beslutninger, BOM</t>
    </r>
    <r>
      <rPr>
        <sz val="20"/>
        <color rgb="FF404040"/>
        <rFont val="Calibri"/>
        <family val="2"/>
        <scheme val="minor"/>
      </rPr>
      <t xml:space="preserve">) </t>
    </r>
  </si>
  <si>
    <r>
      <rPr>
        <b/>
        <sz val="20"/>
        <color rgb="FF404040"/>
        <rFont val="Calibri"/>
        <family val="2"/>
        <scheme val="minor"/>
      </rPr>
      <t xml:space="preserve">6) </t>
    </r>
    <r>
      <rPr>
        <sz val="20"/>
        <color rgb="FF404040"/>
        <rFont val="Calibri"/>
        <family val="2"/>
        <scheme val="minor"/>
      </rPr>
      <t>Hvilke fremstillingsmetoder skal vi bruge til de parter, vi vil fremstille? (</t>
    </r>
    <r>
      <rPr>
        <b/>
        <i/>
        <sz val="20"/>
        <color rgb="FF404040"/>
        <rFont val="Calibri"/>
        <family val="2"/>
        <scheme val="minor"/>
      </rPr>
      <t>operationsdiagram, illustrativ BOM</t>
    </r>
    <r>
      <rPr>
        <sz val="20"/>
        <color rgb="FF404040"/>
        <rFont val="Calibri"/>
        <family val="2"/>
        <scheme val="minor"/>
      </rPr>
      <t xml:space="preserve">) </t>
    </r>
  </si>
  <si>
    <r>
      <rPr>
        <b/>
        <sz val="20"/>
        <color rgb="FF404040"/>
        <rFont val="Calibri"/>
        <family val="2"/>
        <scheme val="minor"/>
      </rPr>
      <t xml:space="preserve">7) </t>
    </r>
    <r>
      <rPr>
        <sz val="20"/>
        <color rgb="FF404040"/>
        <rFont val="Calibri"/>
        <family val="2"/>
        <scheme val="minor"/>
      </rPr>
      <t>Hvilke maskiner skal vi bruge til hvilke fremstillingsmetoder? (</t>
    </r>
    <r>
      <rPr>
        <b/>
        <i/>
        <sz val="20"/>
        <color rgb="FF404040"/>
        <rFont val="Calibri"/>
        <family val="2"/>
        <scheme val="minor"/>
      </rPr>
      <t>maskinliste og fremstillingsvalg</t>
    </r>
    <r>
      <rPr>
        <sz val="20"/>
        <color rgb="FF404040"/>
        <rFont val="Calibri"/>
        <family val="2"/>
        <scheme val="minor"/>
      </rPr>
      <t xml:space="preserve">) </t>
    </r>
  </si>
  <si>
    <r>
      <rPr>
        <b/>
        <sz val="20"/>
        <color rgb="FF404040"/>
        <rFont val="Calibri"/>
        <family val="2"/>
        <scheme val="minor"/>
      </rPr>
      <t xml:space="preserve">8) </t>
    </r>
    <r>
      <rPr>
        <sz val="20"/>
        <color rgb="FF404040"/>
        <rFont val="Calibri"/>
        <family val="2"/>
        <scheme val="minor"/>
      </rPr>
      <t>Hvordan skal maskinerne placeres i faciliteterne? Hvordan ser faciliteterne ud? Hvor er lokationen? (</t>
    </r>
    <r>
      <rPr>
        <b/>
        <i/>
        <sz val="20"/>
        <color rgb="FF404040"/>
        <rFont val="Calibri"/>
        <family val="2"/>
        <scheme val="minor"/>
      </rPr>
      <t>faciliteter og produktionslayout</t>
    </r>
    <r>
      <rPr>
        <sz val="20"/>
        <color rgb="FF404040"/>
        <rFont val="Calibri"/>
        <family val="2"/>
        <scheme val="minor"/>
      </rPr>
      <t>)</t>
    </r>
  </si>
  <si>
    <r>
      <rPr>
        <b/>
        <sz val="20"/>
        <color rgb="FF404040"/>
        <rFont val="Calibri"/>
        <family val="2"/>
        <scheme val="minor"/>
      </rPr>
      <t>9)</t>
    </r>
    <r>
      <rPr>
        <sz val="20"/>
        <color rgb="FF404040"/>
        <rFont val="Calibri"/>
        <family val="2"/>
        <scheme val="minor"/>
      </rPr>
      <t xml:space="preserve"> Hvor lang tid tager det i alt at fremstille en stol? (</t>
    </r>
    <r>
      <rPr>
        <b/>
        <i/>
        <sz val="20"/>
        <color rgb="FF404040"/>
        <rFont val="Calibri"/>
        <family val="2"/>
        <scheme val="minor"/>
      </rPr>
      <t>procesdiagram</t>
    </r>
    <r>
      <rPr>
        <sz val="20"/>
        <color rgb="FF404040"/>
        <rFont val="Calibri"/>
        <family val="2"/>
        <scheme val="minor"/>
      </rPr>
      <t>). Hvordan viser vi operatørerne, hvordan de forskellige parter skal fremstilles? (</t>
    </r>
    <r>
      <rPr>
        <b/>
        <i/>
        <sz val="20"/>
        <color rgb="FF404040"/>
        <rFont val="Calibri"/>
        <family val="2"/>
        <scheme val="minor"/>
      </rPr>
      <t>operationskort</t>
    </r>
    <r>
      <rPr>
        <sz val="20"/>
        <color rgb="FF404040"/>
        <rFont val="Calibri"/>
        <family val="2"/>
        <scheme val="minor"/>
      </rPr>
      <t>)</t>
    </r>
  </si>
  <si>
    <r>
      <rPr>
        <b/>
        <sz val="20"/>
        <color rgb="FF404040"/>
        <rFont val="Calibri"/>
        <family val="2"/>
        <scheme val="minor"/>
      </rPr>
      <t>10)</t>
    </r>
    <r>
      <rPr>
        <sz val="20"/>
        <color rgb="FF404040"/>
        <rFont val="Calibri"/>
        <family val="2"/>
        <scheme val="minor"/>
      </rPr>
      <t xml:space="preserve"> Hvordan skal produktionen planlægges? Hvordan skal vedligehold af maskinerne planlægges? (</t>
    </r>
    <r>
      <rPr>
        <b/>
        <i/>
        <sz val="20"/>
        <color rgb="FF404040"/>
        <rFont val="Calibri"/>
        <family val="2"/>
        <scheme val="minor"/>
      </rPr>
      <t>Gantt-kort og vedligeholdelsesplan</t>
    </r>
    <r>
      <rPr>
        <sz val="20"/>
        <color rgb="FF404040"/>
        <rFont val="Calibri"/>
        <family val="2"/>
        <scheme val="minor"/>
      </rPr>
      <t>). Hvordan ser OEE ud? (</t>
    </r>
    <r>
      <rPr>
        <b/>
        <i/>
        <sz val="20"/>
        <color rgb="FF404040"/>
        <rFont val="Calibri"/>
        <family val="2"/>
        <scheme val="minor"/>
      </rPr>
      <t>OEE-udregninger</t>
    </r>
    <r>
      <rPr>
        <sz val="20"/>
        <color rgb="FF404040"/>
        <rFont val="Calibri"/>
        <family val="2"/>
        <scheme val="minor"/>
      </rPr>
      <t>)</t>
    </r>
  </si>
  <si>
    <r>
      <t xml:space="preserve">11) </t>
    </r>
    <r>
      <rPr>
        <sz val="20"/>
        <rFont val="Calibri"/>
        <family val="2"/>
        <scheme val="minor"/>
      </rPr>
      <t>Hvilke materialer skal vi bruge til at fremstille stolen? Og hvor mange materialer skal vi bruge? (</t>
    </r>
    <r>
      <rPr>
        <b/>
        <i/>
        <sz val="20"/>
        <rFont val="Calibri"/>
        <family val="2"/>
        <scheme val="minor"/>
      </rPr>
      <t>lagerstyring</t>
    </r>
    <r>
      <rPr>
        <sz val="20"/>
        <rFont val="Calibri"/>
        <family val="2"/>
        <scheme val="minor"/>
      </rPr>
      <t>)</t>
    </r>
  </si>
  <si>
    <r>
      <t xml:space="preserve">12) </t>
    </r>
    <r>
      <rPr>
        <sz val="20"/>
        <rFont val="Calibri"/>
        <family val="2"/>
        <scheme val="minor"/>
      </rPr>
      <t>Hvordan styrer vi virksomhedens materialeflow? (</t>
    </r>
    <r>
      <rPr>
        <b/>
        <i/>
        <sz val="20"/>
        <rFont val="Calibri"/>
        <family val="2"/>
        <scheme val="minor"/>
      </rPr>
      <t>MRP - manufacturing ressource planning</t>
    </r>
    <r>
      <rPr>
        <sz val="20"/>
        <rFont val="Calibri"/>
        <family val="2"/>
        <scheme val="minor"/>
      </rPr>
      <t>)</t>
    </r>
  </si>
  <si>
    <r>
      <t xml:space="preserve">13) </t>
    </r>
    <r>
      <rPr>
        <sz val="20"/>
        <rFont val="Calibri"/>
        <family val="2"/>
        <scheme val="minor"/>
      </rPr>
      <t>Hvor mange penge har vi brug for til at etablere produktionen? (</t>
    </r>
    <r>
      <rPr>
        <b/>
        <i/>
        <sz val="20"/>
        <rFont val="Calibri"/>
        <family val="2"/>
        <scheme val="minor"/>
      </rPr>
      <t>etableringsbudget)</t>
    </r>
  </si>
  <si>
    <r>
      <t xml:space="preserve">14) </t>
    </r>
    <r>
      <rPr>
        <sz val="20"/>
        <rFont val="Calibri"/>
        <family val="2"/>
        <scheme val="minor"/>
      </rPr>
      <t>Hvordan ser driftbudget for produktionen ud? (</t>
    </r>
    <r>
      <rPr>
        <b/>
        <i/>
        <sz val="20"/>
        <rFont val="Calibri"/>
        <family val="2"/>
        <scheme val="minor"/>
      </rPr>
      <t>driftbudget</t>
    </r>
    <r>
      <rPr>
        <sz val="20"/>
        <rFont val="Calibri"/>
        <family val="2"/>
        <scheme val="minor"/>
      </rPr>
      <t>)</t>
    </r>
  </si>
  <si>
    <r>
      <t xml:space="preserve">15) </t>
    </r>
    <r>
      <rPr>
        <sz val="20"/>
        <rFont val="Calibri"/>
        <family val="2"/>
        <scheme val="minor"/>
      </rPr>
      <t>Hvordan er investreringsrentabiliteten for projektet? (</t>
    </r>
    <r>
      <rPr>
        <b/>
        <i/>
        <sz val="20"/>
        <rFont val="Calibri"/>
        <family val="2"/>
        <scheme val="minor"/>
      </rPr>
      <t>investeringsrentabilitet)</t>
    </r>
  </si>
  <si>
    <t>SWOT</t>
  </si>
  <si>
    <t>Strengths</t>
  </si>
  <si>
    <t>Weaknesses</t>
  </si>
  <si>
    <t>Opportunities</t>
  </si>
  <si>
    <t>Threats</t>
  </si>
  <si>
    <t>Dansk design og produktion giver høj troværdighed og gør produktet attraktivt for kunder, der prioriterer kvalitet og lokal produktion.
Lettere kommunikation og hurtigere beslutningsprocesser, fordi udvikling og produktion foregår samme sted.
Nemmere at automatisere produktionen, da man har fuld kontrol over faciliteter, maskiner og arbejdsgange.
Tættere på produktudviklingen, hvilket betyder hurtigere prototyper, færre fejl og bedre kvalitetssikring.</t>
  </si>
  <si>
    <t>Højere omkostninger til arbejdskraft i Danmark sammenlignet med mange andre produktionslande.
Dyre lager- og produktionsfaciliteter, inkl. drift, energi og vedligehold.
Dansk lovgivning og fagforeninger kan give ekstra krav, der påvirker fleksibiliteten og omkostningsniveauet.
Risiko for forsyningskædeproblemer.
Sårbarhed ved sygdom eller fravær, da mindre teams hurtigere mærker manglende bemanding.
Logistiske udfordringer, fx hvis der skal leveres store mængder hurtigt.</t>
  </si>
  <si>
    <t>Kortere afstand til kunder i EU og nemmere eksport, da produktionen ligger centralt i Europa.
Mulighed for at markedsføre høj kvalitet og EU-standarder, hvilket kan give en premium-positionering.
Mulighed for at tiltrække dygtig europæisk arbejdskraft, hvis virksomheden vokser.
Større fleksibilitet i produktændringer, fordi produktionen er tæt på udvikling og salg.</t>
  </si>
  <si>
    <t xml:space="preserve">Billigere udenlandske konkurrenter, som kan tilbyde lignende stole til lavere priser.
Stigende materialepriser, som kan presse produktionen økonomisk.
Produktionsstop ved maskinnedbrud, hvilket er kritisk ved højt output.
Risiko for kopiprodukter, hvor design kopieres og sælges billigere.
Arbejdsmarkedstrusler, som strejker, mangel på personale eller lav arbejdskrafttilgængelighed.
Arbejdsskader, der kan føre til sygefravær, mindre kapacitet og øgede omkostninger.
Ophør af lejemål eller huslejestigninger, som kan tvinge virksomheden til at flytte produktionen med store omkostninger og potentielt produktionsstop.
Mangel på efterspørgsel, hvis markedet ændrer sig eller nye konkurrenter kommer til.    </t>
  </si>
  <si>
    <t xml:space="preserve">Gantt kort </t>
  </si>
  <si>
    <t>Projekt planlæggelse</t>
  </si>
  <si>
    <t>Projektets startdato:</t>
  </si>
  <si>
    <t>Projektets slutdato:</t>
  </si>
  <si>
    <t>Beskrivelse af opgaver</t>
  </si>
  <si>
    <t>Dato for undervisning</t>
  </si>
  <si>
    <t>Dato for start på opgaven</t>
  </si>
  <si>
    <t>Afsluttelse af opgaven</t>
  </si>
  <si>
    <t>Projektplan &amp; risikovurdering</t>
  </si>
  <si>
    <t>Interessantanalyse &amp;kommunikationsplan</t>
  </si>
  <si>
    <t>Organisation &amp; arbejdsopgaver</t>
  </si>
  <si>
    <t>Stykliste</t>
  </si>
  <si>
    <t>Forsyningsstrategi</t>
  </si>
  <si>
    <t>Operationsdiagram</t>
  </si>
  <si>
    <t>Maskinliste &amp; fremstillingsvalg</t>
  </si>
  <si>
    <t>Faciliteter &amp; layout</t>
  </si>
  <si>
    <t>Procesanalyse &amp; operationskort</t>
  </si>
  <si>
    <t>Produktionsplan &amp; vedligehold</t>
  </si>
  <si>
    <t>MRP</t>
  </si>
  <si>
    <t>Lagerstyring</t>
  </si>
  <si>
    <t>Etableringsbudget</t>
  </si>
  <si>
    <t>Driftsbudget</t>
  </si>
  <si>
    <t>Investeringsrentabilitet</t>
  </si>
  <si>
    <t>Interessentanalyse</t>
  </si>
  <si>
    <t>Kommunikationsplan for et statusmøde</t>
  </si>
  <si>
    <t>Høj</t>
  </si>
  <si>
    <t>Direktør</t>
  </si>
  <si>
    <t>Interessents Navn</t>
  </si>
  <si>
    <t>Budskab/indhold</t>
  </si>
  <si>
    <t>Kommunikations Format</t>
  </si>
  <si>
    <t>Anvendte Medie</t>
  </si>
  <si>
    <t>Ønsket Effekt</t>
  </si>
  <si>
    <t>Ansvar</t>
  </si>
  <si>
    <t>Bogholderi</t>
  </si>
  <si>
    <t>HR</t>
  </si>
  <si>
    <t>Ledelse</t>
  </si>
  <si>
    <t>Hvordan ser det hele ud, er der noget der skal ændres?</t>
  </si>
  <si>
    <t>Fysiske møder</t>
  </si>
  <si>
    <t>Mails</t>
  </si>
  <si>
    <t>sammenhæng mellem hele virksomheden</t>
  </si>
  <si>
    <t>Logistik</t>
  </si>
  <si>
    <t>Indkøbs-styring</t>
  </si>
  <si>
    <t>Produktion</t>
  </si>
  <si>
    <t>Kører produktionen som den skal?</t>
  </si>
  <si>
    <t>Mails/telefon</t>
  </si>
  <si>
    <t>God produktion</t>
  </si>
  <si>
    <t>Magt</t>
  </si>
  <si>
    <t>Kvalitets-sikring</t>
  </si>
  <si>
    <t>Kunder</t>
  </si>
  <si>
    <t>Er kunderne tilfredse?</t>
  </si>
  <si>
    <t>Digitalt</t>
  </si>
  <si>
    <t>Tillid</t>
  </si>
  <si>
    <t>Montage</t>
  </si>
  <si>
    <t>Glider det hele som det skal, eller skal der ændres noget?</t>
  </si>
  <si>
    <t>Mails/Møder (Fysisk/digitalt)</t>
  </si>
  <si>
    <t>Mails/Telefon</t>
  </si>
  <si>
    <t>Glidende logistik, så produktonen ikke går i stå</t>
  </si>
  <si>
    <t>Fremstilling</t>
  </si>
  <si>
    <t>Design</t>
  </si>
  <si>
    <t>Fagforenigerne/ Overenskomst</t>
  </si>
  <si>
    <t>Kan vi gøre arbejdspladsen bedre?</t>
  </si>
  <si>
    <t>Rettigheder, vilkår, samarbejde</t>
  </si>
  <si>
    <t>Test/prototyping</t>
  </si>
  <si>
    <t>Lager (produktion)</t>
  </si>
  <si>
    <t>Leverandør</t>
  </si>
  <si>
    <t>Kører det hele som det skal?</t>
  </si>
  <si>
    <t>Få ting til at komme til den rette tid</t>
  </si>
  <si>
    <t>Lav</t>
  </si>
  <si>
    <t>CAD/CAE</t>
  </si>
  <si>
    <t>Lager(Varemodtagelse)</t>
  </si>
  <si>
    <t>Økonomi</t>
  </si>
  <si>
    <t>Laver vi overskud eller underskud. Er der noget vi kan gøre bedre?</t>
  </si>
  <si>
    <t>Sund økonomi</t>
  </si>
  <si>
    <t>Interesse</t>
  </si>
  <si>
    <t>Produdvikling</t>
  </si>
  <si>
    <t>Er der nogle nye produkter, der er ved at være klar til produktion?</t>
  </si>
  <si>
    <t>Fremme udviklinger på produktet</t>
  </si>
  <si>
    <t>Medium/høj</t>
  </si>
  <si>
    <t>Er medarbejderne glade?</t>
  </si>
  <si>
    <t>Trivsel</t>
  </si>
  <si>
    <t>Interessentanalyse oversigt</t>
  </si>
  <si>
    <t>Direktøren er den der har højst interesse og højst magt.</t>
  </si>
  <si>
    <t>HR er bindeleddet mellem medarbejderne og ledelsen. Deres interresse er derfor høj og magt er også høj.</t>
  </si>
  <si>
    <t>Bogholderi håndterer virksomhedens økonomiske registreringer. Deres interesse er høj og magt er også høj.</t>
  </si>
  <si>
    <t>Indkøbsstyring</t>
  </si>
  <si>
    <t>De planlægger, bestiller og styrer virksomhedens indkøb. Deres interesse er derfor høj, men de har ikke højere magt end HR og bogholderi.</t>
  </si>
  <si>
    <t xml:space="preserve">Logistik har lige meget magt som indkøbsstyring har og lige meget interesse. </t>
  </si>
  <si>
    <t>Lager</t>
  </si>
  <si>
    <t xml:space="preserve">Lager i varemodtagelsen har høj interesse, men ingen magt. </t>
  </si>
  <si>
    <t xml:space="preserve">Design har høj interesse, men næsten ingen magt. </t>
  </si>
  <si>
    <t>Test og prototyping</t>
  </si>
  <si>
    <t>Test og prototyping har høj interesse og høj magt, da de tester nye produkter.</t>
  </si>
  <si>
    <t xml:space="preserve">CAD/CAE har høj interesse, men ingen magt. </t>
  </si>
  <si>
    <t xml:space="preserve">Montage har høj interresse, og middel magt. </t>
  </si>
  <si>
    <t xml:space="preserve">Lager i produktionen har har høj interesse, men ingen magt. </t>
  </si>
  <si>
    <t>Kvalitetssikring</t>
  </si>
  <si>
    <t>Kvalitetssikring har høj interesse og høj magt.</t>
  </si>
  <si>
    <t xml:space="preserve">Fremstilling har høj interesse, men ikke særlig høj magt. </t>
  </si>
  <si>
    <t>Organisations diagram</t>
  </si>
  <si>
    <t>Arbejdsopgaver</t>
  </si>
  <si>
    <t>Direktøren har mest autoritet og tager alle endelige beslutninger                                1 ansat til 55.000 kr.</t>
  </si>
  <si>
    <t xml:space="preserve">HR er bindeleddet mellem medarbejderne og ledelsen. Deres arbejdsopgaver er rekruttering, onboarding, udviklng, trivsel, løn, jura, samtaler, strategi, offboarding.                                                                                             </t>
  </si>
  <si>
    <t xml:space="preserve">Bogholderi håndterer virksomhedens økonomiske registreringer og sikrer, at alle indtægter, udgifter og bilag bliver korrekt bogført.                                                              1 er ansat til HR og bogholderi til 45.000 kr.                                    </t>
  </si>
  <si>
    <t xml:space="preserve">De planlægger, bestiller og styrer virksomhedens indkøb af materialer, varer og leverandører – så produktionen altid har det, der skal bruges, til den bedste pris og tid.                                                                                                                </t>
  </si>
  <si>
    <t xml:space="preserve">De planlægger, styrer og optimerer transport, lager, materialeflow og distribution, så varer kommer det rigtige sted hen på det rigtige tidspunkt.       1 er ansat til indkøbsstyring og logistik til 40.000 kr.     </t>
  </si>
  <si>
    <t>De modtager, kontrollerer, registrerer og placerer varer korrekt på lageret, når de ankommer til virksomheden.                                                                                                          2 er ansat til 28.000 kr. Pr. Medarbejder</t>
  </si>
  <si>
    <t>Design designer nye produkter og videreudvikler eksiterende produkter                  2 er ansat til 35.000 kr. Pr. medarbejder og begge laver både design, test og prototyping og CAD/CAE.</t>
  </si>
  <si>
    <t xml:space="preserve">De laver mockups og prototyper af de nye produkter, hvor de laver styrkeberigninger og tests på dem. </t>
  </si>
  <si>
    <t xml:space="preserve">De laver digitale tegninger af de nye designs. </t>
  </si>
  <si>
    <t xml:space="preserve">De samler produktets dele til et færdigt produkt – enten manuelt eller ved hjælp af maskiner.                                                                                                                                            6 er ansat så, så der kan være 3 på hvert hold. Dagsholdet får 30.000 kr. og aftenholdet får 35.000 kr. </t>
  </si>
  <si>
    <t xml:space="preserve">Lager har kontrol over hvad og hvor meget vi har på lager, hvilket hjælper os med at spare på bestilling af nye vare.                                                                                                  4 er ansat, så 2 kan være på hvert hold. Dagshold får 28.000 kr. og aftenholdet får 30.000 kr. </t>
  </si>
  <si>
    <t>At sikre, at produkter eller processer lever op til krav og standarder, så fejl opdages og forebygges.                                                                                                                     Dette tager produktionsmedarbejderne sig af.</t>
  </si>
  <si>
    <t xml:space="preserve">De producerer produktet ud fra materialer og komponenter ved hjælp af maskinerne.                                                                                                                                          22 er ansat, så der er 11 på hvert hold. Dagsholdet får 30.000 kr. Aftenholdet får 35.000 kr. </t>
  </si>
  <si>
    <t>Antal ansatte</t>
  </si>
  <si>
    <t xml:space="preserve">Løn pr. måned </t>
  </si>
  <si>
    <t>PART NO.</t>
  </si>
  <si>
    <t>PART</t>
  </si>
  <si>
    <t>Description</t>
  </si>
  <si>
    <t>Material</t>
  </si>
  <si>
    <t>Quantity</t>
  </si>
  <si>
    <t>10-200</t>
  </si>
  <si>
    <t>Sæde</t>
  </si>
  <si>
    <t>Plywood</t>
  </si>
  <si>
    <t>10-100</t>
  </si>
  <si>
    <t>Stel</t>
  </si>
  <si>
    <t>1023 Carbon steel</t>
  </si>
  <si>
    <t xml:space="preserve"> </t>
  </si>
  <si>
    <t>Indsats i sæde</t>
  </si>
  <si>
    <t xml:space="preserve">AISI Type 316L Stainless steel </t>
  </si>
  <si>
    <t>Spacer</t>
  </si>
  <si>
    <t>POM</t>
  </si>
  <si>
    <t>Pluks</t>
  </si>
  <si>
    <t>PP</t>
  </si>
  <si>
    <t>Indsats i fod</t>
  </si>
  <si>
    <t>AISI 316 Annealed Stainless steel bar (SS)</t>
  </si>
  <si>
    <t>Fod</t>
  </si>
  <si>
    <t>Skrue</t>
  </si>
  <si>
    <t>Cast Satinless steel M5 x 30mm</t>
  </si>
  <si>
    <t>Maskine pris</t>
  </si>
  <si>
    <t xml:space="preserve">Enhed </t>
  </si>
  <si>
    <t>Kr/t</t>
  </si>
  <si>
    <t>Enheder/t</t>
  </si>
  <si>
    <t>Styk pris eksl. Materiale</t>
  </si>
  <si>
    <t>Styk pris inkl. Materieale</t>
  </si>
  <si>
    <t>Antal</t>
  </si>
  <si>
    <t>Total for 2000 stole</t>
  </si>
  <si>
    <t>Indsats til sæde</t>
  </si>
  <si>
    <t>https://staalet.dk/vare/rundt-staalroer/</t>
  </si>
  <si>
    <t>https://www.stark.dk/raw-fyr-krydsfiner-a-c-12-mm-1220-mm-2440-mm?id=3200-9590207</t>
  </si>
  <si>
    <t>Total</t>
  </si>
  <si>
    <t>Materiale pris</t>
  </si>
  <si>
    <t>Enhed</t>
  </si>
  <si>
    <t xml:space="preserve">Materiale </t>
  </si>
  <si>
    <t>Størrelse</t>
  </si>
  <si>
    <t>Antal pr størrelse</t>
  </si>
  <si>
    <t>Kr.</t>
  </si>
  <si>
    <t>Kr. pr. enhed</t>
  </si>
  <si>
    <t>Rustfri stål</t>
  </si>
  <si>
    <t>Ø20x3000mm</t>
  </si>
  <si>
    <t>aisi 1045</t>
  </si>
  <si>
    <t>Ø16x6000mm</t>
  </si>
  <si>
    <t>Krydsfiner</t>
  </si>
  <si>
    <t>1220x2440mm</t>
  </si>
  <si>
    <t>Lim</t>
  </si>
  <si>
    <t>DANA lim</t>
  </si>
  <si>
    <t>15L</t>
  </si>
  <si>
    <t>Maling</t>
  </si>
  <si>
    <t>RAL9005</t>
  </si>
  <si>
    <t>3000ml</t>
  </si>
  <si>
    <t xml:space="preserve">Komponenter </t>
  </si>
  <si>
    <t>Materiale</t>
  </si>
  <si>
    <t>Pris pr. stk.</t>
  </si>
  <si>
    <t>Pris pr. enhed</t>
  </si>
  <si>
    <t>Split til fod</t>
  </si>
  <si>
    <t>aisi 1020 steel</t>
  </si>
  <si>
    <t>Plug til fod</t>
  </si>
  <si>
    <t>Cast iron steel</t>
  </si>
  <si>
    <t>El pris /år</t>
  </si>
  <si>
    <t>Krajlics model</t>
  </si>
  <si>
    <t>volumevarer</t>
  </si>
  <si>
    <t>Strategisk varer</t>
  </si>
  <si>
    <t>Finér til sæde</t>
  </si>
  <si>
    <t>Rør til stel</t>
  </si>
  <si>
    <t>Rør til indsats I sæde</t>
  </si>
  <si>
    <t>vigtigheden af indkøb</t>
  </si>
  <si>
    <t>Ukritiske varer</t>
  </si>
  <si>
    <t>Flaskehalsvarer</t>
  </si>
  <si>
    <t xml:space="preserve">Kompleksitet af leverendørmarkedet </t>
  </si>
  <si>
    <t>cnc drejebænk</t>
  </si>
  <si>
    <t>Input data</t>
  </si>
  <si>
    <t>yearly rate</t>
  </si>
  <si>
    <t>Hourly rate</t>
  </si>
  <si>
    <t>Acquistion price incl. Equipment</t>
  </si>
  <si>
    <t>Internal rate of interest</t>
  </si>
  <si>
    <t>Depreciation (years)</t>
  </si>
  <si>
    <t>Rent (kr/m2/year)</t>
  </si>
  <si>
    <t>Operation hours pr. year (2 shifts)</t>
  </si>
  <si>
    <t>Energy consumption (kr pr/year)</t>
  </si>
  <si>
    <t>Maintenance (kr pr/year)</t>
  </si>
  <si>
    <t>Consumables (kr pr/year)</t>
  </si>
  <si>
    <t>Machine tools (kr pr/year)</t>
  </si>
  <si>
    <t>Auxiliary tools (kr pr/year)</t>
  </si>
  <si>
    <t>CNC Rør bukker</t>
  </si>
  <si>
    <t>svjeser</t>
  </si>
  <si>
    <t>Laser Skære/bore</t>
  </si>
  <si>
    <t xml:space="preserve">Afgrater </t>
  </si>
  <si>
    <t>CNC Skære til sæde</t>
  </si>
  <si>
    <t>OMMA OPEN</t>
  </si>
  <si>
    <t>Rover A Smart 1632</t>
  </si>
  <si>
    <t>Sprøjte lakering</t>
  </si>
  <si>
    <t>pudse sædet</t>
  </si>
  <si>
    <t>Formnig af sæde</t>
  </si>
  <si>
    <t>Make/Buy</t>
  </si>
  <si>
    <t>Make or Buy</t>
  </si>
  <si>
    <t>Begrundelse</t>
  </si>
  <si>
    <t>Make</t>
  </si>
  <si>
    <t>Lavere stykomkostninger, bedre kontrol over kvalitet og miljø</t>
  </si>
  <si>
    <t>Færre leveringer (svært at stable færdig stel)</t>
  </si>
  <si>
    <t xml:space="preserve">Make </t>
  </si>
  <si>
    <t>Kræver ikke meget plads og kan købe rå materiale fra samme sted som stel</t>
  </si>
  <si>
    <t>Buy</t>
  </si>
  <si>
    <t>Fordi de er så små at man kan købe alle små komponenter fra samme leverandør</t>
  </si>
  <si>
    <t>Fordi vi ikke havde råd til at købe en maskine der kan lave dem</t>
  </si>
  <si>
    <t xml:space="preserve">Buy </t>
  </si>
  <si>
    <t>Fordi de er så billige</t>
  </si>
  <si>
    <t>Billede</t>
  </si>
  <si>
    <t>Maskinliste</t>
  </si>
  <si>
    <t>Titel</t>
  </si>
  <si>
    <t>Kontrolleret</t>
  </si>
  <si>
    <t>initialer</t>
  </si>
  <si>
    <t>Oprettet den</t>
  </si>
  <si>
    <t>dato</t>
  </si>
  <si>
    <t>Revisionsnr.</t>
  </si>
  <si>
    <t>nummer</t>
  </si>
  <si>
    <t>Forfatter</t>
  </si>
  <si>
    <t>Ansvarlig</t>
  </si>
  <si>
    <t>Ændret den</t>
  </si>
  <si>
    <t xml:space="preserve">Maskine ID </t>
  </si>
  <si>
    <t>Maskinnavn</t>
  </si>
  <si>
    <t>Producent</t>
  </si>
  <si>
    <t>Model #</t>
  </si>
  <si>
    <t>Serienummer</t>
  </si>
  <si>
    <t>Funkion</t>
  </si>
  <si>
    <t>Proces #</t>
  </si>
  <si>
    <t>Specfikationer</t>
  </si>
  <si>
    <t>Dimensioner</t>
  </si>
  <si>
    <t>Vedligeholdelsesplan</t>
  </si>
  <si>
    <t>Energiforbrug</t>
  </si>
  <si>
    <t>Produktionsstørrelse</t>
  </si>
  <si>
    <t>Købsdato</t>
  </si>
  <si>
    <t>Indkøbspris DKK</t>
  </si>
  <si>
    <t>Levetid</t>
  </si>
  <si>
    <t>Afskrivningsværdi</t>
  </si>
  <si>
    <t>Dokumentation</t>
  </si>
  <si>
    <t xml:space="preserve">Maskinnummer: </t>
  </si>
  <si>
    <t>Måneder</t>
  </si>
  <si>
    <t>kWh</t>
  </si>
  <si>
    <t>Pr. Time</t>
  </si>
  <si>
    <t>år</t>
  </si>
  <si>
    <t>CNC Drejebænk</t>
  </si>
  <si>
    <t>Maier</t>
  </si>
  <si>
    <t>MLK 32 D Proline</t>
  </si>
  <si>
    <t>MLK32D-F-2025-EDU-009</t>
  </si>
  <si>
    <t>Lave indsats til sæde</t>
  </si>
  <si>
    <t>Ø32mm 6000 rpm</t>
  </si>
  <si>
    <t>160x230x200cm</t>
  </si>
  <si>
    <t>https://www.exapro.com/maier-mlk-32-d-proline-p230314034/?utm_source=chatgpt.com</t>
  </si>
  <si>
    <t>Herber</t>
  </si>
  <si>
    <t>127 CNC</t>
  </si>
  <si>
    <t>HERBER127-SHOP-019</t>
  </si>
  <si>
    <t>Bukkemaskine til rør</t>
  </si>
  <si>
    <t>Ø127mm max bukkevinkel 182 grader</t>
  </si>
  <si>
    <t>700x 220x180</t>
  </si>
  <si>
    <t xml:space="preserve">https://www.machineseeker.dk/herber-127+cnc/i-17699608 </t>
  </si>
  <si>
    <t>CoWelder</t>
  </si>
  <si>
    <t>Cowelder</t>
  </si>
  <si>
    <t>PI TIG 350 AC/DC</t>
  </si>
  <si>
    <t>PITIG350-FIK-20251125-003</t>
  </si>
  <si>
    <t>Svejse stel sammen</t>
  </si>
  <si>
    <t>rækkevidde 850mm max 8kg</t>
  </si>
  <si>
    <t>980x545x1090mm</t>
  </si>
  <si>
    <t>https://www.migatronic.com/da/produkter-og-loesninger/svejsemaskiner/cowelder/</t>
  </si>
  <si>
    <t>Skære/bore</t>
  </si>
  <si>
    <t>bodor</t>
  </si>
  <si>
    <t>T-Trans</t>
  </si>
  <si>
    <t>BDTRANS-SN-2025-011</t>
  </si>
  <si>
    <t>laser skære + bore til stel</t>
  </si>
  <si>
    <t>max 100mm</t>
  </si>
  <si>
    <t>12900x2370x2650mm</t>
  </si>
  <si>
    <t>https://bodor.com/en/fiber-laser-cutting-machine/tube-laser-cutting-machines/t.html</t>
  </si>
  <si>
    <t>CNC Skærer</t>
  </si>
  <si>
    <t>biesse</t>
  </si>
  <si>
    <t>Rover K Smart 1532</t>
  </si>
  <si>
    <t>CNC skære til sæde</t>
  </si>
  <si>
    <t>Max arbejdsplads 3200x1560x165mm 24000 rpm</t>
  </si>
  <si>
    <t>6750x4520x2400mm</t>
  </si>
  <si>
    <t xml:space="preserve">https://www.hoechsmann.com/en/article/84547/biesse_rover_k_smart_1532  </t>
  </si>
  <si>
    <t>Open glue spreader</t>
  </si>
  <si>
    <t>OMMA</t>
  </si>
  <si>
    <t>OPEN</t>
  </si>
  <si>
    <t>OMMA-OPN-25A-0002</t>
  </si>
  <si>
    <t>Påføring af lim på plader</t>
  </si>
  <si>
    <t>Brede 1400-3100mm tykelse 80mm</t>
  </si>
  <si>
    <t>3400x1700x1300mm</t>
  </si>
  <si>
    <t xml:space="preserve">https://www.omma.com/en/products/p/open-glue-spreader  </t>
  </si>
  <si>
    <t>Biesse</t>
  </si>
  <si>
    <t>Rover K Smart 1632 (5 akset CNC router)</t>
  </si>
  <si>
    <t>ROV-K1632-INST-0012</t>
  </si>
  <si>
    <t>Fræsning og boring</t>
  </si>
  <si>
    <t>3280x1620mm</t>
  </si>
  <si>
    <t>10700x6400x2700 mm</t>
  </si>
  <si>
    <t xml:space="preserve">https://www.hoechsmann.com/en/article/79653/biesse_rover_a_smart_1632 </t>
  </si>
  <si>
    <t>powder coating line</t>
  </si>
  <si>
    <t>Spray Paint System Powder Coating</t>
  </si>
  <si>
    <t>Yantai Lingyu Machinery Co., Ltd</t>
  </si>
  <si>
    <t>High Quality Spray Paint System Powder Coating Production Line</t>
  </si>
  <si>
    <t>LYM-SPRAYLINE-2025-CN-0042</t>
  </si>
  <si>
    <t>Male sædet</t>
  </si>
  <si>
    <t>600x600x500mm</t>
  </si>
  <si>
    <t>72m2</t>
  </si>
  <si>
    <t>https://lingyumachinery.en.made-in-china.com/product/hwaAVTmcYtkZ/China-High-Quality-Spray-Paint-System-Powder-Coating-Production-Line-for-Manufacture-Wooden-Furniture-and-Chair.html?pv_id=1jatismome92&amp;faw_id=1jatjhlvc3e3&amp;bv_id=1jatjhlve51d&amp;pbv_id=1jatislbc1f5</t>
  </si>
  <si>
    <t>OD120</t>
  </si>
  <si>
    <t>Tube End Deburring Machine</t>
  </si>
  <si>
    <t>NS Máquinas Industriais, Lda.</t>
  </si>
  <si>
    <t>NSM-OD120-2025-PT-0008</t>
  </si>
  <si>
    <t>Afgrate rør</t>
  </si>
  <si>
    <t>Ø 10-120mm</t>
  </si>
  <si>
    <t>1140x670x1400mm</t>
  </si>
  <si>
    <t xml:space="preserve">https://nsmaquinas.com/product/od120-od160-tube-end-deburring-machines </t>
  </si>
  <si>
    <t>QuickWood QT4 – 4-Sided Curved Part Sanding Machine</t>
  </si>
  <si>
    <t>QuickWood Systems A/S</t>
  </si>
  <si>
    <t>QT4</t>
  </si>
  <si>
    <t>QT4-2023-0147</t>
  </si>
  <si>
    <t>Pudse sædet</t>
  </si>
  <si>
    <t>500*600*400mm</t>
  </si>
  <si>
    <t>1400x1200x1500mm</t>
  </si>
  <si>
    <t xml:space="preserve">https://quickwood.com/collections/curved-parts-sanding/products/qt4-4-sided-curved-part-sanding </t>
  </si>
  <si>
    <t>Press Machine for Chair Seats</t>
  </si>
  <si>
    <t>SAGA Machinery Co</t>
  </si>
  <si>
    <t>YX80‑SA</t>
  </si>
  <si>
    <t>SAGA-HF-2025-0058</t>
  </si>
  <si>
    <t>Støbe sædet</t>
  </si>
  <si>
    <t>1600x800mm</t>
  </si>
  <si>
    <t>2300x800x2200mm</t>
  </si>
  <si>
    <t>https://sagahf.en.made-in-china.com/product/GFKaARpJBUYn/China-Press-Machine-for-Chair-Seats-and-Backs-Plywood-Curved-Gluing-Press.html</t>
  </si>
  <si>
    <t>Lay up table</t>
  </si>
  <si>
    <t>Evans Midwest</t>
  </si>
  <si>
    <t>Evans Midwest 4283 Lay-Up-bord</t>
  </si>
  <si>
    <t>4283 Model HPL</t>
  </si>
  <si>
    <t>Tørre sæderne efter lim</t>
  </si>
  <si>
    <t>2000x4000x1000</t>
  </si>
  <si>
    <t xml:space="preserve">https://360degreemachinery.com/shop/categories-machine-type/laminate-slitters/evans-midwest-4283-lay-up-table/ </t>
  </si>
  <si>
    <t>I alt:</t>
  </si>
  <si>
    <t>Fremstillingsvalg</t>
  </si>
  <si>
    <t>Da materialerne allerede var givet, har vi fokuseret på selve produktionen. Stellet bliver lavet af stålrør, som bukkes og svejses for at opnå den rigtige form og styrke. Sædet er lavet af krydsfiner, som formes, så det får den korrekte kurve. Indsatsen fremstilles på en CNC-drejebænk for at sikre præcision og ensartethed i serieproduktionen.</t>
  </si>
  <si>
    <t>plan layout</t>
  </si>
  <si>
    <t>Lager/opbevering af færige stole</t>
  </si>
  <si>
    <t>Prduktions linje for sæde</t>
  </si>
  <si>
    <t>Prduktions linje for stel</t>
  </si>
  <si>
    <t>Personale rum</t>
  </si>
  <si>
    <t>samle område for stol</t>
  </si>
  <si>
    <t>pakke område</t>
  </si>
  <si>
    <t>pile fra Lager igenem sæde produktion til smaling</t>
  </si>
  <si>
    <t>https://www.edc.dk/erhverv/erhvervslejemaal/lager-produktion/6705-esbjerg-oe/spangsbjerg-moellevej-100/670114509/</t>
  </si>
  <si>
    <t>pile fra Lager igenem stel produktion til smaling</t>
  </si>
  <si>
    <t>indelvering af være/rå matriale</t>
  </si>
  <si>
    <t>stol fra same område til opbevaring også til pakke område og efter til udlevering</t>
  </si>
  <si>
    <t>Operationskort</t>
  </si>
  <si>
    <t>PROCESANALYSE - Stel</t>
  </si>
  <si>
    <t xml:space="preserve">Tegningsnummer: </t>
  </si>
  <si>
    <t>Komponentnavn:</t>
  </si>
  <si>
    <t>Indgående materiale:</t>
  </si>
  <si>
    <t>0001-000</t>
  </si>
  <si>
    <t>SAG</t>
  </si>
  <si>
    <t>Elementrækkehus 1234567</t>
  </si>
  <si>
    <t xml:space="preserve">Ø 16 mm stangmateriale, varenummr 10-100 </t>
  </si>
  <si>
    <t>Emne</t>
  </si>
  <si>
    <t>Produktion af vare nr. 10-100</t>
  </si>
  <si>
    <t>Område</t>
  </si>
  <si>
    <t xml:space="preserve">Dette operationsmønsterskema er på et område, som udgør xxx m²  </t>
  </si>
  <si>
    <t>SAMLEVEJLEDNING</t>
  </si>
  <si>
    <t xml:space="preserve">Proces-nummer: </t>
  </si>
  <si>
    <t xml:space="preserve">Maskinnavn: </t>
  </si>
  <si>
    <t>Proces:</t>
  </si>
  <si>
    <t xml:space="preserve">Estimeret  </t>
  </si>
  <si>
    <t>Dato</t>
  </si>
  <si>
    <t>Styk/time</t>
  </si>
  <si>
    <t>Navn</t>
  </si>
  <si>
    <t>1+2</t>
  </si>
  <si>
    <t>CNC sav + bor</t>
  </si>
  <si>
    <t>Afsave og bore</t>
  </si>
  <si>
    <t>Afgrate</t>
  </si>
  <si>
    <t>Bukke</t>
  </si>
  <si>
    <t>AKTIVITETER</t>
  </si>
  <si>
    <t>Operation</t>
  </si>
  <si>
    <t>Håndtering</t>
  </si>
  <si>
    <t>Transport</t>
  </si>
  <si>
    <t>Kontrol</t>
  </si>
  <si>
    <t>Ophold</t>
  </si>
  <si>
    <t>Arbejdstid</t>
  </si>
  <si>
    <t>Maskintid</t>
  </si>
  <si>
    <t>Afstand</t>
  </si>
  <si>
    <t>Mængde</t>
  </si>
  <si>
    <t>Bemærkning</t>
  </si>
  <si>
    <t>Svejse</t>
  </si>
  <si>
    <t>Akt. Nr.</t>
  </si>
  <si>
    <t xml:space="preserve">       min.</t>
  </si>
  <si>
    <t>m.</t>
  </si>
  <si>
    <t>Modtagelse af rør</t>
  </si>
  <si>
    <t>Ø16*6000 mm</t>
  </si>
  <si>
    <t xml:space="preserve">Gange 30 </t>
  </si>
  <si>
    <t xml:space="preserve">Modtagekontrol, kontrol om korrekt levering samt fejl på de indgående materialer. </t>
  </si>
  <si>
    <t>0002-000</t>
  </si>
  <si>
    <t>Rørene bliver transporteret til CNC sav + bor</t>
  </si>
  <si>
    <t>xx mm træfinér, varenummer 10-200</t>
  </si>
  <si>
    <t>Rørene bliver afsavet, boret og målt</t>
  </si>
  <si>
    <t>Rørene bliver transporteret til tube end deburring machine</t>
  </si>
  <si>
    <t>Rørene bliver afgratet</t>
  </si>
  <si>
    <t>Rørene bliver transporteret til rør bukker</t>
  </si>
  <si>
    <t>CNC- Skærer</t>
  </si>
  <si>
    <t>Skære</t>
  </si>
  <si>
    <t>Rørene bliver bukket</t>
  </si>
  <si>
    <t>Lime</t>
  </si>
  <si>
    <t>Rørene bliver transporteret til coWelder</t>
  </si>
  <si>
    <t>Tørrebord</t>
  </si>
  <si>
    <t xml:space="preserve">Tørre sæderne </t>
  </si>
  <si>
    <t>Rørene bliver svejset</t>
  </si>
  <si>
    <t>Presse</t>
  </si>
  <si>
    <t>Kontrol af færdige produkt</t>
  </si>
  <si>
    <t>10+11</t>
  </si>
  <si>
    <t>Fræse og bore</t>
  </si>
  <si>
    <t>Pudse</t>
  </si>
  <si>
    <t>Sum maskintid (min.)</t>
  </si>
  <si>
    <t>13+14</t>
  </si>
  <si>
    <t>Male</t>
  </si>
  <si>
    <t>Sum arbejdstid (min.)</t>
  </si>
  <si>
    <t>Sum Produktion tid (min.)</t>
  </si>
  <si>
    <t>PROCESANALYSE - Sæde</t>
  </si>
  <si>
    <t>0003-000</t>
  </si>
  <si>
    <t>Ø ?? stangmateriale, varenummer 1001</t>
  </si>
  <si>
    <t>Produktion af vare nr. 10-200</t>
  </si>
  <si>
    <t>15+16</t>
  </si>
  <si>
    <t>CNC-drejebænk</t>
  </si>
  <si>
    <t>Dreje + skære</t>
  </si>
  <si>
    <t>Modtagelse af finér</t>
  </si>
  <si>
    <t>Gange 30</t>
  </si>
  <si>
    <t>Modtagelse af lim og maling</t>
  </si>
  <si>
    <t>167 ml lim og 170,7 ml maling</t>
  </si>
  <si>
    <t>Finéren bliver transporteret til CNC-skærer</t>
  </si>
  <si>
    <t>Finéren bliver skåret</t>
  </si>
  <si>
    <t>Finéren bliver transporteret til open glue spreader</t>
  </si>
  <si>
    <t>Finéren bliver limet sammen</t>
  </si>
  <si>
    <t>Finéren bliver transporteret til tørrebord</t>
  </si>
  <si>
    <t>Finéren tørrer</t>
  </si>
  <si>
    <t>Finéren bliver transporteret til presser</t>
  </si>
  <si>
    <t>Finéren bliver presset sammen til sæde</t>
  </si>
  <si>
    <t>Sædet bliver transporteret til Rover A Smart 1632</t>
  </si>
  <si>
    <t>Sædet bliver skåret til og der bliver boret huller</t>
  </si>
  <si>
    <t>Kontrol af sæde</t>
  </si>
  <si>
    <t>Sædet bliver transporteret til Quickwood QT4</t>
  </si>
  <si>
    <t>Sædet bliver pudset</t>
  </si>
  <si>
    <t>Sædet bliver transporteret til Spray paint system</t>
  </si>
  <si>
    <t>Sædet bliver malet og tørret</t>
  </si>
  <si>
    <t xml:space="preserve">Sum Produktion tid (min): </t>
  </si>
  <si>
    <t>PROCESANALYSE - Indsats i sæde</t>
  </si>
  <si>
    <t>Produktion af vare nr. 1001</t>
  </si>
  <si>
    <t>Rørene bliver transporteret til CNC drejebænk</t>
  </si>
  <si>
    <t>Rørene bliver drejet og skåret</t>
  </si>
  <si>
    <t>vedligehold</t>
  </si>
  <si>
    <t>Maskine</t>
  </si>
  <si>
    <t>udføres af</t>
  </si>
  <si>
    <t>del</t>
  </si>
  <si>
    <t>komplikationer</t>
  </si>
  <si>
    <t>vedligeholdelse</t>
  </si>
  <si>
    <t>Skiftes</t>
  </si>
  <si>
    <t>rengøring</t>
  </si>
  <si>
    <t>rengøring min</t>
  </si>
  <si>
    <t>Estimeret årlig vedligeholdelsespris</t>
  </si>
  <si>
    <t>CNC Drejebænk – MLK 32 D Proline</t>
  </si>
  <si>
    <t>Operatør</t>
  </si>
  <si>
    <t>Spindel, føringer, kølevæske system</t>
  </si>
  <si>
    <t>Risiko for unøjagtighed ved dårlig smøring</t>
  </si>
  <si>
    <t>Smøring hver måned, kalibrering hver 6. måned</t>
  </si>
  <si>
    <t>Kølevæske hver 3. måned</t>
  </si>
  <si>
    <t>Fjern spåner, tør overflader</t>
  </si>
  <si>
    <t>15 min/dag</t>
  </si>
  <si>
    <t>Herber 127 CNC Rørbukker</t>
  </si>
  <si>
    <t>Bukkearm, hydraulik, sensorer</t>
  </si>
  <si>
    <t>Hydrauliklækage kan stoppe produktion</t>
  </si>
  <si>
    <t>Hydraulikcheck hver 3. måned</t>
  </si>
  <si>
    <t>Hydraulikolie hver 12. måned</t>
  </si>
  <si>
    <t>Let aftørring + olieafdrypning</t>
  </si>
  <si>
    <t>10 min/dag</t>
  </si>
  <si>
    <t>CoWelder – PITIG350</t>
  </si>
  <si>
    <t>Brænder, dyser, køling</t>
  </si>
  <si>
    <t>Tilstoppet gasdyse = dårlige svejsninger</t>
  </si>
  <si>
    <t>Dyserensning hver uge</t>
  </si>
  <si>
    <t>Dyser hver 3. måned</t>
  </si>
  <si>
    <t>Fjerne svejsestøv</t>
  </si>
  <si>
    <t>5 min/dag</t>
  </si>
  <si>
    <t>Bodor T-Trans laserskærer/boremaskine</t>
  </si>
  <si>
    <t>Laserhoved, linser, føringer</t>
  </si>
  <si>
    <t>Linseskade stopper produktion</t>
  </si>
  <si>
    <t>Justering og filterskift hver. 3. måned</t>
  </si>
  <si>
    <t>Linser hver 12. måned</t>
  </si>
  <si>
    <t>Støv og metalpartikler fjernes</t>
  </si>
  <si>
    <t>Biesse Rover K Smart 1532 – CNC Skærer</t>
  </si>
  <si>
    <t>Spindel, vakuumbord</t>
  </si>
  <si>
    <t>Vakuumtab kan ødelægge emner</t>
  </si>
  <si>
    <t>Spindelsmøring hver måned</t>
  </si>
  <si>
    <t>Filter hver 6. måned</t>
  </si>
  <si>
    <t>Sug spåner og tør maskine</t>
  </si>
  <si>
    <t>20 min/dag</t>
  </si>
  <si>
    <t>OMMA Open Glue Spreader</t>
  </si>
  <si>
    <t>Limrulle, varmelegeme</t>
  </si>
  <si>
    <t>Tørret lim = maskinstop</t>
  </si>
  <si>
    <t>Ruller renses hver 7. dag</t>
  </si>
  <si>
    <t>Rulle hver 12. måned</t>
  </si>
  <si>
    <t>Afvaskning efter skift</t>
  </si>
  <si>
    <t>15 min/skift</t>
  </si>
  <si>
    <t>Spray Paint Powder Coating Line</t>
  </si>
  <si>
    <t>Sprøjtehoveder, filter</t>
  </si>
  <si>
    <t>ujævn maling</t>
  </si>
  <si>
    <t>Filterskift hver måned</t>
  </si>
  <si>
    <t>Dysser hver 6. Måned</t>
  </si>
  <si>
    <t>Fjern overskydene pulver</t>
  </si>
  <si>
    <t>OD120 Tube End Deburring Machine</t>
  </si>
  <si>
    <t>Fræsehoved, skæresystem</t>
  </si>
  <si>
    <t>Slid på fræsebit skaber ujævne rør</t>
  </si>
  <si>
    <t>Smøring hver måned</t>
  </si>
  <si>
    <t>Fræsebit hver 2. måned</t>
  </si>
  <si>
    <t>Fjern spåner</t>
  </si>
  <si>
    <t>QuickWood QT4 – Sæde slibemaskine</t>
  </si>
  <si>
    <t>Slibehoveder, motor</t>
  </si>
  <si>
    <t>Slibehoveder slides hurtigt</t>
  </si>
  <si>
    <t>Kontrol af slibehoved hver 3. Måned</t>
  </si>
  <si>
    <t>Hver måned</t>
  </si>
  <si>
    <t>støv fjernes</t>
  </si>
  <si>
    <t>SAGA HF-2025-0058 – Press Machine for Chair Seats</t>
  </si>
  <si>
    <t>Forme, hydraulik</t>
  </si>
  <si>
    <t>Skæv form fører til defekte sæder</t>
  </si>
  <si>
    <t>Formcheck hver måned</t>
  </si>
  <si>
    <t>Hydralikolie hver 12. måned</t>
  </si>
  <si>
    <t>Fjern limrester</t>
  </si>
  <si>
    <t>Evans Midwest Lay-Up Table</t>
  </si>
  <si>
    <t>Ruller, transportmekanisme</t>
  </si>
  <si>
    <t>Dårlig glideevne stopper flow</t>
  </si>
  <si>
    <t>Smøring hver 3. Måned</t>
  </si>
  <si>
    <t>Ruller efter behov</t>
  </si>
  <si>
    <t>Aftørring</t>
  </si>
  <si>
    <t>Rover A Smart 1632 – CNC Router</t>
  </si>
  <si>
    <t>Spindel, kuglespindler, vakuumbord</t>
  </si>
  <si>
    <t>Ujævn bevægelse</t>
  </si>
  <si>
    <t>Smøring af spindel og kuglespindler hver 2. måned</t>
  </si>
  <si>
    <t>Vakuumfilter hver 6. måned</t>
  </si>
  <si>
    <t>Fjern spåner, sug vakuumzoner</t>
  </si>
  <si>
    <t>Værktøj</t>
  </si>
  <si>
    <t>Pris</t>
  </si>
  <si>
    <t>Styk</t>
  </si>
  <si>
    <t>Topnøglesæt</t>
  </si>
  <si>
    <t>Unbrakonøgler</t>
  </si>
  <si>
    <t>Skruetrækker</t>
  </si>
  <si>
    <t>Hammer</t>
  </si>
  <si>
    <t>Gummi hammer</t>
  </si>
  <si>
    <t>Målebånd</t>
  </si>
  <si>
    <t>Vinkelmåler</t>
  </si>
  <si>
    <t>Fil sæt</t>
  </si>
  <si>
    <t>Sandpapir</t>
  </si>
  <si>
    <t>Blyant x50</t>
  </si>
  <si>
    <t>OEE (For flaskehalsen)</t>
  </si>
  <si>
    <t>Tilgænglighed=</t>
  </si>
  <si>
    <t>Tid til rådighed</t>
  </si>
  <si>
    <t>Performance=</t>
  </si>
  <si>
    <t>Kvalitet</t>
  </si>
  <si>
    <t>Produktionstid</t>
  </si>
  <si>
    <t>Omstilling</t>
  </si>
  <si>
    <t>OEE</t>
  </si>
  <si>
    <t>%</t>
  </si>
  <si>
    <t>Pause</t>
  </si>
  <si>
    <t>Nedbrud</t>
  </si>
  <si>
    <t>2 timer</t>
  </si>
  <si>
    <t>Mulige antal emner</t>
  </si>
  <si>
    <t>Reelt produceret</t>
  </si>
  <si>
    <t xml:space="preserve">  Ventetid           Ting driller     Nedsat hastighed</t>
  </si>
  <si>
    <t>Antal godkendte emner</t>
  </si>
  <si>
    <t>Kasseret pga. fejl</t>
  </si>
  <si>
    <t>Produktion af 10-Højstol</t>
  </si>
  <si>
    <t>Daghold:</t>
  </si>
  <si>
    <t>Aftenhold:</t>
  </si>
  <si>
    <t>Pause:</t>
  </si>
  <si>
    <t>Kontrol:</t>
  </si>
  <si>
    <t>Vedligehold:</t>
  </si>
  <si>
    <t>Transport:</t>
  </si>
  <si>
    <t>Driftens startdato:</t>
  </si>
  <si>
    <t>Beskrivelse af milepæl</t>
  </si>
  <si>
    <t>Produktion i timen</t>
  </si>
  <si>
    <t>Mulige antal emner pr. Dag (Medregnet tid til vedligehold)</t>
  </si>
  <si>
    <t>Antal lavet 1 dag i forvejen</t>
  </si>
  <si>
    <t>Antal til overs fra opstartsdagen</t>
  </si>
  <si>
    <t>08.45</t>
  </si>
  <si>
    <t xml:space="preserve">Antal lavet på 1 dag efter 1 dags opstart </t>
  </si>
  <si>
    <t>Sæde 10-200</t>
  </si>
  <si>
    <t>30 stk</t>
  </si>
  <si>
    <t>435 stk</t>
  </si>
  <si>
    <t>40 stk</t>
  </si>
  <si>
    <t>580 stk</t>
  </si>
  <si>
    <t>405 stk</t>
  </si>
  <si>
    <t>30 stk klar</t>
  </si>
  <si>
    <t>Tørre</t>
  </si>
  <si>
    <t>475 stk</t>
  </si>
  <si>
    <t>35 stk</t>
  </si>
  <si>
    <t>507,5 stk</t>
  </si>
  <si>
    <t>345 stk</t>
  </si>
  <si>
    <t>60 stk klar</t>
  </si>
  <si>
    <t>Afgrate + bore</t>
  </si>
  <si>
    <t>60 stk</t>
  </si>
  <si>
    <t>870 stk</t>
  </si>
  <si>
    <t>315 stk</t>
  </si>
  <si>
    <t>80 stk</t>
  </si>
  <si>
    <t>1160 stk</t>
  </si>
  <si>
    <t>285 stk</t>
  </si>
  <si>
    <t>Male + tørre</t>
  </si>
  <si>
    <t>508 stk</t>
  </si>
  <si>
    <t>255 stk</t>
  </si>
  <si>
    <t>Transport til montage</t>
  </si>
  <si>
    <t>19 stk klar</t>
  </si>
  <si>
    <t>Stel 10-100</t>
  </si>
  <si>
    <t>Bore + save</t>
  </si>
  <si>
    <t>130 stk</t>
  </si>
  <si>
    <t>1885 stk</t>
  </si>
  <si>
    <t>360 stk</t>
  </si>
  <si>
    <t>5220 stk</t>
  </si>
  <si>
    <t>34 stk</t>
  </si>
  <si>
    <t>493 stk</t>
  </si>
  <si>
    <t>90 stk klar</t>
  </si>
  <si>
    <t>90 stk</t>
  </si>
  <si>
    <t>1305 stk</t>
  </si>
  <si>
    <t>Indsats i sæde 1001</t>
  </si>
  <si>
    <t>144 stk</t>
  </si>
  <si>
    <t>2088 stk</t>
  </si>
  <si>
    <t>1020 stk</t>
  </si>
  <si>
    <t>76 stk klar</t>
  </si>
  <si>
    <t>Antal færdige stole:</t>
  </si>
  <si>
    <t xml:space="preserve">Montage </t>
  </si>
  <si>
    <t>525 stk</t>
  </si>
  <si>
    <t>236 stk</t>
  </si>
  <si>
    <t>Artikel</t>
  </si>
  <si>
    <t>Årlig forbrug i antal stk.</t>
  </si>
  <si>
    <t>Antal gange der bliver indkøbt pr. År</t>
  </si>
  <si>
    <t>Antal købt per gang</t>
  </si>
  <si>
    <t>Antal på lager ved 100%</t>
  </si>
  <si>
    <t>Gennemsnitsfaktor</t>
  </si>
  <si>
    <t>Gennemsnitslager</t>
  </si>
  <si>
    <t>Stykpris</t>
  </si>
  <si>
    <t>Værdi af lagerbeholdningen</t>
  </si>
  <si>
    <t>Lageromkostninger</t>
  </si>
  <si>
    <t>Lageromkostninger pr. år</t>
  </si>
  <si>
    <t>Omokostning pr. Ordrer</t>
  </si>
  <si>
    <t>Antal ordrer pr. År</t>
  </si>
  <si>
    <t>Ordreomkostninger pr. År</t>
  </si>
  <si>
    <t>Total omkostninger pr. År</t>
  </si>
  <si>
    <t>Rør til indsats i sæde</t>
  </si>
  <si>
    <t>I Alt:</t>
  </si>
  <si>
    <t>Indkøb pr. År</t>
  </si>
  <si>
    <t>1x</t>
  </si>
  <si>
    <t>2x</t>
  </si>
  <si>
    <t>3x</t>
  </si>
  <si>
    <t>4x</t>
  </si>
  <si>
    <t>5x</t>
  </si>
  <si>
    <t>Optimal ordrestørrelse ved brug af Wilson's formel</t>
  </si>
  <si>
    <t>Indkøb pr- gang</t>
  </si>
  <si>
    <t xml:space="preserve">Gennemsnintslager - stk. </t>
  </si>
  <si>
    <t xml:space="preserve">Optimal ordrestørrelse </t>
  </si>
  <si>
    <t>(2*416.000*6.700)</t>
  </si>
  <si>
    <t>Gennemsnitslager - pris</t>
  </si>
  <si>
    <t>1,20*0,20</t>
  </si>
  <si>
    <t>Kr. Pr. År</t>
  </si>
  <si>
    <t xml:space="preserve">Ordreomkostninger </t>
  </si>
  <si>
    <t>416.000*6700</t>
  </si>
  <si>
    <t>Ordreomkostninger</t>
  </si>
  <si>
    <t>Kr. Pr. År.</t>
  </si>
  <si>
    <t xml:space="preserve">Lageromkostninger </t>
  </si>
  <si>
    <t>152.403*1,20*0,20</t>
  </si>
  <si>
    <t xml:space="preserve">Omkostninger i alt - kr. </t>
  </si>
  <si>
    <t>I alt pr. År:</t>
  </si>
  <si>
    <t xml:space="preserve">Totale omkostninger </t>
  </si>
  <si>
    <t>18288+18288</t>
  </si>
  <si>
    <t>(2*832.000*9500)</t>
  </si>
  <si>
    <t>1,5*0,20</t>
  </si>
  <si>
    <t>832.000*9500</t>
  </si>
  <si>
    <t>299.550*1,5*0,20</t>
  </si>
  <si>
    <t>26.386,2+44.925</t>
  </si>
  <si>
    <t>0,5*0,20</t>
  </si>
  <si>
    <t>416.000*6.700</t>
  </si>
  <si>
    <t>236.102*0,5*0,20</t>
  </si>
  <si>
    <t>11.805+11.805</t>
  </si>
  <si>
    <t>6x</t>
  </si>
  <si>
    <t>(2*416.000*6700)</t>
  </si>
  <si>
    <t>4,5*0,20</t>
  </si>
  <si>
    <t>78.701*4,5*0,20</t>
  </si>
  <si>
    <t>35.505+35.415,45</t>
  </si>
  <si>
    <t>7x</t>
  </si>
  <si>
    <t>8x</t>
  </si>
  <si>
    <t>(2*104.000*14.800)</t>
  </si>
  <si>
    <t>203,25*0,20</t>
  </si>
  <si>
    <t>104.000*14.800</t>
  </si>
  <si>
    <t>8.702*203,25*0,20</t>
  </si>
  <si>
    <t>176.879+176.868</t>
  </si>
  <si>
    <t>(2*11.556*14.800)</t>
  </si>
  <si>
    <t>371,25*0,20</t>
  </si>
  <si>
    <t>11.556*14.800</t>
  </si>
  <si>
    <t>2.146*371,25*0,20</t>
  </si>
  <si>
    <t>79.697+79.670</t>
  </si>
  <si>
    <t>(2*1.158*6.700)</t>
  </si>
  <si>
    <t>2.050*0,20</t>
  </si>
  <si>
    <t>1.158*6700</t>
  </si>
  <si>
    <t>195*2.050*0,20</t>
  </si>
  <si>
    <t>39.975+39.788</t>
  </si>
  <si>
    <t>(2*5.897*6.700)</t>
  </si>
  <si>
    <t>494,25*0,20</t>
  </si>
  <si>
    <t>5.897*6.700</t>
  </si>
  <si>
    <t>894*494,25*0,20</t>
  </si>
  <si>
    <t>44.195+44.186</t>
  </si>
  <si>
    <t>(2*112*6.700)</t>
  </si>
  <si>
    <t>431,25*0,20</t>
  </si>
  <si>
    <t>112*6.700</t>
  </si>
  <si>
    <t>132*431,25*0,20</t>
  </si>
  <si>
    <t>I alt pr. År</t>
  </si>
  <si>
    <t>5.685+5.693</t>
  </si>
  <si>
    <t>ABC-analyse</t>
  </si>
  <si>
    <t>Samlede værdi til etablering (materialer):</t>
  </si>
  <si>
    <t>Forbrug (stk)</t>
  </si>
  <si>
    <t>Indkøbspris (kr)</t>
  </si>
  <si>
    <t>Vareforbrug</t>
  </si>
  <si>
    <t>Akkummuleret forbrug (kr)</t>
  </si>
  <si>
    <t>Akkummuleret forbrug (%)</t>
  </si>
  <si>
    <t>Opdeling i ABC-varer</t>
  </si>
  <si>
    <t>A</t>
  </si>
  <si>
    <t>Samlede værdi til etablering(komponenter):</t>
  </si>
  <si>
    <t>Samlede værdi til driftsbudget (materialer):</t>
  </si>
  <si>
    <t>Samlede værdi til driftsbudget (Komponenter):</t>
  </si>
  <si>
    <t>C</t>
  </si>
  <si>
    <t>Component ID</t>
  </si>
  <si>
    <t>Type</t>
  </si>
  <si>
    <t>Total Qty</t>
  </si>
  <si>
    <t>Unit</t>
  </si>
  <si>
    <t>Matrialer</t>
  </si>
  <si>
    <t>10- Højstol</t>
  </si>
  <si>
    <t>Stol assembly</t>
  </si>
  <si>
    <t>BOM</t>
  </si>
  <si>
    <t>N/A</t>
  </si>
  <si>
    <t>Item</t>
  </si>
  <si>
    <t>EA</t>
  </si>
  <si>
    <t>ml</t>
  </si>
  <si>
    <t>Sort maling RAL9005</t>
  </si>
  <si>
    <t>AISI 316 Stainless Steel Bar(SS)</t>
  </si>
  <si>
    <t>10-101</t>
  </si>
  <si>
    <t>Forben</t>
  </si>
  <si>
    <t>AISI 1045 Steel, cold drawn</t>
  </si>
  <si>
    <t>10-102</t>
  </si>
  <si>
    <t>Tværrør ben</t>
  </si>
  <si>
    <t>10-103</t>
  </si>
  <si>
    <t>Bagben</t>
  </si>
  <si>
    <t>10-104</t>
  </si>
  <si>
    <t>Tværrør mellem</t>
  </si>
  <si>
    <t>10-105</t>
  </si>
  <si>
    <t>Tværrør oven</t>
  </si>
  <si>
    <t>10-300</t>
  </si>
  <si>
    <t>Indsats til fod</t>
  </si>
  <si>
    <t>AISI 316 Annealed Stainless Steel Bar (SS)</t>
  </si>
  <si>
    <t xml:space="preserve">Projekt fabrik </t>
  </si>
  <si>
    <t>grøn=rigtige tal</t>
  </si>
  <si>
    <t>Gul=estimat</t>
  </si>
  <si>
    <t xml:space="preserve">Omkostninger </t>
  </si>
  <si>
    <t>DKK</t>
  </si>
  <si>
    <t>Kilder</t>
  </si>
  <si>
    <t>Lokaler og infrastruktur</t>
  </si>
  <si>
    <t>Husleje (1 måned)</t>
  </si>
  <si>
    <t xml:space="preserve">https://www.edc.dk/erhverv/erhvervslejemaal/lager-produktion/6705-esbjerg-oe/spangsbjerg-moellevej-100/670114509/ </t>
  </si>
  <si>
    <t>Depositum</t>
  </si>
  <si>
    <t>Istandsættelse</t>
  </si>
  <si>
    <t>Tilladelser</t>
  </si>
  <si>
    <t>Opsætninger af forsyninger</t>
  </si>
  <si>
    <t>Varevogn</t>
  </si>
  <si>
    <t>https://www.bilbasen.dk/brugt/varebil-ekskl-moms/ford/transit-connect/15-ecoblue-trend-aut-lang/6615504</t>
  </si>
  <si>
    <t>Produktionsudstyr</t>
  </si>
  <si>
    <t>Maskiner</t>
  </si>
  <si>
    <t>Installlation af maskiner</t>
  </si>
  <si>
    <t>Har bare lavet et skøn ud fra maskine prisen</t>
  </si>
  <si>
    <t>Gaffel trucks</t>
  </si>
  <si>
    <t xml:space="preserve">https://www.dba.dk/recommerce/forsale/item/10511603 </t>
  </si>
  <si>
    <t>https://www.dba.dk/recommerce/forsale/item/12816048</t>
  </si>
  <si>
    <t>Løn</t>
  </si>
  <si>
    <t>Løn pr. måned</t>
  </si>
  <si>
    <t>Sikkerhedsudstyr og tøj</t>
  </si>
  <si>
    <t>Sikkerhedssko</t>
  </si>
  <si>
    <t>https://billig-arbejdstoj.dk/Sanita-S-Feel-Prenit-sikkerhedssko-S1P-Black%2Fwhite/135267.html</t>
  </si>
  <si>
    <t>Arbejdstøj</t>
  </si>
  <si>
    <t>Links i ark "budget lister"</t>
  </si>
  <si>
    <t>Arbejdshandsker</t>
  </si>
  <si>
    <t>https://billig-arbejdstoj.dk/OX-ON-Cut-D-Advanced-9903-skaerehandsker-Graa%2FSort/162176.html</t>
  </si>
  <si>
    <t>Høreværn</t>
  </si>
  <si>
    <t>https://www.silvan.dk/produkt/vecta-hoerevaern-m-justerbar-boejle-sort-2880-2073920</t>
  </si>
  <si>
    <t>Kontorinventar</t>
  </si>
  <si>
    <t>IT hardware</t>
  </si>
  <si>
    <t>Software</t>
  </si>
  <si>
    <t>Møbler</t>
  </si>
  <si>
    <t>Vareindkøb</t>
  </si>
  <si>
    <t xml:space="preserve">halvfabrikata og materialer </t>
  </si>
  <si>
    <t>Rådgivere og forsikringer</t>
  </si>
  <si>
    <t>Advokoat</t>
  </si>
  <si>
    <t xml:space="preserve">https://www.hulgaardadvokater.dk/vores-specialer/selskaber-og-fonde/start-af-virksomhed/ </t>
  </si>
  <si>
    <t>Revisor</t>
  </si>
  <si>
    <t xml:space="preserve">https://finara.dk/revisor/revisor-priser-i-2025-hvad-er-rimeligt/ </t>
  </si>
  <si>
    <t>Forsikringer</t>
  </si>
  <si>
    <t>Estemater baseret på industristandarder</t>
  </si>
  <si>
    <t>Div</t>
  </si>
  <si>
    <t>Reception ved åbning</t>
  </si>
  <si>
    <t>Maskine opsætting pris</t>
  </si>
  <si>
    <t>Test af maskiner (teknikker)</t>
  </si>
  <si>
    <t>Råvarer og materiale</t>
  </si>
  <si>
    <t>Nummer</t>
  </si>
  <si>
    <t>Pris/år</t>
  </si>
  <si>
    <t>Estimeret pris pr måned</t>
  </si>
  <si>
    <t>Pris pr uge</t>
  </si>
  <si>
    <t>bukser</t>
  </si>
  <si>
    <t>https://billig-arbejdstoj.dk/Engel-Enterprise-arbejdsbukser-Graa%2FSort/2620.html</t>
  </si>
  <si>
    <t>Stålrør til stel</t>
  </si>
  <si>
    <t>Spray paint</t>
  </si>
  <si>
    <t>T-shirt</t>
  </si>
  <si>
    <t xml:space="preserve">https://www.spreadshirt.dk/design-selv?productType=812&amp;productTypeCategory=CG01 </t>
  </si>
  <si>
    <t>stål til indsats til sæde</t>
  </si>
  <si>
    <t>Rør afgrater</t>
  </si>
  <si>
    <t>CNC rør bøjer</t>
  </si>
  <si>
    <t>svejser</t>
  </si>
  <si>
    <t>bodor T-Trans</t>
  </si>
  <si>
    <t>CNC skærre Biesse</t>
  </si>
  <si>
    <t>omsætning om året</t>
  </si>
  <si>
    <t>Pris pr. Stol</t>
  </si>
  <si>
    <t>Rover K smart 1632</t>
  </si>
  <si>
    <t>Antal stole produceret pr. Uge</t>
  </si>
  <si>
    <t>sæde sliber</t>
  </si>
  <si>
    <t>Sæde sliber</t>
  </si>
  <si>
    <t xml:space="preserve">Resultat </t>
  </si>
  <si>
    <t>Støbe sæde</t>
  </si>
  <si>
    <t>total</t>
  </si>
  <si>
    <t>Kalkulationsrentefod, i</t>
  </si>
  <si>
    <t>rf (risikofri rente)</t>
  </si>
  <si>
    <t>rp(risikopræmie)</t>
  </si>
  <si>
    <t>Forventet inflation</t>
  </si>
  <si>
    <t>resultat</t>
  </si>
  <si>
    <t>Links</t>
  </si>
  <si>
    <t>Bord</t>
  </si>
  <si>
    <t>https://nimara.dk/products/damian-haeve-og-saenkebord-120x60-cm-i-sort?gad_source</t>
  </si>
  <si>
    <t>Stol</t>
  </si>
  <si>
    <t>https://webdanes.dk/shop/paracon-mesh-gaming-141027p.html</t>
  </si>
  <si>
    <t>IT Software</t>
  </si>
  <si>
    <t>Styresystem</t>
  </si>
  <si>
    <t>https://www.productkeys.dk/produkt/windows-11-home-retail</t>
  </si>
  <si>
    <t>office pakke</t>
  </si>
  <si>
    <t>https://www.productkeys.dk/produkt/microsoft-office-2024-standard-pc</t>
  </si>
  <si>
    <t>Total:</t>
  </si>
  <si>
    <t>IT Hardware</t>
  </si>
  <si>
    <t>Computer</t>
  </si>
  <si>
    <t xml:space="preserve">https://www.dell.com/da-dk/shop/cty/pdp/spd/dell-pro-max-fct2250-desktop  </t>
  </si>
  <si>
    <t>Skærm</t>
  </si>
  <si>
    <t>https://www.proshop.dk/Skaerm/27-Dell-Pro-E2725HM-1920x1080-FHD-100Hz-IPS</t>
  </si>
  <si>
    <t>Tastertur</t>
  </si>
  <si>
    <t>https://www.proshop.dk/Tastatur/Logitech-MX-Keys-S-Graphite-ND</t>
  </si>
  <si>
    <t>Mus</t>
  </si>
  <si>
    <t>https://www.proshop.dk/Mus/Logitech-M705-Marathon-Mouse-Mus-Laser-6-knapper-Sort</t>
  </si>
  <si>
    <t>Høretelefoner</t>
  </si>
  <si>
    <t>https://www.proshop.dk/Hovedtelefonerheadset2/Jabra-Evolve-20SE-MS-Stereo</t>
  </si>
  <si>
    <t>Værktøj og div.</t>
  </si>
  <si>
    <t>https://www.jemogfix.dk/gummihammer-500-g/3122/9020664/</t>
  </si>
  <si>
    <t>Skruemaskine</t>
  </si>
  <si>
    <t xml:space="preserve">https://www.jemogfix.dk/falke-slagskruemaskine-akku-kulfri-18-v/3101/9059149/ </t>
  </si>
  <si>
    <t>Komponenter/mnd.</t>
  </si>
  <si>
    <t>Metal</t>
  </si>
  <si>
    <t>Afskrivninger</t>
  </si>
  <si>
    <t>Indkøbs pris</t>
  </si>
  <si>
    <t>Levetid/år</t>
  </si>
  <si>
    <t>Afskrivning pr år</t>
  </si>
  <si>
    <t>CNC rør bukker</t>
  </si>
  <si>
    <t>Varme pr. År</t>
  </si>
  <si>
    <t>Lokale m2</t>
  </si>
  <si>
    <t>Pris pr. M2</t>
  </si>
  <si>
    <t>I alt</t>
  </si>
  <si>
    <t>Vand pr. År</t>
  </si>
  <si>
    <t>Medarbejdere</t>
  </si>
  <si>
    <t>Vand pr. Medarbejder m3</t>
  </si>
  <si>
    <t>Pris pr. m3</t>
  </si>
  <si>
    <t>Forsyning pr. År</t>
  </si>
  <si>
    <t>Varme</t>
  </si>
  <si>
    <t>Vand</t>
  </si>
  <si>
    <t>Forsikringer pr. År</t>
  </si>
  <si>
    <t>Lokale</t>
  </si>
  <si>
    <t>m2</t>
  </si>
  <si>
    <t>pris pr. M2</t>
  </si>
  <si>
    <t>Maskiner anskaffelsespris</t>
  </si>
  <si>
    <t>Procent af anskaffelsessum</t>
  </si>
  <si>
    <t>Rengøring</t>
  </si>
  <si>
    <t>Timer pr. Gang</t>
  </si>
  <si>
    <t>Hyppighed pr. Måned</t>
  </si>
  <si>
    <t>Pris pr. Time</t>
  </si>
  <si>
    <t>Pris pr. År</t>
  </si>
  <si>
    <t>Driftsbudget – Projekt masseproduktion (Case 3)</t>
  </si>
  <si>
    <t>SBV,SRU,JFN,CVG,SLN</t>
  </si>
  <si>
    <t xml:space="preserve">Oprettet </t>
  </si>
  <si>
    <t>Gruppe 3</t>
  </si>
  <si>
    <t>Nettoomsætning</t>
  </si>
  <si>
    <t>komponenter</t>
  </si>
  <si>
    <t>Materialer</t>
  </si>
  <si>
    <t>Tændt produktion (el)</t>
  </si>
  <si>
    <t>Variabler i alt</t>
  </si>
  <si>
    <t>Dækningsbidrag</t>
  </si>
  <si>
    <t>Tekniker</t>
  </si>
  <si>
    <t>Vedligeholdelse</t>
  </si>
  <si>
    <t>Forsyninger (vand og varme)</t>
  </si>
  <si>
    <t>Rengøring af personale faciliteter</t>
  </si>
  <si>
    <t>Kapacitetsomkostninger i alt</t>
  </si>
  <si>
    <t>Indtjeningsbidrag</t>
  </si>
  <si>
    <t>Resultat efter afskrivninger</t>
  </si>
  <si>
    <t>Skat (22% af overskud )</t>
  </si>
  <si>
    <t>Resultat efter skat</t>
  </si>
  <si>
    <t>Forudsætninger</t>
  </si>
  <si>
    <t>Anskaffelsessum</t>
  </si>
  <si>
    <t>kr.</t>
  </si>
  <si>
    <t>Tid, n</t>
  </si>
  <si>
    <t>Omsætning</t>
  </si>
  <si>
    <t>forskellig i hvert år</t>
  </si>
  <si>
    <t>kr./år</t>
  </si>
  <si>
    <t>Totale omkostninger (faste og variable)</t>
  </si>
  <si>
    <t>Kalkulation</t>
  </si>
  <si>
    <t>År</t>
  </si>
  <si>
    <t>Nettobetalinger, I-U</t>
  </si>
  <si>
    <t>Udbetalinger, U</t>
  </si>
  <si>
    <t>Indbetalinger, I</t>
  </si>
  <si>
    <t xml:space="preserve">Diskontering </t>
  </si>
  <si>
    <r>
      <t>Nutidsværd med diskonterings rate, I</t>
    </r>
    <r>
      <rPr>
        <b/>
        <vertAlign val="subscript"/>
        <sz val="11"/>
        <color rgb="FF000000"/>
        <rFont val="Aptos Narrow"/>
        <family val="2"/>
      </rPr>
      <t>0</t>
    </r>
    <r>
      <rPr>
        <b/>
        <sz val="11"/>
        <color rgb="FF000000"/>
        <rFont val="Aptos Narrow"/>
        <family val="2"/>
      </rPr>
      <t xml:space="preserve"> - U</t>
    </r>
    <r>
      <rPr>
        <b/>
        <vertAlign val="subscript"/>
        <sz val="11"/>
        <color rgb="FF000000"/>
        <rFont val="Aptos Narrow"/>
        <family val="2"/>
      </rPr>
      <t>0</t>
    </r>
  </si>
  <si>
    <t>NV = Nettodbetalinger / (1 + rente)^period</t>
  </si>
  <si>
    <t>Med kaluklationen</t>
  </si>
  <si>
    <t>Med NPV funktionen (per år)</t>
  </si>
  <si>
    <t>Nettonutidsværdi (NPV)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</si>
</sst>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0\ &quot;kr.&quot;;[Red]\-#,##0\ &quot;kr.&quot;"/>
    <numFmt numFmtId="8" formatCode="#,##0.00\ &quot;kr.&quot;;[Red]\-#,##0.00\ &quot;kr.&quot;"/>
    <numFmt numFmtId="164" formatCode="#,##0.00\ &quot;kr.&quot;"/>
    <numFmt numFmtId="165" formatCode="#,##0\ &quot;stk&quot;"/>
    <numFmt numFmtId="166" formatCode="#,##0\ &quot;t&quot;"/>
    <numFmt numFmtId="167" formatCode="0.0\ &quot;t&quot;"/>
    <numFmt numFmtId="168" formatCode="#,##0.00\ &quot;DKK&quot;"/>
    <numFmt numFmtId="169" formatCode="#,##0.00\ &quot;Dkk&quot;"/>
    <numFmt numFmtId="170" formatCode="#,##0\ &quot;kr.&quot;"/>
    <numFmt numFmtId="171" formatCode="#,##0.0"/>
    <numFmt numFmtId="172" formatCode="#,##0\ &quot;år&quot;"/>
  </numFmts>
  <fonts count="57" x14ac:knownFonts="1">
    <font>
      <sz val="11"/>
      <color theme="1"/>
      <name val="Calibri"/>
      <family val="2"/>
      <scheme val="minor"/>
    </font>
    <font>
      <sz val="11"/>
      <color rgb="FFDDDDDD"/>
      <name val="Calibri"/>
      <family val="2"/>
      <scheme val="minor"/>
    </font>
    <font>
      <b/>
      <sz val="20"/>
      <color rgb="FF404040"/>
      <name val="Calibri"/>
      <family val="2"/>
      <scheme val="minor"/>
    </font>
    <font>
      <sz val="20"/>
      <color rgb="FF404040"/>
      <name val="Calibri"/>
      <family val="2"/>
      <scheme val="minor"/>
    </font>
    <font>
      <b/>
      <i/>
      <sz val="20"/>
      <color rgb="FF404040"/>
      <name val="Calibri"/>
      <family val="2"/>
      <scheme val="minor"/>
    </font>
    <font>
      <b/>
      <sz val="20"/>
      <name val="Calibri"/>
      <family val="2"/>
      <scheme val="minor"/>
    </font>
    <font>
      <b/>
      <i/>
      <sz val="20"/>
      <name val="Calibri"/>
      <family val="2"/>
      <scheme val="minor"/>
    </font>
    <font>
      <sz val="11"/>
      <name val="Calibri"/>
      <family val="2"/>
      <scheme val="minor"/>
    </font>
    <font>
      <sz val="20"/>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1"/>
      <color rgb="FF000000"/>
      <name val="Aptos Narrow"/>
      <family val="2"/>
    </font>
    <font>
      <sz val="11"/>
      <color rgb="FF000000"/>
      <name val="Aptos Narrow"/>
    </font>
    <font>
      <b/>
      <sz val="18"/>
      <color rgb="FF000000"/>
      <name val="Aptos Narrow"/>
    </font>
    <font>
      <b/>
      <sz val="11"/>
      <color rgb="FF000000"/>
      <name val="Aptos Narrow"/>
    </font>
    <font>
      <i/>
      <sz val="11"/>
      <color rgb="FF000000"/>
      <name val="Aptos Narrow"/>
    </font>
    <font>
      <b/>
      <sz val="11"/>
      <color rgb="FFFFFFFF"/>
      <name val="Aptos Narrow"/>
    </font>
    <font>
      <sz val="11"/>
      <name val="Aptos Narrow"/>
      <family val="2"/>
    </font>
    <font>
      <sz val="11"/>
      <color rgb="FF212529"/>
      <name val="Arial"/>
      <family val="2"/>
    </font>
    <font>
      <sz val="14"/>
      <color theme="1"/>
      <name val="Calibri"/>
      <family val="2"/>
      <scheme val="minor"/>
    </font>
    <font>
      <sz val="18"/>
      <color theme="1"/>
      <name val="Calibri"/>
      <family val="2"/>
      <scheme val="minor"/>
    </font>
    <font>
      <sz val="24"/>
      <color theme="1"/>
      <name val="Calibri"/>
      <family val="2"/>
      <scheme val="minor"/>
    </font>
    <font>
      <sz val="16"/>
      <color theme="1"/>
      <name val="Calibri"/>
      <family val="2"/>
      <scheme val="minor"/>
    </font>
    <font>
      <sz val="20"/>
      <color theme="1"/>
      <name val="Calibri"/>
      <family val="2"/>
      <scheme val="minor"/>
    </font>
    <font>
      <b/>
      <sz val="11"/>
      <color rgb="FF000000"/>
      <name val="Calibri"/>
      <family val="2"/>
      <scheme val="minor"/>
    </font>
    <font>
      <sz val="11"/>
      <color rgb="FF000000"/>
      <name val="Calibri"/>
      <family val="2"/>
      <scheme val="minor"/>
    </font>
    <font>
      <b/>
      <sz val="11"/>
      <color theme="1" tint="0.24994659260841701"/>
      <name val="Calibri"/>
      <family val="2"/>
      <scheme val="minor"/>
    </font>
    <font>
      <sz val="12"/>
      <color theme="1" tint="0.24994659260841701"/>
      <name val="Calibri Light"/>
      <family val="2"/>
      <scheme val="major"/>
    </font>
    <font>
      <sz val="11"/>
      <color theme="1" tint="0.24994659260841701"/>
      <name val="Calibri Light"/>
      <family val="2"/>
      <scheme val="major"/>
    </font>
    <font>
      <sz val="14"/>
      <color theme="1" tint="0.24994659260841701"/>
      <name val="Calibri"/>
      <family val="2"/>
      <scheme val="minor"/>
    </font>
    <font>
      <b/>
      <sz val="11"/>
      <color theme="1" tint="0.34998626667073579"/>
      <name val="Calibri"/>
      <family val="2"/>
      <scheme val="minor"/>
    </font>
    <font>
      <b/>
      <sz val="13"/>
      <color theme="1" tint="0.24994659260841701"/>
      <name val="Calibri Light"/>
      <family val="2"/>
      <scheme val="major"/>
    </font>
    <font>
      <b/>
      <sz val="13"/>
      <color theme="7"/>
      <name val="Calibri Light"/>
      <family val="2"/>
      <scheme val="major"/>
    </font>
    <font>
      <b/>
      <sz val="16"/>
      <color rgb="FF000000"/>
      <name val="Aptos Narrow"/>
    </font>
    <font>
      <b/>
      <sz val="20"/>
      <color theme="1"/>
      <name val="Calibri"/>
      <family val="2"/>
      <scheme val="minor"/>
    </font>
    <font>
      <sz val="12"/>
      <color theme="1"/>
      <name val="Calibri"/>
      <family val="2"/>
      <scheme val="minor"/>
    </font>
    <font>
      <b/>
      <sz val="16"/>
      <color theme="1"/>
      <name val="Calibri"/>
      <family val="2"/>
      <scheme val="minor"/>
    </font>
    <font>
      <b/>
      <sz val="14"/>
      <color theme="1"/>
      <name val="Calibri"/>
      <family val="2"/>
      <scheme val="minor"/>
    </font>
    <font>
      <sz val="8"/>
      <name val="Calibri"/>
      <family val="2"/>
      <scheme val="minor"/>
    </font>
    <font>
      <sz val="10"/>
      <name val="Arial"/>
      <family val="2"/>
    </font>
    <font>
      <b/>
      <sz val="14"/>
      <name val="Aptos"/>
      <family val="2"/>
    </font>
    <font>
      <sz val="14"/>
      <name val="Aptos"/>
      <family val="2"/>
    </font>
    <font>
      <b/>
      <sz val="22"/>
      <name val="Aptos"/>
      <family val="2"/>
    </font>
    <font>
      <b/>
      <sz val="11"/>
      <color rgb="FF000000"/>
      <name val="Aptos Narrow"/>
      <family val="2"/>
    </font>
    <font>
      <sz val="14"/>
      <color theme="1"/>
      <name val="Aptos"/>
      <family val="2"/>
    </font>
    <font>
      <b/>
      <sz val="11"/>
      <name val="Calibri"/>
      <family val="2"/>
      <scheme val="minor"/>
    </font>
    <font>
      <b/>
      <sz val="24"/>
      <color theme="1"/>
      <name val="Calibri"/>
      <family val="2"/>
      <scheme val="minor"/>
    </font>
    <font>
      <sz val="12"/>
      <name val="Calibri"/>
      <family val="2"/>
      <scheme val="minor"/>
    </font>
    <font>
      <u/>
      <sz val="11"/>
      <color theme="1"/>
      <name val="Calibri"/>
      <family val="2"/>
      <scheme val="minor"/>
    </font>
    <font>
      <sz val="11"/>
      <color rgb="FF006100"/>
      <name val="Aptos Narrow"/>
    </font>
    <font>
      <b/>
      <vertAlign val="subscript"/>
      <sz val="11"/>
      <color rgb="FF000000"/>
      <name val="Aptos Narrow"/>
      <family val="2"/>
    </font>
    <font>
      <sz val="11"/>
      <color rgb="FF000000"/>
      <name val="Arial"/>
      <family val="2"/>
    </font>
    <font>
      <b/>
      <sz val="11"/>
      <color rgb="FFFFFFFF"/>
      <name val="Aptos Narrow"/>
      <family val="2"/>
    </font>
    <font>
      <sz val="11"/>
      <color theme="1"/>
      <name val="Calibri"/>
      <family val="2"/>
      <scheme val="minor"/>
    </font>
    <font>
      <sz val="11"/>
      <color rgb="FF006100"/>
      <name val="Calibri"/>
      <family val="2"/>
      <scheme val="minor"/>
    </font>
    <font>
      <i/>
      <sz val="11"/>
      <color rgb="FF000000"/>
      <name val="Aptos Narrow"/>
      <family val="2"/>
    </font>
  </fonts>
  <fills count="51">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2F2F2"/>
        <bgColor rgb="FF000000"/>
      </patternFill>
    </fill>
    <fill>
      <patternFill patternType="solid">
        <fgColor theme="0"/>
        <bgColor rgb="FFC0E6F5"/>
      </patternFill>
    </fill>
    <fill>
      <patternFill patternType="solid">
        <fgColor rgb="FFFFFF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rgb="FFFF0000"/>
        <bgColor indexed="64"/>
      </patternFill>
    </fill>
    <fill>
      <patternFill patternType="solid">
        <fgColor rgb="FF00B0F0"/>
        <bgColor rgb="FF000000"/>
      </patternFill>
    </fill>
    <fill>
      <patternFill patternType="solid">
        <fgColor rgb="FF92D050"/>
        <bgColor rgb="FF000000"/>
      </patternFill>
    </fill>
    <fill>
      <patternFill patternType="solid">
        <fgColor rgb="FFFFC000"/>
        <bgColor rgb="FF000000"/>
      </patternFill>
    </fill>
    <fill>
      <patternFill patternType="solid">
        <fgColor rgb="FFFFE699"/>
        <bgColor rgb="FF000000"/>
      </patternFill>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bgColor indexed="64"/>
      </patternFill>
    </fill>
    <fill>
      <patternFill patternType="solid">
        <fgColor rgb="FFC0E6F5"/>
        <bgColor rgb="FF000000"/>
      </patternFill>
    </fill>
    <fill>
      <patternFill patternType="solid">
        <fgColor theme="6" tint="0.79998168889431442"/>
        <bgColor indexed="64"/>
      </patternFill>
    </fill>
    <fill>
      <patternFill patternType="solid">
        <fgColor rgb="FFFBF7A1"/>
        <bgColor indexed="64"/>
      </patternFill>
    </fill>
    <fill>
      <patternFill patternType="solid">
        <fgColor theme="4" tint="0.79998168889431442"/>
        <bgColor rgb="FFC0E6F5"/>
      </patternFill>
    </fill>
    <fill>
      <patternFill patternType="solid">
        <fgColor rgb="FF00B0F0"/>
        <bgColor indexed="64"/>
      </patternFill>
    </fill>
    <fill>
      <patternFill patternType="solid">
        <fgColor theme="4" tint="0.59999389629810485"/>
        <bgColor rgb="FF000000"/>
      </patternFill>
    </fill>
    <fill>
      <patternFill patternType="solid">
        <fgColor theme="5" tint="0.79998168889431442"/>
        <bgColor indexed="64"/>
      </patternFill>
    </fill>
    <fill>
      <patternFill patternType="solid">
        <fgColor rgb="FFFFC000"/>
        <bgColor indexed="64"/>
      </patternFill>
    </fill>
    <fill>
      <patternFill patternType="solid">
        <fgColor theme="2" tint="-0.249977111117893"/>
        <bgColor indexed="64"/>
      </patternFill>
    </fill>
    <fill>
      <patternFill patternType="solid">
        <fgColor rgb="FF44B3E1"/>
        <bgColor rgb="FF000000"/>
      </patternFill>
    </fill>
    <fill>
      <patternFill patternType="solid">
        <fgColor rgb="FFE49EDD"/>
        <bgColor rgb="FF000000"/>
      </patternFill>
    </fill>
    <fill>
      <patternFill patternType="solid">
        <fgColor rgb="FFC6EFCE"/>
        <bgColor rgb="FF000000"/>
      </patternFill>
    </fill>
    <fill>
      <patternFill patternType="solid">
        <fgColor rgb="FFFF6D6D"/>
        <bgColor indexed="64"/>
      </patternFill>
    </fill>
    <fill>
      <patternFill patternType="solid">
        <fgColor rgb="FF990033"/>
        <bgColor indexed="64"/>
      </patternFill>
    </fill>
    <fill>
      <patternFill patternType="solid">
        <fgColor rgb="FF0070C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rgb="FFFF33CC"/>
        <bgColor indexed="64"/>
      </patternFill>
    </fill>
    <fill>
      <patternFill patternType="solid">
        <fgColor rgb="FF7030A0"/>
        <bgColor indexed="64"/>
      </patternFill>
    </fill>
    <fill>
      <patternFill patternType="solid">
        <fgColor rgb="FF00B050"/>
        <bgColor indexed="64"/>
      </patternFill>
    </fill>
    <fill>
      <patternFill patternType="solid">
        <fgColor rgb="FF0F2B83"/>
        <bgColor indexed="64"/>
      </patternFill>
    </fill>
    <fill>
      <patternFill patternType="solid">
        <fgColor rgb="FFA25F06"/>
        <bgColor indexed="64"/>
      </patternFill>
    </fill>
    <fill>
      <patternFill patternType="solid">
        <fgColor theme="4" tint="0.79998168889431442"/>
        <bgColor rgb="FF000000"/>
      </patternFill>
    </fill>
    <fill>
      <patternFill patternType="solid">
        <fgColor theme="4" tint="0.59999389629810485"/>
        <bgColor rgb="FF156082"/>
      </patternFill>
    </fill>
    <fill>
      <patternFill patternType="solid">
        <fgColor theme="0" tint="-4.9989318521683403E-2"/>
        <bgColor indexed="64"/>
      </patternFill>
    </fill>
    <fill>
      <patternFill patternType="solid">
        <fgColor rgb="FFC6EFCE"/>
      </patternFill>
    </fill>
    <fill>
      <patternFill patternType="solid">
        <fgColor theme="4" tint="0.79998168889431442"/>
        <bgColor indexed="65"/>
      </patternFill>
    </fill>
    <fill>
      <patternFill patternType="solid">
        <fgColor theme="0" tint="-0.249977111117893"/>
        <bgColor rgb="FF000000"/>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style="thick">
        <color theme="0"/>
      </left>
      <right style="thick">
        <color theme="0"/>
      </right>
      <top style="thick">
        <color theme="0"/>
      </top>
      <bottom style="thick">
        <color theme="0"/>
      </bottom>
      <diagonal/>
    </border>
    <border>
      <left/>
      <right/>
      <top/>
      <bottom style="thin">
        <color theme="7"/>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s>
  <cellStyleXfs count="17">
    <xf numFmtId="0" fontId="0" fillId="0" borderId="0"/>
    <xf numFmtId="0" fontId="10" fillId="0" borderId="0" applyNumberFormat="0" applyFill="0" applyBorder="0" applyAlignment="0" applyProtection="0"/>
    <xf numFmtId="0" fontId="27" fillId="17" borderId="56" applyNumberFormat="0" applyProtection="0">
      <alignment horizontal="left" vertical="center"/>
    </xf>
    <xf numFmtId="1" fontId="28" fillId="17" borderId="56">
      <alignment horizontal="center" vertical="center"/>
    </xf>
    <xf numFmtId="0" fontId="29" fillId="18" borderId="57" applyNumberFormat="0" applyFont="0" applyAlignment="0">
      <alignment horizontal="center"/>
    </xf>
    <xf numFmtId="0" fontId="30" fillId="0" borderId="0" applyNumberFormat="0" applyFill="0" applyBorder="0" applyProtection="0">
      <alignment horizontal="left" vertical="center"/>
    </xf>
    <xf numFmtId="0" fontId="29" fillId="19" borderId="58" applyNumberFormat="0" applyFont="0" applyAlignment="0">
      <alignment horizontal="center"/>
    </xf>
    <xf numFmtId="0" fontId="29" fillId="20" borderId="58" applyNumberFormat="0" applyFont="0" applyAlignment="0">
      <alignment horizontal="center"/>
    </xf>
    <xf numFmtId="0" fontId="29" fillId="21" borderId="58" applyNumberFormat="0" applyFont="0" applyAlignment="0">
      <alignment horizontal="center"/>
    </xf>
    <xf numFmtId="0" fontId="29" fillId="22" borderId="58" applyNumberFormat="0" applyFont="0" applyAlignment="0">
      <alignment horizontal="center"/>
    </xf>
    <xf numFmtId="0" fontId="31" fillId="0" borderId="0" applyFill="0" applyBorder="0" applyProtection="0">
      <alignment horizontal="center" wrapText="1"/>
    </xf>
    <xf numFmtId="3" fontId="31" fillId="0" borderId="59" applyFill="0" applyProtection="0">
      <alignment horizontal="center"/>
    </xf>
    <xf numFmtId="0" fontId="32" fillId="0" borderId="0" applyFill="0" applyBorder="0" applyProtection="0">
      <alignment horizontal="left" wrapText="1"/>
    </xf>
    <xf numFmtId="9" fontId="33" fillId="0" borderId="0" applyFill="0" applyBorder="0" applyProtection="0">
      <alignment horizontal="center" vertical="center"/>
    </xf>
    <xf numFmtId="0" fontId="40" fillId="0" borderId="0"/>
    <xf numFmtId="0" fontId="55" fillId="48" borderId="0" applyNumberFormat="0" applyBorder="0" applyAlignment="0" applyProtection="0"/>
    <xf numFmtId="0" fontId="54" fillId="49" borderId="0" applyNumberFormat="0" applyBorder="0" applyAlignment="0" applyProtection="0"/>
  </cellStyleXfs>
  <cellXfs count="1330">
    <xf numFmtId="0" fontId="0" fillId="0" borderId="0" xfId="0"/>
    <xf numFmtId="0" fontId="1" fillId="0" borderId="0" xfId="0" applyFont="1" applyAlignment="1">
      <alignment horizontal="left" vertical="center" indent="1" readingOrder="1"/>
    </xf>
    <xf numFmtId="0" fontId="3" fillId="0" borderId="0" xfId="0" applyFont="1" applyAlignment="1">
      <alignment horizontal="left" vertical="center" indent="1" readingOrder="1"/>
    </xf>
    <xf numFmtId="0" fontId="5" fillId="0" borderId="0" xfId="0" applyFont="1" applyAlignment="1">
      <alignment horizontal="left" vertical="center" indent="1" readingOrder="1"/>
    </xf>
    <xf numFmtId="0" fontId="7" fillId="0" borderId="0" xfId="0" applyFont="1"/>
    <xf numFmtId="0" fontId="0" fillId="2" borderId="0" xfId="0" applyFill="1"/>
    <xf numFmtId="0" fontId="0" fillId="0" borderId="1" xfId="0" applyBorder="1"/>
    <xf numFmtId="0" fontId="0" fillId="0" borderId="0" xfId="0" applyAlignment="1">
      <alignment horizontal="left" vertical="center" indent="3"/>
    </xf>
    <xf numFmtId="0" fontId="10" fillId="0" borderId="0" xfId="1"/>
    <xf numFmtId="0" fontId="9" fillId="0" borderId="0" xfId="0" applyFont="1"/>
    <xf numFmtId="0" fontId="13" fillId="4" borderId="1" xfId="0" applyFont="1" applyFill="1" applyBorder="1"/>
    <xf numFmtId="0" fontId="15" fillId="4" borderId="1" xfId="0" applyFont="1" applyFill="1" applyBorder="1"/>
    <xf numFmtId="0" fontId="0" fillId="0" borderId="23" xfId="0" applyBorder="1"/>
    <xf numFmtId="0" fontId="0" fillId="0" borderId="25" xfId="0" applyBorder="1"/>
    <xf numFmtId="0" fontId="0" fillId="0" borderId="26" xfId="0" applyBorder="1"/>
    <xf numFmtId="0" fontId="0" fillId="0" borderId="42" xfId="0" applyBorder="1"/>
    <xf numFmtId="0" fontId="0" fillId="0" borderId="45" xfId="0" applyBorder="1"/>
    <xf numFmtId="0" fontId="0" fillId="0" borderId="46" xfId="0" applyBorder="1"/>
    <xf numFmtId="0" fontId="20" fillId="0" borderId="47" xfId="0" applyFont="1" applyBorder="1" applyAlignment="1">
      <alignment horizontal="center" vertical="center"/>
    </xf>
    <xf numFmtId="0" fontId="20" fillId="0" borderId="27" xfId="0" applyFont="1" applyBorder="1" applyAlignment="1">
      <alignment horizontal="center" vertical="center"/>
    </xf>
    <xf numFmtId="0" fontId="20" fillId="0" borderId="37" xfId="0" applyFont="1" applyBorder="1"/>
    <xf numFmtId="0" fontId="20" fillId="0" borderId="37" xfId="0" applyFont="1" applyBorder="1" applyAlignment="1">
      <alignment horizontal="center" vertical="center"/>
    </xf>
    <xf numFmtId="0" fontId="20" fillId="0" borderId="6" xfId="0" applyFont="1" applyBorder="1" applyAlignment="1">
      <alignment horizontal="center" vertical="center"/>
    </xf>
    <xf numFmtId="0" fontId="20" fillId="0" borderId="1" xfId="0" applyFont="1" applyBorder="1"/>
    <xf numFmtId="0" fontId="20" fillId="0" borderId="1" xfId="0" applyFont="1" applyBorder="1" applyAlignment="1">
      <alignment horizontal="center" vertical="center"/>
    </xf>
    <xf numFmtId="0" fontId="20" fillId="0" borderId="49" xfId="0" applyFont="1" applyBorder="1" applyAlignment="1">
      <alignment horizontal="center" vertical="center"/>
    </xf>
    <xf numFmtId="0" fontId="20" fillId="0" borderId="1" xfId="0" applyFont="1" applyBorder="1" applyAlignment="1">
      <alignment horizontal="center" vertical="center" wrapText="1"/>
    </xf>
    <xf numFmtId="0" fontId="20" fillId="0" borderId="50" xfId="0" applyFont="1" applyBorder="1" applyAlignment="1">
      <alignment horizontal="center" vertical="center"/>
    </xf>
    <xf numFmtId="0" fontId="20" fillId="0" borderId="35" xfId="0" applyFont="1" applyBorder="1"/>
    <xf numFmtId="0" fontId="20" fillId="0" borderId="35" xfId="0" applyFont="1" applyBorder="1" applyAlignment="1">
      <alignment horizontal="center" vertical="center"/>
    </xf>
    <xf numFmtId="0" fontId="20" fillId="0" borderId="30" xfId="0" applyFont="1" applyBorder="1" applyAlignment="1">
      <alignment horizontal="center" vertical="center"/>
    </xf>
    <xf numFmtId="0" fontId="22" fillId="0" borderId="0" xfId="0" applyFont="1"/>
    <xf numFmtId="0" fontId="20" fillId="3" borderId="53" xfId="0" applyFont="1" applyFill="1" applyBorder="1" applyAlignment="1">
      <alignment horizontal="center" vertical="center" wrapText="1"/>
    </xf>
    <xf numFmtId="0" fontId="0" fillId="3" borderId="54" xfId="0" applyFill="1" applyBorder="1" applyAlignment="1">
      <alignment horizontal="center" vertical="center" wrapText="1"/>
    </xf>
    <xf numFmtId="0" fontId="20" fillId="3" borderId="23" xfId="0" applyFont="1" applyFill="1" applyBorder="1" applyAlignment="1">
      <alignment horizontal="center" vertical="center" wrapText="1"/>
    </xf>
    <xf numFmtId="0" fontId="0" fillId="3" borderId="23" xfId="0" applyFill="1" applyBorder="1" applyAlignment="1">
      <alignment horizontal="center" vertical="center" wrapText="1"/>
    </xf>
    <xf numFmtId="0" fontId="0" fillId="3" borderId="4" xfId="0" applyFill="1" applyBorder="1" applyAlignment="1">
      <alignment horizontal="center" vertical="center"/>
    </xf>
    <xf numFmtId="0" fontId="0" fillId="3" borderId="26" xfId="0" applyFill="1" applyBorder="1" applyAlignment="1">
      <alignment horizontal="center" vertical="center"/>
    </xf>
    <xf numFmtId="0" fontId="0" fillId="9" borderId="4" xfId="0" applyFill="1" applyBorder="1" applyAlignment="1">
      <alignment horizontal="center" vertical="center"/>
    </xf>
    <xf numFmtId="0" fontId="0" fillId="9" borderId="0" xfId="0" applyFill="1" applyAlignment="1">
      <alignment horizontal="center" vertical="center"/>
    </xf>
    <xf numFmtId="0" fontId="0" fillId="9" borderId="26"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0" fillId="10" borderId="5" xfId="0" applyFill="1" applyBorder="1" applyAlignment="1">
      <alignment horizontal="center" vertical="center"/>
    </xf>
    <xf numFmtId="0" fontId="0" fillId="10" borderId="23" xfId="0" applyFill="1" applyBorder="1" applyAlignment="1">
      <alignment horizontal="center" vertical="center"/>
    </xf>
    <xf numFmtId="0" fontId="0" fillId="10" borderId="0" xfId="0" applyFill="1" applyAlignment="1">
      <alignment horizontal="center" vertical="center"/>
    </xf>
    <xf numFmtId="0" fontId="0" fillId="10" borderId="24" xfId="0" applyFill="1" applyBorder="1" applyAlignment="1">
      <alignment horizontal="center" vertical="center"/>
    </xf>
    <xf numFmtId="0" fontId="0" fillId="10" borderId="25" xfId="0" applyFill="1" applyBorder="1" applyAlignment="1">
      <alignment horizontal="center" vertical="center"/>
    </xf>
    <xf numFmtId="0" fontId="0" fillId="10" borderId="26"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11" borderId="5" xfId="0" applyFill="1" applyBorder="1" applyAlignment="1">
      <alignment horizontal="center" vertical="center"/>
    </xf>
    <xf numFmtId="0" fontId="0" fillId="11" borderId="23" xfId="0" applyFill="1" applyBorder="1" applyAlignment="1">
      <alignment horizontal="center" vertical="center"/>
    </xf>
    <xf numFmtId="0" fontId="0" fillId="11" borderId="0" xfId="0" applyFill="1" applyAlignment="1">
      <alignment horizontal="center" vertical="center"/>
    </xf>
    <xf numFmtId="0" fontId="0" fillId="11" borderId="24" xfId="0" applyFill="1" applyBorder="1" applyAlignment="1">
      <alignment horizontal="center" vertical="center" wrapText="1"/>
    </xf>
    <xf numFmtId="0" fontId="0" fillId="11" borderId="25" xfId="0" applyFill="1" applyBorder="1" applyAlignment="1">
      <alignment horizontal="center" vertical="center"/>
    </xf>
    <xf numFmtId="0" fontId="0" fillId="11" borderId="26" xfId="0" applyFill="1" applyBorder="1" applyAlignment="1">
      <alignment horizontal="center" vertical="center"/>
    </xf>
    <xf numFmtId="0" fontId="0" fillId="11" borderId="27" xfId="0" applyFill="1" applyBorder="1" applyAlignment="1">
      <alignment horizontal="center" vertical="center"/>
    </xf>
    <xf numFmtId="0" fontId="7" fillId="8" borderId="23" xfId="0" applyFont="1" applyFill="1" applyBorder="1" applyAlignment="1">
      <alignment horizontal="center" vertical="center"/>
    </xf>
    <xf numFmtId="0" fontId="7" fillId="8" borderId="0" xfId="0" applyFont="1" applyFill="1" applyAlignment="1">
      <alignment horizontal="center" vertical="center" wrapText="1"/>
    </xf>
    <xf numFmtId="0" fontId="7" fillId="8" borderId="24" xfId="0" applyFont="1" applyFill="1" applyBorder="1" applyAlignment="1">
      <alignment horizontal="center" vertical="center" wrapText="1"/>
    </xf>
    <xf numFmtId="0" fontId="7" fillId="8" borderId="24" xfId="0" applyFont="1" applyFill="1" applyBorder="1" applyAlignment="1">
      <alignment horizontal="center" vertical="center"/>
    </xf>
    <xf numFmtId="0" fontId="7" fillId="8" borderId="0" xfId="0" applyFont="1" applyFill="1" applyAlignment="1">
      <alignment horizontal="center" vertical="center"/>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10" borderId="27" xfId="0" applyFill="1"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20" fillId="11" borderId="44" xfId="0" applyFont="1" applyFill="1" applyBorder="1" applyAlignment="1">
      <alignment horizontal="left"/>
    </xf>
    <xf numFmtId="0" fontId="20" fillId="11" borderId="48" xfId="0" applyFont="1" applyFill="1" applyBorder="1"/>
    <xf numFmtId="0" fontId="20" fillId="11" borderId="51" xfId="0" applyFont="1" applyFill="1" applyBorder="1"/>
    <xf numFmtId="0" fontId="25" fillId="13" borderId="1" xfId="0" applyFont="1" applyFill="1" applyBorder="1"/>
    <xf numFmtId="0" fontId="0" fillId="13" borderId="1" xfId="0" applyFill="1" applyBorder="1"/>
    <xf numFmtId="6" fontId="26" fillId="14" borderId="1" xfId="0" applyNumberFormat="1" applyFont="1" applyFill="1" applyBorder="1"/>
    <xf numFmtId="0" fontId="26" fillId="15" borderId="1" xfId="0" applyFont="1" applyFill="1" applyBorder="1"/>
    <xf numFmtId="0" fontId="26" fillId="16" borderId="1" xfId="0" applyFont="1" applyFill="1" applyBorder="1"/>
    <xf numFmtId="9" fontId="26" fillId="14" borderId="1" xfId="0" applyNumberFormat="1" applyFont="1" applyFill="1" applyBorder="1"/>
    <xf numFmtId="6" fontId="26" fillId="15" borderId="1" xfId="0" applyNumberFormat="1" applyFont="1" applyFill="1" applyBorder="1"/>
    <xf numFmtId="6" fontId="26" fillId="16" borderId="1" xfId="0" applyNumberFormat="1" applyFont="1" applyFill="1" applyBorder="1"/>
    <xf numFmtId="0" fontId="26" fillId="14" borderId="1" xfId="0" applyFont="1" applyFill="1" applyBorder="1"/>
    <xf numFmtId="0" fontId="0" fillId="13" borderId="1" xfId="0" applyFill="1" applyBorder="1" applyAlignment="1">
      <alignment wrapText="1"/>
    </xf>
    <xf numFmtId="0" fontId="0" fillId="11" borderId="0" xfId="0" applyFill="1" applyAlignment="1">
      <alignment horizontal="center" vertical="center" wrapText="1"/>
    </xf>
    <xf numFmtId="0" fontId="7" fillId="8" borderId="23"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vertical="top"/>
    </xf>
    <xf numFmtId="0" fontId="0" fillId="3" borderId="3" xfId="0" applyFill="1" applyBorder="1"/>
    <xf numFmtId="0" fontId="0" fillId="3" borderId="4" xfId="0" applyFill="1" applyBorder="1"/>
    <xf numFmtId="0" fontId="0" fillId="3" borderId="5" xfId="0" applyFill="1" applyBorder="1"/>
    <xf numFmtId="0" fontId="0" fillId="3" borderId="23" xfId="0" applyFill="1" applyBorder="1"/>
    <xf numFmtId="0" fontId="0" fillId="3" borderId="24" xfId="0" applyFill="1" applyBorder="1"/>
    <xf numFmtId="0" fontId="0" fillId="3" borderId="25" xfId="0" applyFill="1" applyBorder="1"/>
    <xf numFmtId="0" fontId="0" fillId="3" borderId="26" xfId="0" applyFill="1" applyBorder="1"/>
    <xf numFmtId="0" fontId="0" fillId="3" borderId="27" xfId="0" applyFill="1" applyBorder="1"/>
    <xf numFmtId="0" fontId="0" fillId="10" borderId="24" xfId="0" applyFill="1" applyBorder="1" applyAlignment="1">
      <alignment horizontal="center" vertical="center" wrapText="1"/>
    </xf>
    <xf numFmtId="0" fontId="0" fillId="0" borderId="0" xfId="0" applyAlignment="1">
      <alignment horizontal="center" vertical="center"/>
    </xf>
    <xf numFmtId="0" fontId="0" fillId="10" borderId="26" xfId="0" applyFill="1" applyBorder="1" applyAlignment="1">
      <alignment horizontal="center" vertical="center" wrapText="1"/>
    </xf>
    <xf numFmtId="0" fontId="0" fillId="3" borderId="0" xfId="0" applyFill="1" applyAlignment="1">
      <alignment horizontal="center"/>
    </xf>
    <xf numFmtId="0" fontId="20" fillId="3" borderId="0" xfId="0" applyFont="1" applyFill="1" applyAlignment="1">
      <alignment horizontal="center" vertical="center"/>
    </xf>
    <xf numFmtId="0" fontId="0" fillId="3" borderId="0" xfId="0" applyFill="1" applyAlignment="1">
      <alignment horizontal="center" vertical="center"/>
    </xf>
    <xf numFmtId="0" fontId="0" fillId="11" borderId="6" xfId="0" applyFill="1" applyBorder="1" applyAlignment="1">
      <alignment horizontal="center" vertical="center"/>
    </xf>
    <xf numFmtId="0" fontId="0" fillId="11" borderId="1" xfId="0" applyFill="1" applyBorder="1" applyAlignment="1">
      <alignment horizontal="center" vertical="center" wrapText="1"/>
    </xf>
    <xf numFmtId="0" fontId="0" fillId="11" borderId="7" xfId="0" applyFill="1" applyBorder="1" applyAlignment="1">
      <alignment horizontal="center" vertical="center" wrapText="1"/>
    </xf>
    <xf numFmtId="0" fontId="0" fillId="11" borderId="1" xfId="0" applyFill="1" applyBorder="1" applyAlignment="1">
      <alignment horizontal="center" vertical="center"/>
    </xf>
    <xf numFmtId="0" fontId="0" fillId="11" borderId="7" xfId="0" applyFill="1" applyBorder="1" applyAlignment="1">
      <alignment horizontal="center" vertical="center"/>
    </xf>
    <xf numFmtId="0" fontId="0" fillId="11" borderId="23" xfId="0" applyFill="1" applyBorder="1"/>
    <xf numFmtId="0" fontId="0" fillId="11" borderId="0" xfId="0" applyFill="1"/>
    <xf numFmtId="0" fontId="0" fillId="11" borderId="24" xfId="0" applyFill="1" applyBorder="1"/>
    <xf numFmtId="0" fontId="21" fillId="11" borderId="0" xfId="0" applyFont="1" applyFill="1"/>
    <xf numFmtId="0" fontId="0" fillId="11" borderId="18" xfId="0" applyFill="1" applyBorder="1"/>
    <xf numFmtId="0" fontId="0" fillId="11" borderId="39" xfId="0" applyFill="1" applyBorder="1"/>
    <xf numFmtId="0" fontId="0" fillId="11" borderId="32" xfId="0" applyFill="1" applyBorder="1"/>
    <xf numFmtId="0" fontId="0" fillId="11" borderId="22" xfId="0" applyFill="1" applyBorder="1"/>
    <xf numFmtId="0" fontId="0" fillId="11" borderId="38" xfId="0" applyFill="1" applyBorder="1"/>
    <xf numFmtId="0" fontId="0" fillId="11" borderId="29" xfId="0" applyFill="1" applyBorder="1"/>
    <xf numFmtId="0" fontId="21" fillId="11" borderId="22" xfId="0" applyFont="1" applyFill="1" applyBorder="1" applyAlignment="1">
      <alignment horizontal="left"/>
    </xf>
    <xf numFmtId="0" fontId="21" fillId="11" borderId="0" xfId="0" applyFont="1" applyFill="1" applyAlignment="1">
      <alignment horizontal="left"/>
    </xf>
    <xf numFmtId="0" fontId="21" fillId="11" borderId="34" xfId="0" applyFont="1" applyFill="1" applyBorder="1" applyAlignment="1">
      <alignment horizontal="left"/>
    </xf>
    <xf numFmtId="0" fontId="0" fillId="11" borderId="19" xfId="0" applyFill="1" applyBorder="1"/>
    <xf numFmtId="0" fontId="0" fillId="11" borderId="25" xfId="0" applyFill="1" applyBorder="1"/>
    <xf numFmtId="0" fontId="0" fillId="11" borderId="26" xfId="0" applyFill="1" applyBorder="1"/>
    <xf numFmtId="0" fontId="0" fillId="11" borderId="27" xfId="0" applyFill="1" applyBorder="1"/>
    <xf numFmtId="0" fontId="0" fillId="3" borderId="0" xfId="0" applyFill="1"/>
    <xf numFmtId="0" fontId="13" fillId="4" borderId="16" xfId="0" applyFont="1" applyFill="1" applyBorder="1"/>
    <xf numFmtId="0" fontId="15" fillId="4" borderId="16" xfId="0" applyFont="1" applyFill="1" applyBorder="1"/>
    <xf numFmtId="0" fontId="15" fillId="0" borderId="1" xfId="0" applyFont="1" applyBorder="1"/>
    <xf numFmtId="0" fontId="15" fillId="0" borderId="16" xfId="0" applyFont="1" applyBorder="1"/>
    <xf numFmtId="0" fontId="13" fillId="0" borderId="1" xfId="0" applyFont="1" applyBorder="1"/>
    <xf numFmtId="0" fontId="13" fillId="0" borderId="16" xfId="0" applyFont="1" applyBorder="1"/>
    <xf numFmtId="0" fontId="13" fillId="0" borderId="19" xfId="0" applyFont="1" applyBorder="1"/>
    <xf numFmtId="0" fontId="0" fillId="0" borderId="0" xfId="0" applyAlignment="1">
      <alignment wrapText="1"/>
    </xf>
    <xf numFmtId="0" fontId="13" fillId="11" borderId="1" xfId="0" applyFont="1" applyFill="1" applyBorder="1"/>
    <xf numFmtId="0" fontId="13" fillId="11" borderId="16" xfId="0" applyFont="1" applyFill="1" applyBorder="1"/>
    <xf numFmtId="0" fontId="13" fillId="25" borderId="1" xfId="0" applyFont="1" applyFill="1" applyBorder="1"/>
    <xf numFmtId="0" fontId="13" fillId="25" borderId="16" xfId="0" applyFont="1" applyFill="1" applyBorder="1"/>
    <xf numFmtId="164" fontId="13" fillId="11" borderId="16" xfId="0" applyNumberFormat="1" applyFont="1" applyFill="1" applyBorder="1"/>
    <xf numFmtId="164" fontId="13" fillId="25" borderId="16" xfId="0" applyNumberFormat="1" applyFont="1" applyFill="1" applyBorder="1"/>
    <xf numFmtId="164" fontId="13" fillId="0" borderId="16" xfId="0" applyNumberFormat="1" applyFont="1" applyBorder="1"/>
    <xf numFmtId="14" fontId="0" fillId="0" borderId="0" xfId="0" applyNumberFormat="1"/>
    <xf numFmtId="0" fontId="13" fillId="0" borderId="19" xfId="0" applyFont="1" applyBorder="1" applyAlignment="1">
      <alignment vertical="top"/>
    </xf>
    <xf numFmtId="0" fontId="0" fillId="11" borderId="0" xfId="0" applyFill="1" applyAlignment="1">
      <alignment wrapText="1"/>
    </xf>
    <xf numFmtId="0" fontId="0" fillId="11" borderId="1" xfId="0" applyFill="1" applyBorder="1"/>
    <xf numFmtId="164" fontId="0" fillId="11" borderId="1" xfId="0" applyNumberFormat="1" applyFill="1" applyBorder="1" applyAlignment="1">
      <alignment horizontal="center" vertical="center"/>
    </xf>
    <xf numFmtId="164" fontId="0" fillId="0" borderId="1" xfId="0" applyNumberFormat="1" applyBorder="1" applyAlignment="1">
      <alignment horizontal="center" vertical="center"/>
    </xf>
    <xf numFmtId="164" fontId="0" fillId="11" borderId="1" xfId="0" applyNumberFormat="1" applyFill="1" applyBorder="1" applyAlignment="1">
      <alignment horizontal="center"/>
    </xf>
    <xf numFmtId="164" fontId="0" fillId="0" borderId="1" xfId="0" applyNumberFormat="1" applyBorder="1" applyAlignment="1">
      <alignment horizontal="center"/>
    </xf>
    <xf numFmtId="10" fontId="0" fillId="0" borderId="0" xfId="0" applyNumberFormat="1"/>
    <xf numFmtId="0" fontId="0" fillId="11" borderId="3" xfId="0" applyFill="1" applyBorder="1" applyAlignment="1">
      <alignment horizontal="center"/>
    </xf>
    <xf numFmtId="0" fontId="0" fillId="11" borderId="4" xfId="0" applyFill="1" applyBorder="1" applyAlignment="1">
      <alignment horizontal="center"/>
    </xf>
    <xf numFmtId="0" fontId="0" fillId="11" borderId="25" xfId="0" applyFill="1" applyBorder="1" applyAlignment="1">
      <alignment horizontal="center"/>
    </xf>
    <xf numFmtId="0" fontId="0" fillId="11" borderId="26" xfId="0" applyFill="1" applyBorder="1" applyAlignment="1">
      <alignment horizontal="center"/>
    </xf>
    <xf numFmtId="0" fontId="0" fillId="11" borderId="5" xfId="0" applyFill="1" applyBorder="1" applyAlignment="1">
      <alignment horizontal="right" vertical="center"/>
    </xf>
    <xf numFmtId="0" fontId="0" fillId="11" borderId="27" xfId="0" applyFill="1" applyBorder="1" applyAlignment="1">
      <alignment horizontal="right" wrapText="1"/>
    </xf>
    <xf numFmtId="0" fontId="0" fillId="3" borderId="24" xfId="0" applyFill="1" applyBorder="1" applyAlignment="1">
      <alignment horizontal="right"/>
    </xf>
    <xf numFmtId="0" fontId="0" fillId="3" borderId="27" xfId="0" applyFill="1" applyBorder="1" applyAlignment="1">
      <alignment horizontal="right"/>
    </xf>
    <xf numFmtId="10" fontId="0" fillId="0" borderId="24" xfId="0" applyNumberFormat="1" applyBorder="1"/>
    <xf numFmtId="0" fontId="0" fillId="13" borderId="0" xfId="0" applyFill="1" applyAlignment="1">
      <alignment wrapText="1"/>
    </xf>
    <xf numFmtId="0" fontId="0" fillId="27" borderId="0" xfId="0" applyFill="1"/>
    <xf numFmtId="0" fontId="0" fillId="0" borderId="1" xfId="0" applyBorder="1" applyAlignment="1">
      <alignment horizontal="center"/>
    </xf>
    <xf numFmtId="0" fontId="0" fillId="11" borderId="1" xfId="0" applyFill="1" applyBorder="1" applyAlignment="1">
      <alignment horizontal="center"/>
    </xf>
    <xf numFmtId="0" fontId="0" fillId="9" borderId="12" xfId="0" applyFill="1" applyBorder="1" applyAlignment="1">
      <alignment horizontal="center" vertical="center"/>
    </xf>
    <xf numFmtId="0" fontId="0" fillId="9" borderId="13" xfId="0" applyFill="1" applyBorder="1"/>
    <xf numFmtId="0" fontId="0" fillId="9" borderId="13" xfId="0" applyFill="1" applyBorder="1" applyAlignment="1">
      <alignment horizontal="center" vertical="center"/>
    </xf>
    <xf numFmtId="0" fontId="0" fillId="9" borderId="6" xfId="0" applyFill="1" applyBorder="1" applyAlignment="1">
      <alignment horizontal="center"/>
    </xf>
    <xf numFmtId="0" fontId="0" fillId="9" borderId="8" xfId="0" applyFill="1" applyBorder="1" applyAlignment="1">
      <alignment horizontal="center"/>
    </xf>
    <xf numFmtId="0" fontId="0" fillId="11" borderId="9" xfId="0" applyFill="1" applyBorder="1" applyAlignment="1">
      <alignment horizontal="center"/>
    </xf>
    <xf numFmtId="0" fontId="0" fillId="11" borderId="9" xfId="0" applyFill="1" applyBorder="1"/>
    <xf numFmtId="0" fontId="36" fillId="0" borderId="0" xfId="0" applyFont="1"/>
    <xf numFmtId="0" fontId="36" fillId="0" borderId="0" xfId="0" applyFont="1" applyAlignment="1">
      <alignment horizontal="center"/>
    </xf>
    <xf numFmtId="0" fontId="0" fillId="0" borderId="29" xfId="0" applyBorder="1" applyAlignment="1">
      <alignment horizontal="center" vertical="center"/>
    </xf>
    <xf numFmtId="0" fontId="0" fillId="0" borderId="29" xfId="0" applyBorder="1" applyAlignment="1">
      <alignment horizontal="center"/>
    </xf>
    <xf numFmtId="0" fontId="12" fillId="0" borderId="1" xfId="0" applyFont="1" applyBorder="1" applyAlignment="1">
      <alignment horizontal="center" vertical="center" wrapText="1"/>
    </xf>
    <xf numFmtId="0" fontId="12" fillId="26" borderId="1" xfId="0" applyFont="1" applyFill="1" applyBorder="1" applyAlignment="1">
      <alignment horizontal="center" vertical="center" wrapText="1"/>
    </xf>
    <xf numFmtId="0" fontId="0" fillId="0" borderId="2" xfId="0" applyBorder="1" applyAlignment="1">
      <alignment horizontal="center" vertical="center"/>
    </xf>
    <xf numFmtId="0" fontId="19" fillId="6" borderId="1" xfId="0" applyFont="1" applyFill="1" applyBorder="1" applyAlignment="1">
      <alignment horizontal="center" vertical="center" wrapText="1"/>
    </xf>
    <xf numFmtId="3" fontId="26" fillId="14" borderId="1" xfId="0" applyNumberFormat="1" applyFont="1" applyFill="1" applyBorder="1"/>
    <xf numFmtId="0" fontId="36" fillId="11" borderId="26" xfId="0" applyFont="1" applyFill="1" applyBorder="1"/>
    <xf numFmtId="0" fontId="0" fillId="0" borderId="19" xfId="0" applyBorder="1" applyAlignment="1">
      <alignment horizontal="center" vertical="center"/>
    </xf>
    <xf numFmtId="0" fontId="20" fillId="0" borderId="7" xfId="0" applyFont="1" applyBorder="1"/>
    <xf numFmtId="0" fontId="20" fillId="0" borderId="2" xfId="0" applyFont="1" applyBorder="1"/>
    <xf numFmtId="0" fontId="20" fillId="0" borderId="9" xfId="0" applyFont="1" applyBorder="1"/>
    <xf numFmtId="0" fontId="20" fillId="0" borderId="10" xfId="0" applyFont="1" applyBorder="1"/>
    <xf numFmtId="164" fontId="0" fillId="11" borderId="9" xfId="0" applyNumberFormat="1" applyFill="1" applyBorder="1" applyAlignment="1">
      <alignment horizontal="center"/>
    </xf>
    <xf numFmtId="0" fontId="0" fillId="11" borderId="10" xfId="0" applyFill="1" applyBorder="1" applyAlignment="1">
      <alignment horizontal="center"/>
    </xf>
    <xf numFmtId="0" fontId="10" fillId="11" borderId="7" xfId="1" applyFill="1" applyBorder="1" applyAlignment="1">
      <alignment horizontal="center"/>
    </xf>
    <xf numFmtId="0" fontId="10" fillId="0" borderId="7" xfId="1" applyBorder="1" applyAlignment="1">
      <alignment horizontal="center"/>
    </xf>
    <xf numFmtId="0" fontId="15" fillId="28" borderId="1" xfId="0" applyFont="1" applyFill="1" applyBorder="1"/>
    <xf numFmtId="0" fontId="15" fillId="28" borderId="16" xfId="0" applyFont="1" applyFill="1" applyBorder="1"/>
    <xf numFmtId="164" fontId="15" fillId="28" borderId="16" xfId="0" applyNumberFormat="1" applyFont="1" applyFill="1" applyBorder="1"/>
    <xf numFmtId="0" fontId="0" fillId="3" borderId="28" xfId="0" applyFill="1" applyBorder="1"/>
    <xf numFmtId="0" fontId="0" fillId="3" borderId="29" xfId="0" applyFill="1" applyBorder="1"/>
    <xf numFmtId="0" fontId="0" fillId="3" borderId="30" xfId="0" applyFill="1" applyBorder="1"/>
    <xf numFmtId="0" fontId="0" fillId="3" borderId="31" xfId="0" applyFill="1" applyBorder="1"/>
    <xf numFmtId="0" fontId="0" fillId="3" borderId="32" xfId="0" applyFill="1" applyBorder="1"/>
    <xf numFmtId="0" fontId="0" fillId="3" borderId="2" xfId="0" applyFill="1" applyBorder="1"/>
    <xf numFmtId="0" fontId="0" fillId="3" borderId="33" xfId="0" applyFill="1" applyBorder="1"/>
    <xf numFmtId="0" fontId="0" fillId="3" borderId="35" xfId="0" applyFill="1" applyBorder="1"/>
    <xf numFmtId="0" fontId="0" fillId="3" borderId="41" xfId="0" applyFill="1" applyBorder="1"/>
    <xf numFmtId="0" fontId="0" fillId="3" borderId="42" xfId="0" applyFill="1" applyBorder="1"/>
    <xf numFmtId="0" fontId="0" fillId="3" borderId="9" xfId="0" applyFill="1" applyBorder="1"/>
    <xf numFmtId="0" fontId="0" fillId="3" borderId="43" xfId="0" applyFill="1" applyBorder="1"/>
    <xf numFmtId="0" fontId="0" fillId="3" borderId="0" xfId="0" applyFill="1" applyAlignment="1">
      <alignment horizontal="left"/>
    </xf>
    <xf numFmtId="0" fontId="0" fillId="3" borderId="36" xfId="0" applyFill="1" applyBorder="1"/>
    <xf numFmtId="0" fontId="0" fillId="3" borderId="0" xfId="0" applyFill="1" applyAlignment="1">
      <alignment horizontal="left" vertical="center"/>
    </xf>
    <xf numFmtId="0" fontId="0" fillId="3" borderId="36" xfId="0" applyFill="1" applyBorder="1" applyAlignment="1">
      <alignment wrapText="1"/>
    </xf>
    <xf numFmtId="0" fontId="0" fillId="3" borderId="36" xfId="0" applyFill="1" applyBorder="1" applyAlignment="1">
      <alignment horizontal="left" vertical="center"/>
    </xf>
    <xf numFmtId="0" fontId="0" fillId="3" borderId="24" xfId="0" applyFill="1" applyBorder="1" applyAlignment="1">
      <alignment horizontal="right" vertical="center"/>
    </xf>
    <xf numFmtId="0" fontId="0" fillId="3" borderId="26" xfId="0" applyFill="1" applyBorder="1" applyAlignment="1">
      <alignment horizontal="left"/>
    </xf>
    <xf numFmtId="0" fontId="0" fillId="3" borderId="37" xfId="0" applyFill="1" applyBorder="1"/>
    <xf numFmtId="0" fontId="0" fillId="3" borderId="23" xfId="0" applyFill="1" applyBorder="1" applyAlignment="1">
      <alignment horizontal="left"/>
    </xf>
    <xf numFmtId="0" fontId="0" fillId="3" borderId="25" xfId="0" applyFill="1" applyBorder="1" applyAlignment="1">
      <alignment horizontal="left"/>
    </xf>
    <xf numFmtId="0" fontId="42" fillId="0" borderId="0" xfId="14" applyFont="1"/>
    <xf numFmtId="0" fontId="41" fillId="0" borderId="3" xfId="14" applyFont="1" applyBorder="1"/>
    <xf numFmtId="0" fontId="41" fillId="0" borderId="23" xfId="14" applyFont="1" applyBorder="1"/>
    <xf numFmtId="0" fontId="41" fillId="0" borderId="25" xfId="14" applyFont="1" applyBorder="1"/>
    <xf numFmtId="0" fontId="42" fillId="0" borderId="35" xfId="14" applyFont="1" applyBorder="1"/>
    <xf numFmtId="0" fontId="41" fillId="0" borderId="29" xfId="14" applyFont="1" applyBorder="1" applyAlignment="1">
      <alignment horizontal="center"/>
    </xf>
    <xf numFmtId="0" fontId="42" fillId="0" borderId="69" xfId="14" applyFont="1" applyBorder="1"/>
    <xf numFmtId="0" fontId="42" fillId="0" borderId="50" xfId="14" applyFont="1" applyBorder="1" applyAlignment="1">
      <alignment horizontal="center"/>
    </xf>
    <xf numFmtId="0" fontId="42" fillId="0" borderId="16" xfId="14" applyFont="1" applyBorder="1"/>
    <xf numFmtId="0" fontId="42" fillId="0" borderId="1" xfId="14" applyFont="1" applyBorder="1"/>
    <xf numFmtId="0" fontId="42" fillId="0" borderId="38" xfId="14" applyFont="1" applyBorder="1"/>
    <xf numFmtId="0" fontId="42" fillId="0" borderId="7" xfId="14" applyFont="1" applyBorder="1"/>
    <xf numFmtId="0" fontId="42" fillId="0" borderId="6" xfId="14" applyFont="1" applyBorder="1" applyAlignment="1">
      <alignment horizontal="center"/>
    </xf>
    <xf numFmtId="0" fontId="42" fillId="0" borderId="9" xfId="14" applyFont="1" applyBorder="1"/>
    <xf numFmtId="0" fontId="41" fillId="0" borderId="44" xfId="14" applyFont="1" applyBorder="1"/>
    <xf numFmtId="0" fontId="41" fillId="0" borderId="45" xfId="14" applyFont="1" applyBorder="1"/>
    <xf numFmtId="0" fontId="42" fillId="0" borderId="45" xfId="14" applyFont="1" applyBorder="1"/>
    <xf numFmtId="0" fontId="42" fillId="0" borderId="46" xfId="14" applyFont="1" applyBorder="1"/>
    <xf numFmtId="0" fontId="41" fillId="0" borderId="0" xfId="14" applyFont="1"/>
    <xf numFmtId="0" fontId="42" fillId="0" borderId="60" xfId="14" applyFont="1" applyBorder="1" applyAlignment="1">
      <alignment horizontal="center" vertical="center"/>
    </xf>
    <xf numFmtId="0" fontId="42" fillId="0" borderId="50" xfId="14" applyFont="1" applyBorder="1" applyAlignment="1">
      <alignment horizontal="center" vertical="center"/>
    </xf>
    <xf numFmtId="0" fontId="42" fillId="0" borderId="2" xfId="14" applyFont="1" applyBorder="1" applyAlignment="1">
      <alignment vertical="justify"/>
    </xf>
    <xf numFmtId="0" fontId="42" fillId="0" borderId="35" xfId="14" applyFont="1" applyBorder="1" applyAlignment="1">
      <alignment vertical="justify"/>
    </xf>
    <xf numFmtId="0" fontId="42" fillId="0" borderId="2" xfId="14" applyFont="1" applyBorder="1"/>
    <xf numFmtId="0" fontId="42" fillId="0" borderId="20" xfId="14" applyFont="1" applyBorder="1" applyAlignment="1">
      <alignment vertical="justify"/>
    </xf>
    <xf numFmtId="0" fontId="42" fillId="0" borderId="69" xfId="14" applyFont="1" applyBorder="1" applyAlignment="1">
      <alignment vertical="justify"/>
    </xf>
    <xf numFmtId="0" fontId="42" fillId="0" borderId="1" xfId="14" applyFont="1" applyBorder="1" applyAlignment="1">
      <alignment vertical="justify"/>
    </xf>
    <xf numFmtId="0" fontId="0" fillId="8" borderId="40" xfId="0" applyFill="1" applyBorder="1"/>
    <xf numFmtId="0" fontId="0" fillId="8" borderId="21" xfId="0" applyFill="1" applyBorder="1"/>
    <xf numFmtId="0" fontId="0" fillId="8" borderId="70" xfId="0" applyFill="1" applyBorder="1"/>
    <xf numFmtId="164" fontId="0" fillId="11" borderId="19" xfId="0" applyNumberFormat="1" applyFill="1" applyBorder="1"/>
    <xf numFmtId="164" fontId="0" fillId="0" borderId="19" xfId="0" applyNumberFormat="1" applyBorder="1"/>
    <xf numFmtId="164" fontId="0" fillId="0" borderId="42" xfId="0" applyNumberFormat="1" applyBorder="1"/>
    <xf numFmtId="0" fontId="0" fillId="8" borderId="4" xfId="0" applyFill="1" applyBorder="1" applyAlignment="1">
      <alignment horizontal="center" vertical="center"/>
    </xf>
    <xf numFmtId="0" fontId="0" fillId="11" borderId="21" xfId="0" applyFill="1" applyBorder="1"/>
    <xf numFmtId="0" fontId="0" fillId="0" borderId="21" xfId="0" applyBorder="1"/>
    <xf numFmtId="0" fontId="0" fillId="0" borderId="70" xfId="0" applyBorder="1"/>
    <xf numFmtId="0" fontId="10" fillId="0" borderId="21" xfId="1" applyBorder="1"/>
    <xf numFmtId="0" fontId="10" fillId="11" borderId="21" xfId="1" applyFill="1" applyBorder="1"/>
    <xf numFmtId="164" fontId="0" fillId="11" borderId="42" xfId="0" applyNumberFormat="1" applyFill="1" applyBorder="1"/>
    <xf numFmtId="0" fontId="0" fillId="11" borderId="70" xfId="0" applyFill="1" applyBorder="1"/>
    <xf numFmtId="0" fontId="0" fillId="11" borderId="71" xfId="0" applyFill="1" applyBorder="1" applyAlignment="1">
      <alignment horizontal="center" vertical="center"/>
    </xf>
    <xf numFmtId="0" fontId="0" fillId="0" borderId="21" xfId="0" applyBorder="1" applyAlignment="1">
      <alignment horizontal="center" vertical="center"/>
    </xf>
    <xf numFmtId="0" fontId="0" fillId="11" borderId="21" xfId="0" applyFill="1" applyBorder="1" applyAlignment="1">
      <alignment horizontal="center" vertical="center"/>
    </xf>
    <xf numFmtId="0" fontId="0" fillId="11" borderId="70" xfId="0" applyFill="1" applyBorder="1" applyAlignment="1">
      <alignment horizontal="center" vertical="center"/>
    </xf>
    <xf numFmtId="0" fontId="0" fillId="11" borderId="29" xfId="0" applyFill="1" applyBorder="1" applyAlignment="1">
      <alignment horizontal="center" vertical="center"/>
    </xf>
    <xf numFmtId="0" fontId="0" fillId="11" borderId="19" xfId="0" applyFill="1" applyBorder="1" applyAlignment="1">
      <alignment horizontal="center" vertical="center"/>
    </xf>
    <xf numFmtId="0" fontId="0" fillId="11" borderId="19" xfId="0" applyFill="1" applyBorder="1" applyAlignment="1">
      <alignment horizontal="center" vertical="center" wrapText="1"/>
    </xf>
    <xf numFmtId="0" fontId="0" fillId="8" borderId="71" xfId="0" applyFill="1" applyBorder="1" applyAlignment="1">
      <alignment horizontal="center" vertical="center"/>
    </xf>
    <xf numFmtId="0" fontId="0" fillId="8" borderId="21" xfId="0" applyFill="1" applyBorder="1" applyAlignment="1">
      <alignment horizontal="center" vertical="center"/>
    </xf>
    <xf numFmtId="0" fontId="0" fillId="8" borderId="70" xfId="0" applyFill="1" applyBorder="1" applyAlignment="1">
      <alignment horizontal="center" vertical="center"/>
    </xf>
    <xf numFmtId="164" fontId="0" fillId="11" borderId="71" xfId="0" applyNumberFormat="1" applyFill="1" applyBorder="1" applyAlignment="1">
      <alignment horizontal="center" vertical="center"/>
    </xf>
    <xf numFmtId="164" fontId="0" fillId="0" borderId="21" xfId="0" applyNumberFormat="1" applyBorder="1" applyAlignment="1">
      <alignment horizontal="center" vertical="center"/>
    </xf>
    <xf numFmtId="164" fontId="0" fillId="11" borderId="21" xfId="0" applyNumberFormat="1" applyFill="1" applyBorder="1" applyAlignment="1">
      <alignment horizontal="center" vertical="center"/>
    </xf>
    <xf numFmtId="164" fontId="0" fillId="11" borderId="70" xfId="0" applyNumberFormat="1" applyFill="1" applyBorder="1" applyAlignment="1">
      <alignment horizontal="center" vertical="center"/>
    </xf>
    <xf numFmtId="0" fontId="0" fillId="11" borderId="42" xfId="0" applyFill="1" applyBorder="1" applyAlignment="1">
      <alignment horizontal="center" vertical="center"/>
    </xf>
    <xf numFmtId="0" fontId="0" fillId="11" borderId="9" xfId="0" applyFill="1" applyBorder="1" applyAlignment="1">
      <alignment horizontal="center" vertical="center"/>
    </xf>
    <xf numFmtId="164" fontId="0" fillId="0" borderId="30" xfId="0" applyNumberFormat="1" applyBorder="1" applyAlignment="1">
      <alignment horizontal="center" vertical="center"/>
    </xf>
    <xf numFmtId="164" fontId="0" fillId="11" borderId="49" xfId="0" applyNumberFormat="1" applyFill="1" applyBorder="1" applyAlignment="1">
      <alignment horizontal="center" vertical="center"/>
    </xf>
    <xf numFmtId="164" fontId="0" fillId="0" borderId="49" xfId="0" applyNumberFormat="1" applyBorder="1" applyAlignment="1">
      <alignment horizontal="center" vertical="center"/>
    </xf>
    <xf numFmtId="0" fontId="0" fillId="0" borderId="28" xfId="0" applyBorder="1" applyAlignment="1">
      <alignment horizontal="center" vertical="center"/>
    </xf>
    <xf numFmtId="0" fontId="0" fillId="11" borderId="66" xfId="0" applyFill="1" applyBorder="1" applyAlignment="1">
      <alignment horizontal="center" vertical="center"/>
    </xf>
    <xf numFmtId="0" fontId="0" fillId="0" borderId="66" xfId="0" applyBorder="1" applyAlignment="1">
      <alignment horizontal="center" vertical="center"/>
    </xf>
    <xf numFmtId="0" fontId="0" fillId="0" borderId="41" xfId="0" applyBorder="1" applyAlignment="1">
      <alignment horizontal="center" vertical="center"/>
    </xf>
    <xf numFmtId="0" fontId="0" fillId="8" borderId="5" xfId="0" applyFill="1" applyBorder="1" applyAlignment="1">
      <alignment horizontal="center" vertical="center"/>
    </xf>
    <xf numFmtId="0" fontId="0" fillId="0" borderId="71" xfId="0" applyBorder="1" applyAlignment="1">
      <alignment horizontal="center" vertical="center"/>
    </xf>
    <xf numFmtId="164" fontId="0" fillId="3" borderId="0" xfId="0" applyNumberFormat="1" applyFill="1" applyAlignment="1">
      <alignment horizontal="center"/>
    </xf>
    <xf numFmtId="0" fontId="10" fillId="3" borderId="0" xfId="1" applyFill="1" applyBorder="1" applyAlignment="1">
      <alignment horizontal="center"/>
    </xf>
    <xf numFmtId="164" fontId="0" fillId="3" borderId="0" xfId="0" applyNumberFormat="1" applyFill="1"/>
    <xf numFmtId="0" fontId="10" fillId="3" borderId="0" xfId="1" applyFill="1" applyBorder="1"/>
    <xf numFmtId="0" fontId="0" fillId="8" borderId="0" xfId="0" applyFill="1" applyAlignment="1">
      <alignment horizontal="center" vertical="center"/>
    </xf>
    <xf numFmtId="0" fontId="42" fillId="0" borderId="0" xfId="14" applyFont="1" applyAlignment="1">
      <alignment vertical="justify"/>
    </xf>
    <xf numFmtId="0" fontId="42" fillId="0" borderId="6" xfId="14" applyFont="1" applyBorder="1" applyAlignment="1">
      <alignment horizontal="center" vertical="center"/>
    </xf>
    <xf numFmtId="0" fontId="42" fillId="0" borderId="7" xfId="14" applyFont="1" applyBorder="1" applyAlignment="1">
      <alignment vertical="justify"/>
    </xf>
    <xf numFmtId="0" fontId="42" fillId="0" borderId="8" xfId="14" applyFont="1" applyBorder="1" applyAlignment="1">
      <alignment horizontal="center" vertical="center"/>
    </xf>
    <xf numFmtId="0" fontId="42" fillId="0" borderId="9" xfId="14" applyFont="1" applyBorder="1" applyAlignment="1">
      <alignment vertical="justify"/>
    </xf>
    <xf numFmtId="0" fontId="42" fillId="0" borderId="10" xfId="14" applyFont="1" applyBorder="1" applyAlignment="1">
      <alignment vertical="justify"/>
    </xf>
    <xf numFmtId="0" fontId="41" fillId="0" borderId="35" xfId="14" applyFont="1" applyBorder="1"/>
    <xf numFmtId="0" fontId="42" fillId="0" borderId="45" xfId="14" applyFont="1" applyBorder="1" applyAlignment="1">
      <alignment horizontal="center" vertical="center"/>
    </xf>
    <xf numFmtId="0" fontId="42" fillId="0" borderId="12" xfId="14" applyFont="1" applyBorder="1" applyAlignment="1">
      <alignment horizontal="center"/>
    </xf>
    <xf numFmtId="6" fontId="0" fillId="0" borderId="1" xfId="0" applyNumberFormat="1" applyBorder="1" applyAlignment="1">
      <alignment horizontal="center"/>
    </xf>
    <xf numFmtId="8" fontId="0" fillId="0" borderId="1" xfId="0" applyNumberFormat="1" applyBorder="1" applyAlignment="1">
      <alignment horizontal="center"/>
    </xf>
    <xf numFmtId="6" fontId="0" fillId="11" borderId="1" xfId="0" applyNumberFormat="1" applyFill="1" applyBorder="1" applyAlignment="1">
      <alignment horizontal="center"/>
    </xf>
    <xf numFmtId="0" fontId="0" fillId="9" borderId="14" xfId="0" applyFill="1" applyBorder="1" applyAlignment="1">
      <alignment horizontal="center" vertical="center"/>
    </xf>
    <xf numFmtId="0" fontId="0" fillId="9" borderId="6" xfId="0" applyFill="1" applyBorder="1" applyAlignment="1">
      <alignment horizontal="center" vertical="center"/>
    </xf>
    <xf numFmtId="0" fontId="0" fillId="9" borderId="8" xfId="0" applyFill="1" applyBorder="1" applyAlignment="1">
      <alignment horizontal="center" vertical="center"/>
    </xf>
    <xf numFmtId="164" fontId="0" fillId="11" borderId="9" xfId="0" applyNumberFormat="1" applyFill="1" applyBorder="1" applyAlignment="1">
      <alignment horizontal="center" vertical="center"/>
    </xf>
    <xf numFmtId="6" fontId="0" fillId="11" borderId="9" xfId="0" applyNumberFormat="1" applyFill="1" applyBorder="1" applyAlignment="1">
      <alignment horizontal="center"/>
    </xf>
    <xf numFmtId="0" fontId="0" fillId="9" borderId="13" xfId="0" applyFill="1" applyBorder="1" applyAlignment="1">
      <alignment horizontal="center" vertical="center" wrapText="1"/>
    </xf>
    <xf numFmtId="0" fontId="0" fillId="9" borderId="13" xfId="0" applyFill="1" applyBorder="1" applyAlignment="1">
      <alignment wrapText="1"/>
    </xf>
    <xf numFmtId="0" fontId="0" fillId="8" borderId="25" xfId="0" applyFill="1" applyBorder="1" applyAlignment="1">
      <alignment horizontal="center" vertical="center"/>
    </xf>
    <xf numFmtId="0" fontId="0" fillId="8" borderId="26" xfId="0" applyFill="1" applyBorder="1" applyAlignment="1">
      <alignment horizontal="center" vertical="center"/>
    </xf>
    <xf numFmtId="0" fontId="0" fillId="8" borderId="27" xfId="0" applyFill="1" applyBorder="1" applyAlignment="1">
      <alignment horizontal="center" vertical="center"/>
    </xf>
    <xf numFmtId="8" fontId="0" fillId="0" borderId="7" xfId="0" applyNumberFormat="1" applyBorder="1"/>
    <xf numFmtId="8" fontId="9" fillId="11" borderId="10" xfId="0" applyNumberFormat="1" applyFont="1" applyFill="1" applyBorder="1"/>
    <xf numFmtId="0" fontId="0" fillId="8" borderId="45" xfId="0" applyFill="1" applyBorder="1"/>
    <xf numFmtId="0" fontId="0" fillId="8" borderId="46" xfId="0" applyFill="1" applyBorder="1"/>
    <xf numFmtId="0" fontId="24" fillId="8" borderId="44" xfId="0" applyFont="1" applyFill="1" applyBorder="1"/>
    <xf numFmtId="0" fontId="24" fillId="8" borderId="45" xfId="0" applyFont="1" applyFill="1" applyBorder="1"/>
    <xf numFmtId="0" fontId="42" fillId="0" borderId="35" xfId="14" applyFont="1" applyBorder="1" applyAlignment="1">
      <alignment horizontal="right"/>
    </xf>
    <xf numFmtId="0" fontId="42" fillId="0" borderId="1" xfId="14" applyFont="1" applyBorder="1" applyAlignment="1">
      <alignment horizontal="right" vertical="justify"/>
    </xf>
    <xf numFmtId="0" fontId="42" fillId="0" borderId="38" xfId="14" applyFont="1" applyBorder="1" applyAlignment="1">
      <alignment horizontal="right"/>
    </xf>
    <xf numFmtId="0" fontId="42" fillId="0" borderId="1" xfId="14" applyFont="1" applyBorder="1" applyAlignment="1">
      <alignment vertical="center"/>
    </xf>
    <xf numFmtId="0" fontId="42" fillId="0" borderId="16" xfId="14" applyFont="1" applyBorder="1" applyAlignment="1">
      <alignment wrapText="1"/>
    </xf>
    <xf numFmtId="0" fontId="45" fillId="0" borderId="1" xfId="0" applyFont="1" applyBorder="1"/>
    <xf numFmtId="0" fontId="41" fillId="0" borderId="44" xfId="14" applyFont="1" applyBorder="1" applyAlignment="1">
      <alignment vertical="center"/>
    </xf>
    <xf numFmtId="0" fontId="45" fillId="0" borderId="46" xfId="0" applyFont="1" applyBorder="1" applyAlignment="1">
      <alignment vertical="center"/>
    </xf>
    <xf numFmtId="0" fontId="42" fillId="0" borderId="46" xfId="14" applyFont="1" applyBorder="1" applyAlignment="1">
      <alignment vertical="center"/>
    </xf>
    <xf numFmtId="0" fontId="9" fillId="0" borderId="45" xfId="0" applyFont="1" applyBorder="1"/>
    <xf numFmtId="0" fontId="9" fillId="0" borderId="46" xfId="0" applyFont="1" applyBorder="1"/>
    <xf numFmtId="0" fontId="20" fillId="0" borderId="0" xfId="0" applyFont="1" applyAlignment="1">
      <alignment horizontal="left"/>
    </xf>
    <xf numFmtId="0" fontId="20" fillId="0" borderId="0" xfId="0" applyFont="1"/>
    <xf numFmtId="0" fontId="20" fillId="0" borderId="0" xfId="0" applyFont="1" applyAlignment="1">
      <alignment horizontal="center" vertical="center"/>
    </xf>
    <xf numFmtId="0" fontId="20" fillId="0" borderId="0" xfId="0" applyFont="1" applyAlignment="1">
      <alignment horizontal="center" vertical="center" wrapText="1"/>
    </xf>
    <xf numFmtId="0" fontId="22" fillId="0" borderId="0" xfId="0" applyFont="1" applyAlignment="1">
      <alignment horizontal="left" vertical="center"/>
    </xf>
    <xf numFmtId="164" fontId="0" fillId="0" borderId="1" xfId="0" applyNumberFormat="1" applyBorder="1"/>
    <xf numFmtId="0" fontId="0" fillId="0" borderId="35" xfId="0" applyBorder="1"/>
    <xf numFmtId="0" fontId="0" fillId="0" borderId="69" xfId="0" applyBorder="1"/>
    <xf numFmtId="0" fontId="0" fillId="0" borderId="7" xfId="0" applyBorder="1"/>
    <xf numFmtId="0" fontId="0" fillId="0" borderId="9" xfId="0" applyBorder="1"/>
    <xf numFmtId="164" fontId="0" fillId="11" borderId="1" xfId="0" applyNumberFormat="1" applyFill="1" applyBorder="1"/>
    <xf numFmtId="0" fontId="0" fillId="11" borderId="10" xfId="0" applyFill="1" applyBorder="1"/>
    <xf numFmtId="164" fontId="9" fillId="11" borderId="9" xfId="0" applyNumberFormat="1" applyFont="1" applyFill="1" applyBorder="1"/>
    <xf numFmtId="164" fontId="9" fillId="0" borderId="42" xfId="0" applyNumberFormat="1" applyFont="1" applyBorder="1"/>
    <xf numFmtId="164" fontId="9" fillId="11" borderId="42" xfId="0" applyNumberFormat="1" applyFont="1" applyFill="1" applyBorder="1"/>
    <xf numFmtId="164" fontId="9" fillId="11" borderId="9" xfId="0" applyNumberFormat="1" applyFont="1" applyFill="1" applyBorder="1" applyAlignment="1">
      <alignment horizontal="center"/>
    </xf>
    <xf numFmtId="164" fontId="9" fillId="11" borderId="43" xfId="0" applyNumberFormat="1" applyFont="1" applyFill="1" applyBorder="1" applyAlignment="1">
      <alignment horizontal="center" vertical="center"/>
    </xf>
    <xf numFmtId="164" fontId="9" fillId="0" borderId="70" xfId="0" applyNumberFormat="1" applyFont="1" applyBorder="1" applyAlignment="1">
      <alignment horizontal="center" vertical="center"/>
    </xf>
    <xf numFmtId="0" fontId="9" fillId="10" borderId="3" xfId="0" applyFont="1" applyFill="1" applyBorder="1" applyAlignment="1">
      <alignment horizontal="center" vertical="center"/>
    </xf>
    <xf numFmtId="0" fontId="9" fillId="9" borderId="4" xfId="0" applyFont="1" applyFill="1" applyBorder="1" applyAlignment="1">
      <alignment horizontal="center" vertical="center"/>
    </xf>
    <xf numFmtId="0" fontId="46" fillId="9" borderId="23" xfId="0" applyFont="1" applyFill="1" applyBorder="1" applyAlignment="1">
      <alignment horizontal="center" vertical="center"/>
    </xf>
    <xf numFmtId="0" fontId="7" fillId="9" borderId="0" xfId="0" applyFont="1" applyFill="1" applyAlignment="1">
      <alignment horizontal="center" vertical="center" wrapText="1"/>
    </xf>
    <xf numFmtId="0" fontId="7" fillId="9" borderId="24" xfId="0" applyFont="1" applyFill="1" applyBorder="1" applyAlignment="1">
      <alignment horizontal="center" vertical="center" wrapText="1"/>
    </xf>
    <xf numFmtId="0" fontId="7" fillId="9" borderId="23" xfId="0" applyFont="1" applyFill="1" applyBorder="1" applyAlignment="1">
      <alignment horizontal="center" vertical="center"/>
    </xf>
    <xf numFmtId="0" fontId="7" fillId="9" borderId="24" xfId="0" applyFont="1" applyFill="1" applyBorder="1" applyAlignment="1">
      <alignment horizontal="center" vertical="center"/>
    </xf>
    <xf numFmtId="0" fontId="7" fillId="9" borderId="23" xfId="0" applyFont="1" applyFill="1" applyBorder="1" applyAlignment="1">
      <alignment horizontal="center" vertical="center" wrapText="1"/>
    </xf>
    <xf numFmtId="0" fontId="7" fillId="9" borderId="0" xfId="0" applyFont="1" applyFill="1" applyAlignment="1">
      <alignment horizontal="center" vertical="center"/>
    </xf>
    <xf numFmtId="0" fontId="9" fillId="8" borderId="3"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wrapText="1"/>
    </xf>
    <xf numFmtId="0" fontId="0" fillId="8" borderId="0" xfId="0" applyFill="1" applyAlignment="1">
      <alignment horizontal="center" vertical="center" wrapText="1"/>
    </xf>
    <xf numFmtId="164" fontId="0" fillId="11" borderId="7" xfId="0" applyNumberFormat="1" applyFill="1" applyBorder="1"/>
    <xf numFmtId="164" fontId="0" fillId="0" borderId="7" xfId="0" applyNumberFormat="1" applyBorder="1"/>
    <xf numFmtId="164" fontId="0" fillId="0" borderId="9" xfId="0" applyNumberFormat="1" applyBorder="1"/>
    <xf numFmtId="0" fontId="0" fillId="0" borderId="34" xfId="0" applyBorder="1"/>
    <xf numFmtId="0" fontId="0" fillId="11" borderId="11" xfId="0" applyFill="1" applyBorder="1"/>
    <xf numFmtId="0" fontId="0" fillId="0" borderId="11" xfId="0" applyBorder="1"/>
    <xf numFmtId="0" fontId="0" fillId="0" borderId="74" xfId="0" applyBorder="1"/>
    <xf numFmtId="164" fontId="9" fillId="0" borderId="10" xfId="0" applyNumberFormat="1" applyFont="1" applyBorder="1"/>
    <xf numFmtId="0" fontId="0" fillId="9" borderId="60" xfId="0" applyFill="1" applyBorder="1" applyAlignment="1">
      <alignment horizontal="center" vertical="center"/>
    </xf>
    <xf numFmtId="164" fontId="0" fillId="0" borderId="2" xfId="0" applyNumberFormat="1" applyBorder="1" applyAlignment="1">
      <alignment horizontal="center" vertical="center"/>
    </xf>
    <xf numFmtId="164" fontId="0" fillId="11" borderId="11" xfId="0" applyNumberFormat="1" applyFill="1" applyBorder="1"/>
    <xf numFmtId="164" fontId="0" fillId="0" borderId="11" xfId="0" applyNumberFormat="1" applyBorder="1"/>
    <xf numFmtId="0" fontId="0" fillId="11" borderId="74" xfId="0" applyFill="1" applyBorder="1"/>
    <xf numFmtId="0" fontId="0" fillId="0" borderId="35" xfId="0" applyBorder="1" applyAlignment="1">
      <alignment horizontal="center"/>
    </xf>
    <xf numFmtId="0" fontId="0" fillId="0" borderId="69" xfId="0" applyBorder="1" applyAlignment="1">
      <alignment horizontal="center"/>
    </xf>
    <xf numFmtId="0" fontId="0" fillId="0" borderId="34" xfId="0" applyBorder="1" applyAlignment="1">
      <alignment horizontal="center"/>
    </xf>
    <xf numFmtId="164" fontId="0" fillId="11" borderId="11" xfId="0" applyNumberFormat="1" applyFill="1" applyBorder="1" applyAlignment="1">
      <alignment horizontal="center"/>
    </xf>
    <xf numFmtId="164" fontId="0" fillId="0" borderId="11" xfId="0" applyNumberFormat="1" applyBorder="1" applyAlignment="1">
      <alignment horizontal="center"/>
    </xf>
    <xf numFmtId="164" fontId="0" fillId="11" borderId="74" xfId="0" applyNumberFormat="1" applyFill="1" applyBorder="1" applyAlignment="1">
      <alignment horizontal="center"/>
    </xf>
    <xf numFmtId="0" fontId="0" fillId="8" borderId="21" xfId="0" applyFill="1" applyBorder="1" applyAlignment="1">
      <alignment horizontal="center"/>
    </xf>
    <xf numFmtId="0" fontId="0" fillId="8" borderId="70" xfId="0" applyFill="1" applyBorder="1" applyAlignment="1">
      <alignment horizontal="center"/>
    </xf>
    <xf numFmtId="16" fontId="0" fillId="0" borderId="0" xfId="0" applyNumberFormat="1"/>
    <xf numFmtId="0" fontId="0" fillId="30" borderId="1" xfId="0" applyFill="1" applyBorder="1" applyAlignment="1">
      <alignment horizontal="center"/>
    </xf>
    <xf numFmtId="0" fontId="0" fillId="10" borderId="1" xfId="0" applyFill="1" applyBorder="1"/>
    <xf numFmtId="0" fontId="0" fillId="12" borderId="1" xfId="0" applyFill="1" applyBorder="1"/>
    <xf numFmtId="0" fontId="0" fillId="31" borderId="1" xfId="0" applyFill="1" applyBorder="1"/>
    <xf numFmtId="0" fontId="0" fillId="9" borderId="34" xfId="0" applyFill="1" applyBorder="1"/>
    <xf numFmtId="0" fontId="0" fillId="9" borderId="35" xfId="0" applyFill="1" applyBorder="1"/>
    <xf numFmtId="0" fontId="0" fillId="9" borderId="69" xfId="0" applyFill="1" applyBorder="1"/>
    <xf numFmtId="0" fontId="0" fillId="22" borderId="1" xfId="0" applyFill="1" applyBorder="1"/>
    <xf numFmtId="0" fontId="0" fillId="3" borderId="1" xfId="0" applyFill="1" applyBorder="1" applyAlignment="1">
      <alignment horizontal="center"/>
    </xf>
    <xf numFmtId="0" fontId="0" fillId="3" borderId="11" xfId="0" applyFill="1" applyBorder="1" applyAlignment="1">
      <alignment horizontal="center"/>
    </xf>
    <xf numFmtId="0" fontId="0" fillId="7" borderId="1" xfId="0" applyFill="1" applyBorder="1"/>
    <xf numFmtId="0" fontId="0" fillId="3" borderId="4" xfId="0" applyFill="1" applyBorder="1" applyAlignment="1">
      <alignment wrapText="1"/>
    </xf>
    <xf numFmtId="0" fontId="36" fillId="8" borderId="48" xfId="0" applyFont="1" applyFill="1" applyBorder="1" applyAlignment="1">
      <alignment wrapText="1"/>
    </xf>
    <xf numFmtId="0" fontId="36" fillId="8" borderId="48" xfId="0" applyFont="1" applyFill="1" applyBorder="1" applyAlignment="1">
      <alignment horizontal="left" vertical="center" wrapText="1"/>
    </xf>
    <xf numFmtId="20" fontId="36" fillId="8" borderId="48" xfId="0" applyNumberFormat="1" applyFont="1" applyFill="1" applyBorder="1" applyAlignment="1">
      <alignment horizontal="center" vertical="center"/>
    </xf>
    <xf numFmtId="20" fontId="36" fillId="8" borderId="45" xfId="0" applyNumberFormat="1" applyFont="1" applyFill="1" applyBorder="1" applyAlignment="1">
      <alignment horizontal="center" vertical="center"/>
    </xf>
    <xf numFmtId="20" fontId="36" fillId="8" borderId="73" xfId="0" applyNumberFormat="1" applyFont="1" applyFill="1" applyBorder="1" applyAlignment="1">
      <alignment horizontal="center" vertical="center"/>
    </xf>
    <xf numFmtId="20" fontId="36" fillId="8" borderId="65" xfId="0" applyNumberFormat="1" applyFont="1" applyFill="1" applyBorder="1" applyAlignment="1">
      <alignment horizontal="center" vertical="center"/>
    </xf>
    <xf numFmtId="0" fontId="36" fillId="8" borderId="61" xfId="0" applyFont="1" applyFill="1" applyBorder="1" applyAlignment="1">
      <alignment wrapText="1"/>
    </xf>
    <xf numFmtId="0" fontId="11" fillId="11" borderId="44" xfId="0" applyFont="1" applyFill="1" applyBorder="1"/>
    <xf numFmtId="0" fontId="36" fillId="11" borderId="4" xfId="0" applyFont="1" applyFill="1" applyBorder="1"/>
    <xf numFmtId="20" fontId="36" fillId="11" borderId="4" xfId="0" applyNumberFormat="1" applyFont="1" applyFill="1" applyBorder="1"/>
    <xf numFmtId="0" fontId="36" fillId="11" borderId="45" xfId="0" applyFont="1" applyFill="1" applyBorder="1"/>
    <xf numFmtId="0" fontId="36" fillId="11" borderId="55" xfId="0" applyFont="1" applyFill="1" applyBorder="1"/>
    <xf numFmtId="0" fontId="36" fillId="11" borderId="62" xfId="0" applyFont="1" applyFill="1" applyBorder="1"/>
    <xf numFmtId="0" fontId="36" fillId="0" borderId="28" xfId="0" applyFont="1" applyBorder="1"/>
    <xf numFmtId="0" fontId="36" fillId="3" borderId="3" xfId="0" applyFont="1" applyFill="1" applyBorder="1" applyAlignment="1">
      <alignment horizontal="right"/>
    </xf>
    <xf numFmtId="0" fontId="36" fillId="3" borderId="53" xfId="0" applyFont="1" applyFill="1" applyBorder="1" applyAlignment="1">
      <alignment horizontal="right"/>
    </xf>
    <xf numFmtId="0" fontId="36" fillId="3" borderId="67" xfId="0" applyFont="1" applyFill="1" applyBorder="1"/>
    <xf numFmtId="0" fontId="36" fillId="30" borderId="67" xfId="0" applyFont="1" applyFill="1" applyBorder="1" applyAlignment="1">
      <alignment horizontal="center"/>
    </xf>
    <xf numFmtId="0" fontId="36" fillId="30" borderId="15" xfId="0" applyFont="1" applyFill="1" applyBorder="1" applyAlignment="1">
      <alignment horizontal="center"/>
    </xf>
    <xf numFmtId="0" fontId="36" fillId="12" borderId="67" xfId="0" applyFont="1" applyFill="1" applyBorder="1"/>
    <xf numFmtId="0" fontId="36" fillId="10" borderId="15" xfId="0" applyFont="1" applyFill="1" applyBorder="1" applyAlignment="1">
      <alignment horizontal="center"/>
    </xf>
    <xf numFmtId="0" fontId="36" fillId="22" borderId="67" xfId="0" applyFont="1" applyFill="1" applyBorder="1" applyAlignment="1">
      <alignment horizontal="center"/>
    </xf>
    <xf numFmtId="0" fontId="36" fillId="0" borderId="53" xfId="0" applyFont="1" applyBorder="1"/>
    <xf numFmtId="0" fontId="36" fillId="29" borderId="66" xfId="0" applyFont="1" applyFill="1" applyBorder="1"/>
    <xf numFmtId="0" fontId="36" fillId="29" borderId="23" xfId="0" applyFont="1" applyFill="1" applyBorder="1" applyAlignment="1">
      <alignment horizontal="right"/>
    </xf>
    <xf numFmtId="0" fontId="36" fillId="29" borderId="54" xfId="0" applyFont="1" applyFill="1" applyBorder="1" applyAlignment="1">
      <alignment horizontal="right"/>
    </xf>
    <xf numFmtId="0" fontId="36" fillId="3" borderId="19" xfId="0" applyFont="1" applyFill="1" applyBorder="1"/>
    <xf numFmtId="0" fontId="36" fillId="30" borderId="19" xfId="0" applyFont="1" applyFill="1" applyBorder="1"/>
    <xf numFmtId="0" fontId="36" fillId="30" borderId="19" xfId="0" applyFont="1" applyFill="1" applyBorder="1" applyAlignment="1">
      <alignment horizontal="center"/>
    </xf>
    <xf numFmtId="0" fontId="36" fillId="12" borderId="19" xfId="0" applyFont="1" applyFill="1" applyBorder="1"/>
    <xf numFmtId="0" fontId="48" fillId="30" borderId="19" xfId="0" applyFont="1" applyFill="1" applyBorder="1" applyAlignment="1">
      <alignment horizontal="center"/>
    </xf>
    <xf numFmtId="0" fontId="48" fillId="3" borderId="19" xfId="0" applyFont="1" applyFill="1" applyBorder="1"/>
    <xf numFmtId="0" fontId="48" fillId="30" borderId="19" xfId="0" applyFont="1" applyFill="1" applyBorder="1"/>
    <xf numFmtId="0" fontId="48" fillId="30" borderId="11" xfId="0" applyFont="1" applyFill="1" applyBorder="1" applyAlignment="1">
      <alignment horizontal="center"/>
    </xf>
    <xf numFmtId="0" fontId="48" fillId="10" borderId="16" xfId="0" applyFont="1" applyFill="1" applyBorder="1" applyAlignment="1">
      <alignment horizontal="center"/>
    </xf>
    <xf numFmtId="0" fontId="48" fillId="10" borderId="19" xfId="0" applyFont="1" applyFill="1" applyBorder="1"/>
    <xf numFmtId="0" fontId="48" fillId="10" borderId="19" xfId="0" applyFont="1" applyFill="1" applyBorder="1" applyAlignment="1">
      <alignment horizontal="center"/>
    </xf>
    <xf numFmtId="0" fontId="36" fillId="10" borderId="19" xfId="0" applyFont="1" applyFill="1" applyBorder="1"/>
    <xf numFmtId="0" fontId="36" fillId="10" borderId="19" xfId="0" applyFont="1" applyFill="1" applyBorder="1" applyAlignment="1">
      <alignment horizontal="center"/>
    </xf>
    <xf numFmtId="0" fontId="36" fillId="22" borderId="19" xfId="0" applyFont="1" applyFill="1" applyBorder="1"/>
    <xf numFmtId="0" fontId="36" fillId="24" borderId="54" xfId="0" applyFont="1" applyFill="1" applyBorder="1"/>
    <xf numFmtId="0" fontId="36" fillId="0" borderId="66" xfId="0" applyFont="1" applyBorder="1"/>
    <xf numFmtId="0" fontId="36" fillId="3" borderId="23" xfId="0" applyFont="1" applyFill="1" applyBorder="1" applyAlignment="1">
      <alignment horizontal="right"/>
    </xf>
    <xf numFmtId="0" fontId="36" fillId="3" borderId="54" xfId="0" applyFont="1" applyFill="1" applyBorder="1" applyAlignment="1">
      <alignment horizontal="right"/>
    </xf>
    <xf numFmtId="20" fontId="36" fillId="3" borderId="19" xfId="0" applyNumberFormat="1" applyFont="1" applyFill="1" applyBorder="1"/>
    <xf numFmtId="0" fontId="48" fillId="3" borderId="16" xfId="0" applyFont="1" applyFill="1" applyBorder="1"/>
    <xf numFmtId="0" fontId="36" fillId="12" borderId="29" xfId="0" applyFont="1" applyFill="1" applyBorder="1"/>
    <xf numFmtId="0" fontId="36" fillId="3" borderId="19" xfId="0" applyFont="1" applyFill="1" applyBorder="1" applyAlignment="1">
      <alignment horizontal="center"/>
    </xf>
    <xf numFmtId="0" fontId="36" fillId="22" borderId="29" xfId="0" applyFont="1" applyFill="1" applyBorder="1"/>
    <xf numFmtId="0" fontId="36" fillId="0" borderId="54" xfId="0" applyFont="1" applyBorder="1"/>
    <xf numFmtId="0" fontId="36" fillId="10" borderId="11" xfId="0" applyFont="1" applyFill="1" applyBorder="1"/>
    <xf numFmtId="0" fontId="36" fillId="30" borderId="16" xfId="0" applyFont="1" applyFill="1" applyBorder="1"/>
    <xf numFmtId="0" fontId="36" fillId="30" borderId="11" xfId="0" applyFont="1" applyFill="1" applyBorder="1"/>
    <xf numFmtId="0" fontId="48" fillId="3" borderId="19" xfId="0" applyFont="1" applyFill="1" applyBorder="1" applyAlignment="1">
      <alignment horizontal="center"/>
    </xf>
    <xf numFmtId="0" fontId="48" fillId="3" borderId="11" xfId="0" applyFont="1" applyFill="1" applyBorder="1"/>
    <xf numFmtId="0" fontId="36" fillId="10" borderId="0" xfId="0" applyFont="1" applyFill="1"/>
    <xf numFmtId="0" fontId="36" fillId="3" borderId="0" xfId="0" applyFont="1" applyFill="1" applyAlignment="1">
      <alignment horizontal="center"/>
    </xf>
    <xf numFmtId="0" fontId="36" fillId="31" borderId="19" xfId="0" applyFont="1" applyFill="1" applyBorder="1"/>
    <xf numFmtId="0" fontId="48" fillId="31" borderId="19" xfId="0" applyFont="1" applyFill="1" applyBorder="1"/>
    <xf numFmtId="0" fontId="48" fillId="31" borderId="11" xfId="0" applyFont="1" applyFill="1" applyBorder="1"/>
    <xf numFmtId="0" fontId="36" fillId="3" borderId="0" xfId="0" applyFont="1" applyFill="1"/>
    <xf numFmtId="0" fontId="36" fillId="29" borderId="54" xfId="0" applyFont="1" applyFill="1" applyBorder="1" applyAlignment="1">
      <alignment horizontal="right" wrapText="1"/>
    </xf>
    <xf numFmtId="0" fontId="48" fillId="10" borderId="1" xfId="0" applyFont="1" applyFill="1" applyBorder="1" applyAlignment="1">
      <alignment horizontal="center"/>
    </xf>
    <xf numFmtId="0" fontId="36" fillId="3" borderId="66" xfId="0" applyFont="1" applyFill="1" applyBorder="1"/>
    <xf numFmtId="0" fontId="36" fillId="24" borderId="41" xfId="0" applyFont="1" applyFill="1" applyBorder="1"/>
    <xf numFmtId="0" fontId="36" fillId="24" borderId="25" xfId="0" applyFont="1" applyFill="1" applyBorder="1" applyAlignment="1">
      <alignment horizontal="right"/>
    </xf>
    <xf numFmtId="0" fontId="36" fillId="24" borderId="62" xfId="0" applyFont="1" applyFill="1" applyBorder="1" applyAlignment="1">
      <alignment horizontal="right"/>
    </xf>
    <xf numFmtId="0" fontId="36" fillId="3" borderId="26" xfId="0" applyFont="1" applyFill="1" applyBorder="1"/>
    <xf numFmtId="0" fontId="36" fillId="7" borderId="26" xfId="0" applyFont="1" applyFill="1" applyBorder="1" applyAlignment="1">
      <alignment horizontal="center"/>
    </xf>
    <xf numFmtId="0" fontId="36" fillId="12" borderId="26" xfId="0" applyFont="1" applyFill="1" applyBorder="1"/>
    <xf numFmtId="0" fontId="48" fillId="3" borderId="26" xfId="0" applyFont="1" applyFill="1" applyBorder="1"/>
    <xf numFmtId="0" fontId="48" fillId="7" borderId="26" xfId="0" applyFont="1" applyFill="1" applyBorder="1" applyAlignment="1">
      <alignment horizontal="center"/>
    </xf>
    <xf numFmtId="0" fontId="48" fillId="3" borderId="63" xfId="0" applyFont="1" applyFill="1" applyBorder="1"/>
    <xf numFmtId="0" fontId="36" fillId="11" borderId="0" xfId="0" applyFont="1" applyFill="1" applyAlignment="1">
      <alignment horizontal="right"/>
    </xf>
    <xf numFmtId="0" fontId="36" fillId="11" borderId="61" xfId="0" applyFont="1" applyFill="1" applyBorder="1"/>
    <xf numFmtId="0" fontId="36" fillId="22" borderId="67" xfId="0" applyFont="1" applyFill="1" applyBorder="1"/>
    <xf numFmtId="0" fontId="36" fillId="3" borderId="15" xfId="0" applyFont="1" applyFill="1" applyBorder="1"/>
    <xf numFmtId="0" fontId="36" fillId="3" borderId="11" xfId="0" applyFont="1" applyFill="1" applyBorder="1"/>
    <xf numFmtId="0" fontId="36" fillId="10" borderId="16" xfId="0" applyFont="1" applyFill="1" applyBorder="1"/>
    <xf numFmtId="0" fontId="36" fillId="3" borderId="29" xfId="0" applyFont="1" applyFill="1" applyBorder="1"/>
    <xf numFmtId="0" fontId="36" fillId="3" borderId="54" xfId="0" applyFont="1" applyFill="1" applyBorder="1"/>
    <xf numFmtId="0" fontId="36" fillId="3" borderId="41" xfId="0" applyFont="1" applyFill="1" applyBorder="1"/>
    <xf numFmtId="0" fontId="36" fillId="3" borderId="25" xfId="0" applyFont="1" applyFill="1" applyBorder="1" applyAlignment="1">
      <alignment horizontal="right"/>
    </xf>
    <xf numFmtId="0" fontId="36" fillId="3" borderId="62" xfId="0" applyFont="1" applyFill="1" applyBorder="1" applyAlignment="1">
      <alignment horizontal="right"/>
    </xf>
    <xf numFmtId="0" fontId="36" fillId="3" borderId="63" xfId="0" applyFont="1" applyFill="1" applyBorder="1"/>
    <xf numFmtId="0" fontId="36" fillId="0" borderId="41" xfId="0" applyFont="1" applyBorder="1"/>
    <xf numFmtId="0" fontId="36" fillId="3" borderId="42" xfId="0" applyFont="1" applyFill="1" applyBorder="1"/>
    <xf numFmtId="0" fontId="36" fillId="7" borderId="0" xfId="0" applyFont="1" applyFill="1" applyAlignment="1">
      <alignment horizontal="center"/>
    </xf>
    <xf numFmtId="0" fontId="36" fillId="12" borderId="0" xfId="0" applyFont="1" applyFill="1"/>
    <xf numFmtId="0" fontId="36" fillId="7" borderId="63" xfId="0" applyFont="1" applyFill="1" applyBorder="1" applyAlignment="1">
      <alignment horizontal="center"/>
    </xf>
    <xf numFmtId="0" fontId="11" fillId="11" borderId="25" xfId="0" applyFont="1" applyFill="1" applyBorder="1"/>
    <xf numFmtId="0" fontId="11" fillId="0" borderId="54" xfId="0" applyFont="1" applyBorder="1"/>
    <xf numFmtId="0" fontId="36" fillId="29" borderId="41" xfId="0" applyFont="1" applyFill="1" applyBorder="1"/>
    <xf numFmtId="0" fontId="36" fillId="29" borderId="62" xfId="0" applyFont="1" applyFill="1" applyBorder="1" applyAlignment="1">
      <alignment horizontal="right"/>
    </xf>
    <xf numFmtId="0" fontId="36" fillId="31" borderId="26" xfId="0" applyFont="1" applyFill="1" applyBorder="1"/>
    <xf numFmtId="0" fontId="36" fillId="24" borderId="62" xfId="0" applyFont="1" applyFill="1" applyBorder="1"/>
    <xf numFmtId="0" fontId="36" fillId="8" borderId="47" xfId="0" applyFont="1" applyFill="1" applyBorder="1" applyAlignment="1">
      <alignment vertical="center"/>
    </xf>
    <xf numFmtId="0" fontId="36" fillId="8" borderId="37" xfId="0" applyFont="1" applyFill="1" applyBorder="1" applyAlignment="1">
      <alignment horizontal="left" vertical="center"/>
    </xf>
    <xf numFmtId="0" fontId="0" fillId="3" borderId="18" xfId="0" applyFill="1" applyBorder="1"/>
    <xf numFmtId="0" fontId="0" fillId="3" borderId="17" xfId="0" applyFill="1" applyBorder="1"/>
    <xf numFmtId="14" fontId="20" fillId="3" borderId="34" xfId="0" applyNumberFormat="1" applyFont="1" applyFill="1" applyBorder="1"/>
    <xf numFmtId="0" fontId="23" fillId="3" borderId="38" xfId="0" applyFont="1" applyFill="1" applyBorder="1"/>
    <xf numFmtId="0" fontId="36" fillId="12" borderId="15" xfId="0" applyFont="1" applyFill="1" applyBorder="1"/>
    <xf numFmtId="0" fontId="36" fillId="12" borderId="16" xfId="0" applyFont="1" applyFill="1" applyBorder="1"/>
    <xf numFmtId="0" fontId="36" fillId="12" borderId="19" xfId="0" applyFont="1" applyFill="1" applyBorder="1" applyAlignment="1">
      <alignment horizontal="center"/>
    </xf>
    <xf numFmtId="0" fontId="36" fillId="12" borderId="11" xfId="0" applyFont="1" applyFill="1" applyBorder="1"/>
    <xf numFmtId="0" fontId="36" fillId="12" borderId="26" xfId="0" applyFont="1" applyFill="1" applyBorder="1" applyAlignment="1">
      <alignment horizontal="center"/>
    </xf>
    <xf numFmtId="0" fontId="36" fillId="31" borderId="63" xfId="0" applyFont="1" applyFill="1" applyBorder="1"/>
    <xf numFmtId="0" fontId="0" fillId="0" borderId="19" xfId="0" applyBorder="1"/>
    <xf numFmtId="0" fontId="36" fillId="12" borderId="42" xfId="0" applyFont="1" applyFill="1" applyBorder="1"/>
    <xf numFmtId="0" fontId="36" fillId="31" borderId="42" xfId="0" applyFont="1" applyFill="1" applyBorder="1"/>
    <xf numFmtId="0" fontId="0" fillId="9" borderId="40" xfId="0" applyFill="1" applyBorder="1" applyAlignment="1">
      <alignment horizontal="center"/>
    </xf>
    <xf numFmtId="0" fontId="0" fillId="9" borderId="21" xfId="0" applyFill="1" applyBorder="1" applyAlignment="1">
      <alignment horizontal="center"/>
    </xf>
    <xf numFmtId="0" fontId="0" fillId="9" borderId="70" xfId="0" applyFill="1" applyBorder="1" applyAlignment="1">
      <alignment horizontal="center"/>
    </xf>
    <xf numFmtId="164" fontId="0" fillId="3" borderId="1" xfId="0" applyNumberFormat="1" applyFill="1" applyBorder="1" applyAlignment="1">
      <alignment horizontal="center"/>
    </xf>
    <xf numFmtId="0" fontId="0" fillId="11" borderId="11" xfId="0" applyFill="1" applyBorder="1" applyAlignment="1">
      <alignment horizontal="center"/>
    </xf>
    <xf numFmtId="0" fontId="0" fillId="11" borderId="74" xfId="0" applyFill="1" applyBorder="1" applyAlignment="1">
      <alignment horizontal="center"/>
    </xf>
    <xf numFmtId="164" fontId="0" fillId="0" borderId="7" xfId="0" applyNumberFormat="1" applyBorder="1" applyAlignment="1">
      <alignment horizontal="right" vertical="center"/>
    </xf>
    <xf numFmtId="164" fontId="0" fillId="11" borderId="7" xfId="0" applyNumberFormat="1" applyFill="1" applyBorder="1" applyAlignment="1">
      <alignment horizontal="right" vertical="center"/>
    </xf>
    <xf numFmtId="164" fontId="0" fillId="0" borderId="20" xfId="0" applyNumberFormat="1" applyBorder="1" applyAlignment="1">
      <alignment horizontal="right" vertical="center"/>
    </xf>
    <xf numFmtId="164" fontId="9" fillId="11" borderId="10" xfId="0" applyNumberFormat="1" applyFont="1" applyFill="1" applyBorder="1" applyAlignment="1">
      <alignment horizontal="right" vertical="center"/>
    </xf>
    <xf numFmtId="164" fontId="0" fillId="3" borderId="7" xfId="0" applyNumberFormat="1" applyFill="1" applyBorder="1" applyAlignment="1">
      <alignment horizontal="right"/>
    </xf>
    <xf numFmtId="164" fontId="0" fillId="11" borderId="7" xfId="0" applyNumberFormat="1" applyFill="1" applyBorder="1" applyAlignment="1">
      <alignment horizontal="right"/>
    </xf>
    <xf numFmtId="164" fontId="9" fillId="11" borderId="10" xfId="0" applyNumberFormat="1" applyFont="1" applyFill="1" applyBorder="1" applyAlignment="1">
      <alignment horizontal="right"/>
    </xf>
    <xf numFmtId="0" fontId="20" fillId="0" borderId="0" xfId="0" applyFont="1" applyAlignment="1">
      <alignment horizontal="center"/>
    </xf>
    <xf numFmtId="0" fontId="20" fillId="0" borderId="0" xfId="0" applyFont="1" applyAlignment="1">
      <alignment horizontal="left" vertical="top" wrapText="1"/>
    </xf>
    <xf numFmtId="0" fontId="20" fillId="3" borderId="4" xfId="0" applyFont="1" applyFill="1" applyBorder="1"/>
    <xf numFmtId="0" fontId="20" fillId="3" borderId="4" xfId="0" applyFont="1" applyFill="1" applyBorder="1" applyAlignment="1">
      <alignment wrapText="1"/>
    </xf>
    <xf numFmtId="0" fontId="20" fillId="3" borderId="5" xfId="0" applyFont="1" applyFill="1" applyBorder="1"/>
    <xf numFmtId="0" fontId="20" fillId="3" borderId="24" xfId="0" applyFont="1" applyFill="1" applyBorder="1"/>
    <xf numFmtId="0" fontId="38" fillId="11" borderId="44" xfId="0" applyFont="1" applyFill="1" applyBorder="1"/>
    <xf numFmtId="0" fontId="20" fillId="11" borderId="4" xfId="0" applyFont="1" applyFill="1" applyBorder="1"/>
    <xf numFmtId="20" fontId="20" fillId="11" borderId="4" xfId="0" applyNumberFormat="1" applyFont="1" applyFill="1" applyBorder="1"/>
    <xf numFmtId="0" fontId="20" fillId="11" borderId="5" xfId="0" applyFont="1" applyFill="1" applyBorder="1"/>
    <xf numFmtId="0" fontId="20" fillId="0" borderId="40" xfId="0" applyFont="1" applyBorder="1"/>
    <xf numFmtId="16" fontId="20" fillId="3" borderId="53" xfId="0" applyNumberFormat="1" applyFont="1" applyFill="1" applyBorder="1" applyAlignment="1">
      <alignment horizontal="right"/>
    </xf>
    <xf numFmtId="0" fontId="20" fillId="3" borderId="67" xfId="0" applyFont="1" applyFill="1" applyBorder="1"/>
    <xf numFmtId="0" fontId="20" fillId="30" borderId="67" xfId="0" applyFont="1" applyFill="1" applyBorder="1"/>
    <xf numFmtId="0" fontId="20" fillId="3" borderId="68" xfId="0" applyFont="1" applyFill="1" applyBorder="1"/>
    <xf numFmtId="0" fontId="20" fillId="29" borderId="21" xfId="0" applyFont="1" applyFill="1" applyBorder="1"/>
    <xf numFmtId="16" fontId="20" fillId="29" borderId="54" xfId="0" applyNumberFormat="1" applyFont="1" applyFill="1" applyBorder="1" applyAlignment="1">
      <alignment horizontal="right"/>
    </xf>
    <xf numFmtId="0" fontId="20" fillId="3" borderId="19" xfId="0" applyFont="1" applyFill="1" applyBorder="1"/>
    <xf numFmtId="0" fontId="20" fillId="30" borderId="19" xfId="0" applyFont="1" applyFill="1" applyBorder="1"/>
    <xf numFmtId="0" fontId="20" fillId="3" borderId="49" xfId="0" applyFont="1" applyFill="1" applyBorder="1"/>
    <xf numFmtId="0" fontId="20" fillId="0" borderId="21" xfId="0" applyFont="1" applyBorder="1"/>
    <xf numFmtId="16" fontId="20" fillId="3" borderId="54" xfId="0" applyNumberFormat="1" applyFont="1" applyFill="1" applyBorder="1" applyAlignment="1">
      <alignment horizontal="right"/>
    </xf>
    <xf numFmtId="16" fontId="20" fillId="29" borderId="54" xfId="0" applyNumberFormat="1" applyFont="1" applyFill="1" applyBorder="1" applyAlignment="1">
      <alignment horizontal="right" wrapText="1"/>
    </xf>
    <xf numFmtId="0" fontId="20" fillId="3" borderId="21" xfId="0" applyFont="1" applyFill="1" applyBorder="1"/>
    <xf numFmtId="0" fontId="20" fillId="24" borderId="21" xfId="0" applyFont="1" applyFill="1" applyBorder="1"/>
    <xf numFmtId="16" fontId="20" fillId="24" borderId="54" xfId="0" applyNumberFormat="1" applyFont="1" applyFill="1" applyBorder="1" applyAlignment="1">
      <alignment horizontal="right"/>
    </xf>
    <xf numFmtId="0" fontId="20" fillId="3" borderId="29" xfId="0" applyFont="1" applyFill="1" applyBorder="1"/>
    <xf numFmtId="0" fontId="20" fillId="30" borderId="29" xfId="0" applyFont="1" applyFill="1" applyBorder="1"/>
    <xf numFmtId="0" fontId="20" fillId="3" borderId="30" xfId="0" applyFont="1" applyFill="1" applyBorder="1"/>
    <xf numFmtId="0" fontId="20" fillId="3" borderId="62" xfId="0" applyFont="1" applyFill="1" applyBorder="1"/>
    <xf numFmtId="16" fontId="20" fillId="3" borderId="62" xfId="0" applyNumberFormat="1" applyFont="1" applyFill="1" applyBorder="1" applyAlignment="1">
      <alignment horizontal="right"/>
    </xf>
    <xf numFmtId="0" fontId="20" fillId="3" borderId="42" xfId="0" applyFont="1" applyFill="1" applyBorder="1"/>
    <xf numFmtId="0" fontId="20" fillId="30" borderId="42" xfId="0" applyFont="1" applyFill="1" applyBorder="1"/>
    <xf numFmtId="0" fontId="20" fillId="3" borderId="43" xfId="0" applyFont="1" applyFill="1" applyBorder="1"/>
    <xf numFmtId="0" fontId="20" fillId="8" borderId="47" xfId="0" applyFont="1" applyFill="1" applyBorder="1" applyAlignment="1">
      <alignment vertical="center"/>
    </xf>
    <xf numFmtId="0" fontId="20" fillId="8" borderId="37" xfId="0" applyFont="1" applyFill="1" applyBorder="1" applyAlignment="1">
      <alignment horizontal="left" vertical="center"/>
    </xf>
    <xf numFmtId="0" fontId="24" fillId="3" borderId="18" xfId="0" applyFont="1" applyFill="1" applyBorder="1"/>
    <xf numFmtId="0" fontId="24" fillId="3" borderId="64" xfId="0" applyFont="1" applyFill="1" applyBorder="1"/>
    <xf numFmtId="0" fontId="36" fillId="11" borderId="62" xfId="0" applyFont="1" applyFill="1" applyBorder="1" applyAlignment="1">
      <alignment vertical="top" wrapText="1"/>
    </xf>
    <xf numFmtId="0" fontId="36" fillId="24" borderId="62" xfId="0" applyFont="1" applyFill="1" applyBorder="1" applyAlignment="1">
      <alignment horizontal="left" vertical="top" wrapText="1"/>
    </xf>
    <xf numFmtId="0" fontId="36" fillId="11" borderId="62" xfId="0" applyFont="1" applyFill="1" applyBorder="1" applyAlignment="1">
      <alignment horizontal="left" vertical="top" wrapText="1"/>
    </xf>
    <xf numFmtId="0" fontId="36" fillId="24" borderId="62" xfId="0" applyFont="1" applyFill="1" applyBorder="1" applyAlignment="1">
      <alignment vertical="top" wrapText="1"/>
    </xf>
    <xf numFmtId="0" fontId="37" fillId="11" borderId="61" xfId="0" applyFont="1" applyFill="1" applyBorder="1" applyAlignment="1">
      <alignment horizontal="center" vertical="center"/>
    </xf>
    <xf numFmtId="0" fontId="37" fillId="24" borderId="61" xfId="0" applyFont="1" applyFill="1" applyBorder="1" applyAlignment="1">
      <alignment horizontal="center" vertical="center"/>
    </xf>
    <xf numFmtId="0" fontId="16" fillId="4" borderId="16" xfId="0" applyFont="1" applyFill="1" applyBorder="1" applyAlignment="1">
      <alignment horizontal="center"/>
    </xf>
    <xf numFmtId="164" fontId="13" fillId="28" borderId="16" xfId="0" applyNumberFormat="1" applyFont="1" applyFill="1" applyBorder="1"/>
    <xf numFmtId="0" fontId="10" fillId="0" borderId="16" xfId="1" applyBorder="1" applyAlignment="1"/>
    <xf numFmtId="0" fontId="0" fillId="0" borderId="19" xfId="0" applyBorder="1" applyAlignment="1">
      <alignment horizontal="center"/>
    </xf>
    <xf numFmtId="164" fontId="12" fillId="0" borderId="16" xfId="0" applyNumberFormat="1" applyFont="1" applyBorder="1" applyAlignment="1">
      <alignment horizontal="center"/>
    </xf>
    <xf numFmtId="164" fontId="13" fillId="25" borderId="16" xfId="0" applyNumberFormat="1" applyFont="1" applyFill="1" applyBorder="1" applyAlignment="1">
      <alignment horizontal="right"/>
    </xf>
    <xf numFmtId="0" fontId="15" fillId="0" borderId="16" xfId="0" applyFont="1" applyBorder="1" applyAlignment="1">
      <alignment horizontal="right"/>
    </xf>
    <xf numFmtId="0" fontId="0" fillId="11" borderId="35" xfId="0" applyFill="1" applyBorder="1"/>
    <xf numFmtId="0" fontId="0" fillId="0" borderId="24" xfId="0" applyBorder="1"/>
    <xf numFmtId="0" fontId="0" fillId="3" borderId="1" xfId="0" applyFill="1" applyBorder="1"/>
    <xf numFmtId="0" fontId="35" fillId="0" borderId="0" xfId="0" applyFont="1"/>
    <xf numFmtId="0" fontId="12" fillId="11" borderId="1" xfId="0" applyFont="1" applyFill="1" applyBorder="1"/>
    <xf numFmtId="164" fontId="0" fillId="3" borderId="1" xfId="0" applyNumberFormat="1" applyFill="1" applyBorder="1"/>
    <xf numFmtId="0" fontId="0" fillId="8" borderId="50" xfId="0" applyFill="1" applyBorder="1"/>
    <xf numFmtId="0" fontId="0" fillId="3" borderId="69" xfId="0" applyFill="1" applyBorder="1"/>
    <xf numFmtId="0" fontId="0" fillId="8" borderId="6" xfId="0" applyFill="1" applyBorder="1" applyAlignment="1">
      <alignment horizontal="center" vertical="center"/>
    </xf>
    <xf numFmtId="164" fontId="0" fillId="3" borderId="7" xfId="0" applyNumberFormat="1" applyFill="1" applyBorder="1"/>
    <xf numFmtId="0" fontId="0" fillId="8" borderId="6" xfId="0" applyFill="1" applyBorder="1" applyAlignment="1">
      <alignment horizontal="center" vertical="center" wrapText="1"/>
    </xf>
    <xf numFmtId="0" fontId="0" fillId="8" borderId="8" xfId="0" applyFill="1" applyBorder="1"/>
    <xf numFmtId="0" fontId="10" fillId="3" borderId="16" xfId="1" applyFill="1" applyBorder="1" applyAlignment="1">
      <alignment wrapText="1"/>
    </xf>
    <xf numFmtId="0" fontId="13" fillId="3" borderId="19" xfId="0" applyFont="1" applyFill="1" applyBorder="1"/>
    <xf numFmtId="164" fontId="9" fillId="11" borderId="10" xfId="0" applyNumberFormat="1" applyFont="1" applyFill="1" applyBorder="1"/>
    <xf numFmtId="164" fontId="0" fillId="11" borderId="9" xfId="0" applyNumberFormat="1" applyFill="1" applyBorder="1"/>
    <xf numFmtId="0" fontId="10" fillId="0" borderId="19" xfId="1" applyBorder="1" applyAlignment="1"/>
    <xf numFmtId="0" fontId="0" fillId="8" borderId="52" xfId="0" applyFill="1" applyBorder="1"/>
    <xf numFmtId="164" fontId="0" fillId="0" borderId="17" xfId="0" applyNumberFormat="1" applyBorder="1"/>
    <xf numFmtId="0" fontId="0" fillId="0" borderId="2" xfId="0" applyBorder="1"/>
    <xf numFmtId="0" fontId="0" fillId="0" borderId="20" xfId="0" applyBorder="1"/>
    <xf numFmtId="0" fontId="12" fillId="0" borderId="1" xfId="0" applyFont="1" applyBorder="1" applyAlignment="1">
      <alignment horizontal="left" vertical="center" wrapText="1"/>
    </xf>
    <xf numFmtId="6" fontId="13" fillId="0" borderId="1" xfId="0" applyNumberFormat="1" applyFont="1" applyBorder="1"/>
    <xf numFmtId="165" fontId="0" fillId="0" borderId="1" xfId="0" applyNumberFormat="1" applyBorder="1"/>
    <xf numFmtId="168" fontId="0" fillId="0" borderId="1" xfId="0" applyNumberFormat="1" applyBorder="1"/>
    <xf numFmtId="9" fontId="0" fillId="0" borderId="1" xfId="0" applyNumberFormat="1" applyBorder="1"/>
    <xf numFmtId="169" fontId="0" fillId="0" borderId="1" xfId="0" applyNumberFormat="1" applyBorder="1"/>
    <xf numFmtId="0" fontId="0" fillId="0" borderId="6" xfId="0" applyBorder="1"/>
    <xf numFmtId="0" fontId="0" fillId="0" borderId="8" xfId="0" applyBorder="1"/>
    <xf numFmtId="0" fontId="0" fillId="0" borderId="50" xfId="0" applyBorder="1"/>
    <xf numFmtId="165" fontId="0" fillId="0" borderId="35" xfId="0" applyNumberFormat="1" applyBorder="1"/>
    <xf numFmtId="168" fontId="0" fillId="0" borderId="35" xfId="0" applyNumberFormat="1" applyBorder="1"/>
    <xf numFmtId="9" fontId="0" fillId="0" borderId="35" xfId="0" applyNumberFormat="1" applyBorder="1"/>
    <xf numFmtId="0" fontId="0" fillId="9" borderId="73" xfId="0" applyFill="1" applyBorder="1" applyAlignment="1">
      <alignment horizontal="center" vertical="center"/>
    </xf>
    <xf numFmtId="0" fontId="0" fillId="9" borderId="48" xfId="0" applyFill="1" applyBorder="1" applyAlignment="1">
      <alignment horizontal="center" vertical="center" wrapText="1"/>
    </xf>
    <xf numFmtId="0" fontId="0" fillId="9" borderId="48" xfId="0" applyFill="1" applyBorder="1" applyAlignment="1">
      <alignment horizontal="center" vertical="center"/>
    </xf>
    <xf numFmtId="0" fontId="0" fillId="9" borderId="51" xfId="0" applyFill="1" applyBorder="1" applyAlignment="1">
      <alignment horizontal="center" vertical="center" wrapText="1"/>
    </xf>
    <xf numFmtId="0" fontId="0" fillId="11" borderId="6" xfId="0" applyFill="1" applyBorder="1"/>
    <xf numFmtId="165" fontId="0" fillId="11" borderId="1" xfId="0" applyNumberFormat="1" applyFill="1" applyBorder="1"/>
    <xf numFmtId="168" fontId="0" fillId="11" borderId="1" xfId="0" applyNumberFormat="1" applyFill="1" applyBorder="1"/>
    <xf numFmtId="9" fontId="0" fillId="11" borderId="1" xfId="0" applyNumberFormat="1" applyFill="1" applyBorder="1"/>
    <xf numFmtId="1" fontId="0" fillId="11" borderId="1" xfId="0" applyNumberFormat="1" applyFill="1" applyBorder="1"/>
    <xf numFmtId="169" fontId="0" fillId="11" borderId="1" xfId="0" applyNumberFormat="1" applyFill="1" applyBorder="1"/>
    <xf numFmtId="0" fontId="0" fillId="0" borderId="53" xfId="0" applyBorder="1"/>
    <xf numFmtId="0" fontId="0" fillId="11" borderId="54" xfId="0" applyFill="1" applyBorder="1"/>
    <xf numFmtId="0" fontId="0" fillId="0" borderId="62" xfId="0" applyBorder="1"/>
    <xf numFmtId="0" fontId="0" fillId="0" borderId="54" xfId="0" applyBorder="1"/>
    <xf numFmtId="165" fontId="0" fillId="11" borderId="1" xfId="0" applyNumberFormat="1" applyFill="1" applyBorder="1" applyAlignment="1">
      <alignment horizontal="right"/>
    </xf>
    <xf numFmtId="0" fontId="0" fillId="11" borderId="53" xfId="0" applyFill="1" applyBorder="1"/>
    <xf numFmtId="0" fontId="0" fillId="8" borderId="61" xfId="0" applyFill="1" applyBorder="1"/>
    <xf numFmtId="0" fontId="0" fillId="0" borderId="9" xfId="0" applyBorder="1" applyAlignment="1">
      <alignment horizontal="right"/>
    </xf>
    <xf numFmtId="2" fontId="0" fillId="0" borderId="9" xfId="0" applyNumberFormat="1" applyBorder="1"/>
    <xf numFmtId="3" fontId="0" fillId="0" borderId="35" xfId="0" applyNumberFormat="1" applyBorder="1"/>
    <xf numFmtId="3" fontId="0" fillId="11" borderId="1" xfId="0" applyNumberFormat="1" applyFill="1" applyBorder="1"/>
    <xf numFmtId="3" fontId="0" fillId="0" borderId="1" xfId="0" applyNumberFormat="1" applyBorder="1"/>
    <xf numFmtId="0" fontId="13" fillId="0" borderId="0" xfId="0" applyFont="1"/>
    <xf numFmtId="0" fontId="16" fillId="0" borderId="1" xfId="0" applyFont="1" applyBorder="1"/>
    <xf numFmtId="0" fontId="0" fillId="11" borderId="69" xfId="0" applyFill="1" applyBorder="1"/>
    <xf numFmtId="164" fontId="0" fillId="0" borderId="10" xfId="0" applyNumberFormat="1" applyBorder="1"/>
    <xf numFmtId="165" fontId="0" fillId="0" borderId="74" xfId="0" applyNumberFormat="1" applyBorder="1"/>
    <xf numFmtId="165" fontId="0" fillId="0" borderId="53" xfId="0" applyNumberFormat="1" applyBorder="1"/>
    <xf numFmtId="165" fontId="0" fillId="11" borderId="54" xfId="0" applyNumberFormat="1" applyFill="1" applyBorder="1"/>
    <xf numFmtId="168" fontId="0" fillId="0" borderId="74" xfId="0" applyNumberFormat="1" applyBorder="1"/>
    <xf numFmtId="164" fontId="0" fillId="0" borderId="62" xfId="0" applyNumberFormat="1" applyBorder="1"/>
    <xf numFmtId="2" fontId="0" fillId="3" borderId="54" xfId="0" applyNumberFormat="1" applyFill="1" applyBorder="1"/>
    <xf numFmtId="0" fontId="0" fillId="3" borderId="62" xfId="0" applyFill="1" applyBorder="1"/>
    <xf numFmtId="164" fontId="0" fillId="0" borderId="53" xfId="0" applyNumberFormat="1" applyBorder="1"/>
    <xf numFmtId="164" fontId="0" fillId="0" borderId="5" xfId="0" applyNumberFormat="1" applyBorder="1"/>
    <xf numFmtId="164" fontId="0" fillId="11" borderId="54" xfId="0" applyNumberFormat="1" applyFill="1" applyBorder="1"/>
    <xf numFmtId="164" fontId="0" fillId="11" borderId="24" xfId="0" applyNumberFormat="1" applyFill="1" applyBorder="1"/>
    <xf numFmtId="164" fontId="0" fillId="0" borderId="27" xfId="0" applyNumberFormat="1" applyBorder="1"/>
    <xf numFmtId="164" fontId="0" fillId="11" borderId="53" xfId="0" applyNumberFormat="1" applyFill="1" applyBorder="1"/>
    <xf numFmtId="164" fontId="0" fillId="11" borderId="5" xfId="0" applyNumberFormat="1" applyFill="1" applyBorder="1"/>
    <xf numFmtId="164" fontId="0" fillId="0" borderId="54" xfId="0" applyNumberFormat="1" applyBorder="1"/>
    <xf numFmtId="164" fontId="0" fillId="0" borderId="24" xfId="0" applyNumberFormat="1" applyBorder="1"/>
    <xf numFmtId="0" fontId="0" fillId="11" borderId="3" xfId="0" applyFill="1" applyBorder="1"/>
    <xf numFmtId="168" fontId="0" fillId="0" borderId="54" xfId="0" applyNumberFormat="1" applyBorder="1"/>
    <xf numFmtId="0" fontId="47" fillId="8" borderId="3" xfId="0" applyFont="1" applyFill="1" applyBorder="1"/>
    <xf numFmtId="0" fontId="47" fillId="8" borderId="4" xfId="0" applyFont="1" applyFill="1" applyBorder="1"/>
    <xf numFmtId="0" fontId="22" fillId="8" borderId="4" xfId="0" applyFont="1" applyFill="1" applyBorder="1"/>
    <xf numFmtId="0" fontId="0" fillId="8" borderId="4" xfId="0" applyFill="1" applyBorder="1"/>
    <xf numFmtId="0" fontId="0" fillId="8" borderId="5" xfId="0" applyFill="1" applyBorder="1"/>
    <xf numFmtId="6" fontId="0" fillId="0" borderId="70" xfId="0" applyNumberFormat="1" applyBorder="1"/>
    <xf numFmtId="170" fontId="13" fillId="0" borderId="0" xfId="0" applyNumberFormat="1" applyFont="1"/>
    <xf numFmtId="1" fontId="0" fillId="0" borderId="74" xfId="0" applyNumberFormat="1" applyBorder="1"/>
    <xf numFmtId="0" fontId="0" fillId="9" borderId="61" xfId="0" applyFill="1" applyBorder="1" applyAlignment="1">
      <alignment horizontal="center" vertical="center"/>
    </xf>
    <xf numFmtId="0" fontId="0" fillId="9" borderId="46" xfId="0" applyFill="1" applyBorder="1" applyAlignment="1">
      <alignment horizontal="center" vertical="center"/>
    </xf>
    <xf numFmtId="0" fontId="0" fillId="0" borderId="23" xfId="0" applyBorder="1" applyAlignment="1">
      <alignment vertical="center" wrapText="1"/>
    </xf>
    <xf numFmtId="3" fontId="0" fillId="11" borderId="24" xfId="0" applyNumberFormat="1" applyFill="1" applyBorder="1"/>
    <xf numFmtId="0" fontId="0" fillId="11" borderId="31" xfId="0" applyFill="1" applyBorder="1"/>
    <xf numFmtId="3" fontId="0" fillId="11" borderId="33" xfId="0" applyNumberFormat="1" applyFill="1" applyBorder="1"/>
    <xf numFmtId="0" fontId="0" fillId="11" borderId="28" xfId="0" applyFill="1" applyBorder="1"/>
    <xf numFmtId="0" fontId="0" fillId="11" borderId="30" xfId="0" applyFill="1" applyBorder="1"/>
    <xf numFmtId="0" fontId="0" fillId="11" borderId="33" xfId="0" applyFill="1" applyBorder="1"/>
    <xf numFmtId="0" fontId="0" fillId="11" borderId="41" xfId="0" applyFill="1" applyBorder="1"/>
    <xf numFmtId="0" fontId="0" fillId="0" borderId="78" xfId="0" applyBorder="1" applyAlignment="1">
      <alignment vertical="center" wrapText="1"/>
    </xf>
    <xf numFmtId="0" fontId="49" fillId="11" borderId="36" xfId="0" applyFont="1" applyFill="1" applyBorder="1" applyAlignment="1">
      <alignment horizontal="center"/>
    </xf>
    <xf numFmtId="0" fontId="0" fillId="11" borderId="36" xfId="0" applyFill="1" applyBorder="1" applyAlignment="1">
      <alignment horizontal="center"/>
    </xf>
    <xf numFmtId="0" fontId="0" fillId="0" borderId="36" xfId="0" applyBorder="1"/>
    <xf numFmtId="3" fontId="49" fillId="11" borderId="2" xfId="0" applyNumberFormat="1" applyFont="1" applyFill="1" applyBorder="1" applyAlignment="1">
      <alignment horizontal="center"/>
    </xf>
    <xf numFmtId="0" fontId="0" fillId="11" borderId="35" xfId="0" applyFill="1" applyBorder="1" applyAlignment="1">
      <alignment horizontal="center"/>
    </xf>
    <xf numFmtId="0" fontId="49" fillId="11" borderId="2" xfId="0" applyFont="1" applyFill="1" applyBorder="1" applyAlignment="1">
      <alignment horizontal="center"/>
    </xf>
    <xf numFmtId="0" fontId="36" fillId="11" borderId="9" xfId="0" applyFont="1" applyFill="1" applyBorder="1" applyAlignment="1">
      <alignment horizontal="center"/>
    </xf>
    <xf numFmtId="0" fontId="22" fillId="8" borderId="44" xfId="0" applyFont="1" applyFill="1" applyBorder="1"/>
    <xf numFmtId="14" fontId="12" fillId="11" borderId="1" xfId="0" applyNumberFormat="1" applyFont="1" applyFill="1" applyBorder="1" applyAlignment="1">
      <alignment horizontal="center" vertical="center" wrapText="1"/>
    </xf>
    <xf numFmtId="14" fontId="12" fillId="11" borderId="1" xfId="0" applyNumberFormat="1" applyFont="1" applyFill="1" applyBorder="1" applyAlignment="1">
      <alignment vertical="center" wrapText="1"/>
    </xf>
    <xf numFmtId="0" fontId="12" fillId="11" borderId="1" xfId="0" applyFont="1" applyFill="1" applyBorder="1" applyAlignment="1">
      <alignment horizontal="center" vertical="center" wrapText="1"/>
    </xf>
    <xf numFmtId="0" fontId="12" fillId="11" borderId="1" xfId="0" applyFont="1" applyFill="1" applyBorder="1" applyAlignment="1">
      <alignment vertical="center" wrapText="1"/>
    </xf>
    <xf numFmtId="164" fontId="12" fillId="26" borderId="1" xfId="0" applyNumberFormat="1" applyFont="1" applyFill="1" applyBorder="1" applyAlignment="1">
      <alignment horizontal="center" vertical="center" wrapText="1"/>
    </xf>
    <xf numFmtId="14" fontId="12" fillId="26" borderId="1" xfId="0" applyNumberFormat="1" applyFont="1" applyFill="1" applyBorder="1" applyAlignment="1">
      <alignment vertical="center" wrapText="1"/>
    </xf>
    <xf numFmtId="0" fontId="12" fillId="26" borderId="1" xfId="0" applyFont="1" applyFill="1" applyBorder="1" applyAlignment="1">
      <alignment vertical="center" wrapText="1"/>
    </xf>
    <xf numFmtId="164" fontId="12" fillId="0" borderId="1" xfId="0" applyNumberFormat="1" applyFont="1" applyBorder="1" applyAlignment="1">
      <alignment horizontal="center" vertical="center" wrapText="1"/>
    </xf>
    <xf numFmtId="14" fontId="12" fillId="0" borderId="1" xfId="0" applyNumberFormat="1" applyFont="1" applyBorder="1" applyAlignment="1">
      <alignment vertical="center" wrapText="1"/>
    </xf>
    <xf numFmtId="0" fontId="12" fillId="0" borderId="1" xfId="0" applyFont="1" applyBorder="1" applyAlignment="1">
      <alignment vertical="center" wrapText="1"/>
    </xf>
    <xf numFmtId="0" fontId="52"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14" fontId="12" fillId="5" borderId="1" xfId="0" applyNumberFormat="1" applyFont="1" applyFill="1" applyBorder="1" applyAlignment="1">
      <alignment horizontal="center" vertical="center" wrapText="1"/>
    </xf>
    <xf numFmtId="164" fontId="12" fillId="5" borderId="1" xfId="0" applyNumberFormat="1" applyFont="1" applyFill="1" applyBorder="1" applyAlignment="1">
      <alignment horizontal="center" vertical="center" wrapText="1"/>
    </xf>
    <xf numFmtId="0" fontId="12" fillId="5" borderId="1" xfId="0" applyFont="1" applyFill="1" applyBorder="1" applyAlignment="1">
      <alignment vertical="center" wrapText="1"/>
    </xf>
    <xf numFmtId="0" fontId="18" fillId="26" borderId="1" xfId="0" applyFont="1" applyFill="1" applyBorder="1" applyAlignment="1">
      <alignment vertical="center" wrapText="1"/>
    </xf>
    <xf numFmtId="14" fontId="18" fillId="26" borderId="1" xfId="0" applyNumberFormat="1" applyFont="1" applyFill="1" applyBorder="1" applyAlignment="1">
      <alignment vertical="center" wrapText="1"/>
    </xf>
    <xf numFmtId="164" fontId="49" fillId="11" borderId="1" xfId="0" applyNumberFormat="1" applyFont="1" applyFill="1" applyBorder="1" applyAlignment="1">
      <alignment horizontal="center" vertical="center"/>
    </xf>
    <xf numFmtId="0" fontId="0" fillId="11" borderId="50" xfId="0" applyFill="1" applyBorder="1"/>
    <xf numFmtId="3" fontId="0" fillId="11" borderId="35" xfId="0" applyNumberFormat="1" applyFill="1" applyBorder="1"/>
    <xf numFmtId="10" fontId="0" fillId="11" borderId="35" xfId="0" applyNumberFormat="1" applyFill="1" applyBorder="1"/>
    <xf numFmtId="0" fontId="0" fillId="11" borderId="69" xfId="0" applyFill="1" applyBorder="1" applyAlignment="1">
      <alignment horizontal="center"/>
    </xf>
    <xf numFmtId="10" fontId="0" fillId="11" borderId="1" xfId="0" applyNumberFormat="1" applyFill="1" applyBorder="1"/>
    <xf numFmtId="0" fontId="0" fillId="11" borderId="7" xfId="0" applyFill="1" applyBorder="1" applyAlignment="1">
      <alignment horizontal="center"/>
    </xf>
    <xf numFmtId="0" fontId="0" fillId="35" borderId="6" xfId="0" applyFill="1" applyBorder="1"/>
    <xf numFmtId="3" fontId="0" fillId="35" borderId="1" xfId="0" applyNumberFormat="1" applyFill="1" applyBorder="1"/>
    <xf numFmtId="0" fontId="0" fillId="35" borderId="1" xfId="0" applyFill="1" applyBorder="1"/>
    <xf numFmtId="10" fontId="0" fillId="35" borderId="1" xfId="0" applyNumberFormat="1" applyFill="1" applyBorder="1"/>
    <xf numFmtId="0" fontId="0" fillId="35" borderId="7" xfId="0" applyFill="1" applyBorder="1" applyAlignment="1">
      <alignment horizontal="center"/>
    </xf>
    <xf numFmtId="0" fontId="0" fillId="35" borderId="8" xfId="0" applyFill="1" applyBorder="1" applyAlignment="1">
      <alignment horizontal="left" wrapText="1"/>
    </xf>
    <xf numFmtId="3" fontId="0" fillId="35" borderId="9" xfId="0" applyNumberFormat="1" applyFill="1" applyBorder="1" applyAlignment="1">
      <alignment horizontal="right" vertical="center"/>
    </xf>
    <xf numFmtId="0" fontId="36" fillId="35" borderId="9" xfId="0" applyFont="1" applyFill="1" applyBorder="1" applyAlignment="1">
      <alignment vertical="center"/>
    </xf>
    <xf numFmtId="10" fontId="36" fillId="35" borderId="9" xfId="0" applyNumberFormat="1" applyFont="1" applyFill="1" applyBorder="1"/>
    <xf numFmtId="0" fontId="0" fillId="35" borderId="10" xfId="0" applyFill="1" applyBorder="1" applyAlignment="1">
      <alignment horizontal="center"/>
    </xf>
    <xf numFmtId="165" fontId="0" fillId="0" borderId="0" xfId="0" applyNumberFormat="1"/>
    <xf numFmtId="1" fontId="0" fillId="0" borderId="0" xfId="0" applyNumberFormat="1"/>
    <xf numFmtId="168" fontId="0" fillId="0" borderId="0" xfId="0" applyNumberFormat="1"/>
    <xf numFmtId="2" fontId="0" fillId="0" borderId="0" xfId="0" applyNumberFormat="1"/>
    <xf numFmtId="0" fontId="0" fillId="0" borderId="0" xfId="0" applyAlignment="1">
      <alignment horizontal="right"/>
    </xf>
    <xf numFmtId="164" fontId="0" fillId="0" borderId="0" xfId="0" applyNumberFormat="1"/>
    <xf numFmtId="0" fontId="38" fillId="0" borderId="61" xfId="0" applyFont="1" applyBorder="1" applyAlignment="1">
      <alignment horizontal="center" vertical="center"/>
    </xf>
    <xf numFmtId="0" fontId="38" fillId="0" borderId="61" xfId="0" applyFont="1" applyBorder="1" applyAlignment="1">
      <alignment horizontal="center"/>
    </xf>
    <xf numFmtId="0" fontId="38" fillId="0" borderId="61" xfId="0" applyFont="1" applyBorder="1" applyAlignment="1">
      <alignment horizontal="center" vertical="center" wrapText="1"/>
    </xf>
    <xf numFmtId="164" fontId="0" fillId="9" borderId="62" xfId="0" applyNumberFormat="1" applyFill="1" applyBorder="1"/>
    <xf numFmtId="3" fontId="0" fillId="3" borderId="62" xfId="0" applyNumberFormat="1" applyFill="1" applyBorder="1"/>
    <xf numFmtId="165" fontId="0" fillId="0" borderId="54" xfId="0" applyNumberFormat="1" applyBorder="1"/>
    <xf numFmtId="165" fontId="0" fillId="0" borderId="62" xfId="0" applyNumberFormat="1" applyBorder="1"/>
    <xf numFmtId="165" fontId="0" fillId="9" borderId="61" xfId="0" applyNumberFormat="1" applyFill="1" applyBorder="1" applyAlignment="1">
      <alignment horizontal="center"/>
    </xf>
    <xf numFmtId="165" fontId="0" fillId="11" borderId="53" xfId="0" applyNumberFormat="1" applyFill="1" applyBorder="1"/>
    <xf numFmtId="164" fontId="0" fillId="9" borderId="27" xfId="0" applyNumberFormat="1" applyFill="1" applyBorder="1"/>
    <xf numFmtId="165" fontId="0" fillId="0" borderId="23" xfId="0" applyNumberFormat="1" applyBorder="1"/>
    <xf numFmtId="165" fontId="0" fillId="0" borderId="0" xfId="0" applyNumberFormat="1" applyAlignment="1">
      <alignment horizontal="center"/>
    </xf>
    <xf numFmtId="165" fontId="0" fillId="0" borderId="23" xfId="0" applyNumberFormat="1" applyBorder="1" applyAlignment="1">
      <alignment horizontal="center"/>
    </xf>
    <xf numFmtId="165" fontId="0" fillId="9" borderId="62" xfId="0" applyNumberFormat="1" applyFill="1" applyBorder="1"/>
    <xf numFmtId="164" fontId="0" fillId="3" borderId="62" xfId="0" applyNumberFormat="1" applyFill="1" applyBorder="1"/>
    <xf numFmtId="165" fontId="0" fillId="3" borderId="62" xfId="0" applyNumberFormat="1" applyFill="1" applyBorder="1"/>
    <xf numFmtId="165" fontId="38" fillId="0" borderId="61" xfId="0" applyNumberFormat="1" applyFont="1" applyBorder="1" applyAlignment="1">
      <alignment horizontal="center"/>
    </xf>
    <xf numFmtId="3" fontId="0" fillId="11" borderId="35" xfId="0" applyNumberFormat="1" applyFill="1" applyBorder="1" applyAlignment="1">
      <alignment horizontal="center"/>
    </xf>
    <xf numFmtId="0" fontId="0" fillId="11" borderId="38" xfId="0" applyFill="1" applyBorder="1" applyAlignment="1">
      <alignment horizontal="center" vertical="center"/>
    </xf>
    <xf numFmtId="0" fontId="0" fillId="11" borderId="38" xfId="0" applyFill="1" applyBorder="1" applyAlignment="1">
      <alignment horizontal="center"/>
    </xf>
    <xf numFmtId="3" fontId="49" fillId="11" borderId="18" xfId="0" applyNumberFormat="1" applyFont="1" applyFill="1" applyBorder="1" applyAlignment="1">
      <alignment horizontal="center"/>
    </xf>
    <xf numFmtId="0" fontId="49" fillId="11" borderId="18" xfId="0" applyFont="1" applyFill="1" applyBorder="1" applyAlignment="1">
      <alignment horizontal="center"/>
    </xf>
    <xf numFmtId="0" fontId="0" fillId="3" borderId="36" xfId="0" applyFill="1" applyBorder="1" applyAlignment="1">
      <alignment horizontal="center"/>
    </xf>
    <xf numFmtId="3" fontId="0" fillId="11" borderId="24" xfId="0" applyNumberFormat="1" applyFill="1" applyBorder="1" applyAlignment="1">
      <alignment horizontal="right"/>
    </xf>
    <xf numFmtId="0" fontId="0" fillId="3" borderId="37" xfId="0" applyFill="1" applyBorder="1" applyAlignment="1">
      <alignment horizontal="center"/>
    </xf>
    <xf numFmtId="3" fontId="0" fillId="3" borderId="36" xfId="0" applyNumberFormat="1" applyFill="1" applyBorder="1" applyAlignment="1">
      <alignment horizontal="center"/>
    </xf>
    <xf numFmtId="0" fontId="0" fillId="3" borderId="22" xfId="0" applyFill="1" applyBorder="1" applyAlignment="1">
      <alignment horizontal="center"/>
    </xf>
    <xf numFmtId="0" fontId="0" fillId="3" borderId="9" xfId="0" applyFill="1" applyBorder="1" applyAlignment="1">
      <alignment horizontal="center"/>
    </xf>
    <xf numFmtId="0" fontId="0" fillId="0" borderId="16" xfId="0" applyBorder="1" applyAlignment="1">
      <alignment wrapText="1"/>
    </xf>
    <xf numFmtId="0" fontId="0" fillId="11" borderId="16" xfId="0" applyFill="1" applyBorder="1" applyAlignment="1">
      <alignment wrapText="1"/>
    </xf>
    <xf numFmtId="0" fontId="12" fillId="0" borderId="16" xfId="0" applyFont="1" applyBorder="1" applyAlignment="1">
      <alignment horizontal="left" vertical="center" wrapText="1"/>
    </xf>
    <xf numFmtId="0" fontId="0" fillId="11" borderId="16" xfId="0" applyFill="1" applyBorder="1" applyAlignment="1">
      <alignment horizontal="center" vertical="center" wrapText="1"/>
    </xf>
    <xf numFmtId="0" fontId="0" fillId="0" borderId="16" xfId="0" applyBorder="1" applyAlignment="1">
      <alignment horizontal="center" vertical="center" wrapText="1"/>
    </xf>
    <xf numFmtId="0" fontId="0" fillId="11" borderId="16" xfId="0" applyFill="1" applyBorder="1" applyAlignment="1">
      <alignment horizontal="center" vertical="center"/>
    </xf>
    <xf numFmtId="0" fontId="18" fillId="26" borderId="16" xfId="0" applyFont="1" applyFill="1" applyBorder="1" applyAlignment="1">
      <alignment vertical="center" wrapText="1"/>
    </xf>
    <xf numFmtId="0" fontId="12" fillId="0" borderId="11" xfId="0" applyFont="1" applyBorder="1" applyAlignment="1">
      <alignment horizontal="center" vertical="center" wrapText="1"/>
    </xf>
    <xf numFmtId="0" fontId="12" fillId="26" borderId="11" xfId="0" applyFont="1" applyFill="1" applyBorder="1" applyAlignment="1">
      <alignment horizontal="center" vertical="center" wrapText="1"/>
    </xf>
    <xf numFmtId="0" fontId="0" fillId="0" borderId="11" xfId="0" applyBorder="1" applyAlignment="1">
      <alignment horizontal="center" vertical="center"/>
    </xf>
    <xf numFmtId="0" fontId="0" fillId="11" borderId="11" xfId="0" applyFill="1" applyBorder="1" applyAlignment="1">
      <alignment horizontal="center" vertical="center"/>
    </xf>
    <xf numFmtId="0" fontId="12" fillId="5" borderId="11" xfId="0" applyFont="1" applyFill="1" applyBorder="1" applyAlignment="1">
      <alignment horizontal="center" vertical="center" wrapText="1"/>
    </xf>
    <xf numFmtId="0" fontId="18" fillId="26" borderId="11" xfId="0" applyFont="1" applyFill="1" applyBorder="1" applyAlignment="1">
      <alignment vertical="center" wrapText="1"/>
    </xf>
    <xf numFmtId="0" fontId="18" fillId="26" borderId="1" xfId="0" applyFont="1" applyFill="1" applyBorder="1" applyAlignment="1">
      <alignment horizontal="center" vertical="center" wrapText="1"/>
    </xf>
    <xf numFmtId="3" fontId="0" fillId="11" borderId="1" xfId="0" applyNumberFormat="1" applyFill="1" applyBorder="1" applyAlignment="1">
      <alignment horizontal="center" vertical="center"/>
    </xf>
    <xf numFmtId="0" fontId="0" fillId="3" borderId="1" xfId="0" applyFill="1" applyBorder="1" applyAlignment="1">
      <alignment horizontal="center" vertical="center"/>
    </xf>
    <xf numFmtId="3" fontId="0" fillId="0" borderId="0" xfId="0" applyNumberFormat="1"/>
    <xf numFmtId="0" fontId="0" fillId="0" borderId="0" xfId="0" applyAlignment="1">
      <alignment horizontal="left" wrapText="1"/>
    </xf>
    <xf numFmtId="3" fontId="0" fillId="0" borderId="0" xfId="0" applyNumberFormat="1" applyAlignment="1">
      <alignment horizontal="right" vertical="center"/>
    </xf>
    <xf numFmtId="0" fontId="0" fillId="0" borderId="0" xfId="0" applyAlignment="1">
      <alignment horizontal="right" vertical="center"/>
    </xf>
    <xf numFmtId="0" fontId="36" fillId="0" borderId="0" xfId="0" applyFont="1" applyAlignment="1">
      <alignment vertical="center"/>
    </xf>
    <xf numFmtId="10" fontId="36" fillId="0" borderId="0" xfId="0" applyNumberFormat="1" applyFont="1"/>
    <xf numFmtId="6" fontId="13" fillId="11" borderId="1" xfId="0" applyNumberFormat="1" applyFont="1" applyFill="1" applyBorder="1"/>
    <xf numFmtId="0" fontId="15" fillId="45" borderId="1" xfId="0" applyFont="1" applyFill="1" applyBorder="1"/>
    <xf numFmtId="6" fontId="13" fillId="45" borderId="1" xfId="0" applyNumberFormat="1" applyFont="1" applyFill="1" applyBorder="1"/>
    <xf numFmtId="0" fontId="13" fillId="26" borderId="36" xfId="0" applyFont="1" applyFill="1" applyBorder="1" applyAlignment="1">
      <alignment vertical="center" wrapText="1"/>
    </xf>
    <xf numFmtId="14" fontId="13" fillId="26" borderId="36" xfId="0" applyNumberFormat="1" applyFont="1" applyFill="1" applyBorder="1" applyAlignment="1">
      <alignment vertical="center" wrapText="1"/>
    </xf>
    <xf numFmtId="164" fontId="13" fillId="26" borderId="36" xfId="0" applyNumberFormat="1" applyFont="1" applyFill="1" applyBorder="1" applyAlignment="1">
      <alignment horizontal="center" wrapText="1"/>
    </xf>
    <xf numFmtId="0" fontId="17" fillId="46" borderId="16" xfId="0" applyFont="1" applyFill="1" applyBorder="1"/>
    <xf numFmtId="0" fontId="17" fillId="46" borderId="19" xfId="0" applyFont="1" applyFill="1" applyBorder="1"/>
    <xf numFmtId="0" fontId="41" fillId="11" borderId="61" xfId="14" applyFont="1" applyFill="1" applyBorder="1"/>
    <xf numFmtId="0" fontId="42" fillId="11" borderId="15" xfId="14" applyFont="1" applyFill="1" applyBorder="1"/>
    <xf numFmtId="0" fontId="42" fillId="11" borderId="13" xfId="14" applyFont="1" applyFill="1" applyBorder="1"/>
    <xf numFmtId="0" fontId="41" fillId="11" borderId="72" xfId="14" applyFont="1" applyFill="1" applyBorder="1"/>
    <xf numFmtId="0" fontId="41" fillId="11" borderId="13" xfId="14" applyFont="1" applyFill="1" applyBorder="1"/>
    <xf numFmtId="0" fontId="41" fillId="11" borderId="67" xfId="14" applyFont="1" applyFill="1" applyBorder="1" applyAlignment="1">
      <alignment horizontal="center"/>
    </xf>
    <xf numFmtId="0" fontId="42" fillId="11" borderId="14" xfId="14" applyFont="1" applyFill="1" applyBorder="1"/>
    <xf numFmtId="0" fontId="42" fillId="8" borderId="3" xfId="14" applyFont="1" applyFill="1" applyBorder="1"/>
    <xf numFmtId="0" fontId="43" fillId="8" borderId="3" xfId="14" applyFont="1" applyFill="1" applyBorder="1" applyAlignment="1">
      <alignment horizontal="center" vertical="center"/>
    </xf>
    <xf numFmtId="0" fontId="41" fillId="8" borderId="4" xfId="14" applyFont="1" applyFill="1" applyBorder="1" applyAlignment="1">
      <alignment horizontal="center" vertical="center"/>
    </xf>
    <xf numFmtId="0" fontId="41" fillId="8" borderId="53" xfId="14" applyFont="1" applyFill="1" applyBorder="1" applyAlignment="1">
      <alignment horizontal="center" vertical="center"/>
    </xf>
    <xf numFmtId="171" fontId="0" fillId="11" borderId="33" xfId="0" applyNumberFormat="1" applyFill="1" applyBorder="1" applyAlignment="1">
      <alignment horizontal="right"/>
    </xf>
    <xf numFmtId="3" fontId="0" fillId="11" borderId="33" xfId="0" applyNumberFormat="1" applyFill="1" applyBorder="1" applyAlignment="1">
      <alignment horizontal="right"/>
    </xf>
    <xf numFmtId="1" fontId="0" fillId="11" borderId="33" xfId="0" applyNumberFormat="1" applyFill="1" applyBorder="1" applyAlignment="1">
      <alignment horizontal="right"/>
    </xf>
    <xf numFmtId="1" fontId="0" fillId="11" borderId="33" xfId="0" applyNumberFormat="1" applyFill="1" applyBorder="1"/>
    <xf numFmtId="0" fontId="12" fillId="26" borderId="36" xfId="0" applyFont="1" applyFill="1" applyBorder="1" applyAlignment="1">
      <alignment horizontal="center" vertical="center" wrapText="1"/>
    </xf>
    <xf numFmtId="0" fontId="13" fillId="26" borderId="39" xfId="0" applyFont="1" applyFill="1" applyBorder="1"/>
    <xf numFmtId="0" fontId="10" fillId="0" borderId="16" xfId="1" applyBorder="1" applyAlignment="1">
      <alignment horizontal="left" vertical="center"/>
    </xf>
    <xf numFmtId="0" fontId="10" fillId="26" borderId="16" xfId="1" applyFill="1" applyBorder="1" applyAlignment="1">
      <alignment horizontal="left" vertical="center" wrapText="1"/>
    </xf>
    <xf numFmtId="0" fontId="10" fillId="11" borderId="16" xfId="1" applyFill="1" applyBorder="1" applyAlignment="1">
      <alignment horizontal="left" vertical="center"/>
    </xf>
    <xf numFmtId="0" fontId="12" fillId="0" borderId="2" xfId="0" applyFont="1" applyBorder="1" applyAlignment="1">
      <alignment vertical="center" wrapText="1"/>
    </xf>
    <xf numFmtId="0" fontId="12" fillId="0" borderId="35" xfId="0" applyFont="1" applyBorder="1" applyAlignment="1">
      <alignment vertical="center" wrapText="1"/>
    </xf>
    <xf numFmtId="0" fontId="0" fillId="47" borderId="1" xfId="0" applyFill="1" applyBorder="1"/>
    <xf numFmtId="0" fontId="53" fillId="46" borderId="35" xfId="0" applyFont="1" applyFill="1" applyBorder="1"/>
    <xf numFmtId="0" fontId="0" fillId="47" borderId="35" xfId="0" applyFill="1" applyBorder="1"/>
    <xf numFmtId="0" fontId="0" fillId="47" borderId="2" xfId="0" applyFill="1" applyBorder="1"/>
    <xf numFmtId="3" fontId="11" fillId="11" borderId="43" xfId="0" applyNumberFormat="1" applyFont="1" applyFill="1" applyBorder="1" applyAlignment="1">
      <alignment horizontal="right" vertical="center"/>
    </xf>
    <xf numFmtId="1" fontId="0" fillId="11" borderId="24" xfId="0" applyNumberFormat="1" applyFill="1" applyBorder="1"/>
    <xf numFmtId="1" fontId="0" fillId="11" borderId="20" xfId="0" applyNumberFormat="1" applyFill="1" applyBorder="1"/>
    <xf numFmtId="1" fontId="0" fillId="11" borderId="20" xfId="0" applyNumberFormat="1" applyFill="1" applyBorder="1" applyAlignment="1">
      <alignment horizontal="right"/>
    </xf>
    <xf numFmtId="3" fontId="0" fillId="11" borderId="38" xfId="0" applyNumberFormat="1" applyFill="1" applyBorder="1" applyAlignment="1">
      <alignment horizontal="center" vertical="center"/>
    </xf>
    <xf numFmtId="0" fontId="0" fillId="3" borderId="44" xfId="0" applyFill="1" applyBorder="1"/>
    <xf numFmtId="0" fontId="0" fillId="3" borderId="45" xfId="0" applyFill="1" applyBorder="1"/>
    <xf numFmtId="0" fontId="21" fillId="0" borderId="0" xfId="0" applyFont="1"/>
    <xf numFmtId="0" fontId="27" fillId="9" borderId="1" xfId="2" applyFill="1" applyBorder="1" applyAlignment="1">
      <alignment horizontal="center" vertical="center"/>
    </xf>
    <xf numFmtId="0" fontId="27" fillId="0" borderId="0" xfId="2" applyFill="1" applyBorder="1" applyAlignment="1">
      <alignment horizontal="center" vertical="center"/>
    </xf>
    <xf numFmtId="0" fontId="0" fillId="0" borderId="0" xfId="9" applyFont="1" applyFill="1" applyBorder="1" applyAlignment="1"/>
    <xf numFmtId="0" fontId="0" fillId="11" borderId="62" xfId="0" applyFill="1" applyBorder="1" applyAlignment="1">
      <alignment horizontal="center" vertical="center" wrapText="1"/>
    </xf>
    <xf numFmtId="0" fontId="35" fillId="8" borderId="44" xfId="0" applyFont="1" applyFill="1" applyBorder="1"/>
    <xf numFmtId="0" fontId="35" fillId="8" borderId="45" xfId="0" applyFont="1" applyFill="1" applyBorder="1"/>
    <xf numFmtId="0" fontId="35" fillId="8" borderId="46" xfId="0" applyFont="1" applyFill="1" applyBorder="1"/>
    <xf numFmtId="0" fontId="0" fillId="11" borderId="4" xfId="0" applyFill="1" applyBorder="1"/>
    <xf numFmtId="0" fontId="0" fillId="11" borderId="5" xfId="0" applyFill="1" applyBorder="1"/>
    <xf numFmtId="166" fontId="0" fillId="0" borderId="0" xfId="0" applyNumberFormat="1" applyAlignment="1">
      <alignment vertical="center"/>
    </xf>
    <xf numFmtId="167" fontId="0" fillId="0" borderId="0" xfId="0" applyNumberFormat="1" applyAlignment="1">
      <alignment vertical="center"/>
    </xf>
    <xf numFmtId="165" fontId="0" fillId="0" borderId="0" xfId="0" applyNumberFormat="1" applyAlignment="1">
      <alignment vertical="center"/>
    </xf>
    <xf numFmtId="0" fontId="0" fillId="0" borderId="0" xfId="0" applyAlignment="1">
      <alignment horizontal="right" wrapText="1"/>
    </xf>
    <xf numFmtId="0" fontId="0" fillId="0" borderId="0" xfId="0" applyAlignment="1">
      <alignment vertical="center"/>
    </xf>
    <xf numFmtId="0" fontId="0" fillId="8" borderId="3" xfId="0" applyFill="1" applyBorder="1"/>
    <xf numFmtId="10" fontId="0" fillId="8" borderId="5" xfId="0" applyNumberFormat="1" applyFill="1" applyBorder="1"/>
    <xf numFmtId="10" fontId="0" fillId="11" borderId="24" xfId="0" applyNumberFormat="1" applyFill="1" applyBorder="1"/>
    <xf numFmtId="10" fontId="0" fillId="11" borderId="27" xfId="0" applyNumberFormat="1" applyFill="1" applyBorder="1"/>
    <xf numFmtId="0" fontId="0" fillId="0" borderId="1" xfId="0" applyBorder="1" applyAlignment="1">
      <alignment horizontal="center" wrapText="1"/>
    </xf>
    <xf numFmtId="0" fontId="0" fillId="11" borderId="1" xfId="0" applyFill="1" applyBorder="1" applyAlignment="1">
      <alignment horizontal="center" wrapText="1"/>
    </xf>
    <xf numFmtId="0" fontId="0" fillId="10" borderId="1" xfId="9" applyFont="1" applyFill="1" applyBorder="1" applyAlignment="1">
      <alignment horizontal="center" wrapText="1"/>
    </xf>
    <xf numFmtId="0" fontId="0" fillId="0" borderId="61" xfId="0" applyBorder="1" applyAlignment="1">
      <alignment horizontal="center" vertical="center"/>
    </xf>
    <xf numFmtId="0" fontId="0" fillId="0" borderId="0" xfId="0" applyAlignment="1">
      <alignment horizontal="left" vertical="top" wrapText="1"/>
    </xf>
    <xf numFmtId="0" fontId="0" fillId="0" borderId="61" xfId="0" applyBorder="1"/>
    <xf numFmtId="0" fontId="27" fillId="0" borderId="0" xfId="2" applyFill="1" applyBorder="1" applyAlignment="1">
      <alignment vertical="center"/>
    </xf>
    <xf numFmtId="2" fontId="0" fillId="11" borderId="1" xfId="0" applyNumberFormat="1" applyFill="1" applyBorder="1"/>
    <xf numFmtId="0" fontId="27" fillId="0" borderId="0" xfId="2" applyFill="1" applyBorder="1" applyAlignment="1">
      <alignment horizontal="center" vertical="center" wrapText="1"/>
    </xf>
    <xf numFmtId="10" fontId="0" fillId="3" borderId="1" xfId="0" applyNumberFormat="1" applyFill="1" applyBorder="1"/>
    <xf numFmtId="0" fontId="0" fillId="8" borderId="50" xfId="0" applyFill="1" applyBorder="1" applyAlignment="1">
      <alignment horizontal="center" vertical="center"/>
    </xf>
    <xf numFmtId="0" fontId="0" fillId="11" borderId="8" xfId="0" applyFill="1" applyBorder="1"/>
    <xf numFmtId="164" fontId="0" fillId="11" borderId="10" xfId="0" applyNumberFormat="1" applyFill="1" applyBorder="1"/>
    <xf numFmtId="2" fontId="0" fillId="11" borderId="9" xfId="0" applyNumberFormat="1" applyFill="1" applyBorder="1"/>
    <xf numFmtId="164" fontId="0" fillId="11" borderId="8" xfId="0" applyNumberFormat="1" applyFill="1" applyBorder="1"/>
    <xf numFmtId="0" fontId="0" fillId="8" borderId="8" xfId="0" applyFill="1" applyBorder="1" applyAlignment="1">
      <alignment horizontal="center" vertical="center"/>
    </xf>
    <xf numFmtId="0" fontId="0" fillId="8" borderId="80" xfId="0" applyFill="1" applyBorder="1" applyAlignment="1">
      <alignment horizontal="center" vertical="center"/>
    </xf>
    <xf numFmtId="0" fontId="16" fillId="0" borderId="16" xfId="0" applyFont="1" applyBorder="1"/>
    <xf numFmtId="0" fontId="0" fillId="8" borderId="52" xfId="0" applyFill="1" applyBorder="1" applyAlignment="1">
      <alignment horizontal="center" vertical="center"/>
    </xf>
    <xf numFmtId="0" fontId="0" fillId="0" borderId="32" xfId="0" applyBorder="1" applyAlignment="1">
      <alignment horizontal="center" vertical="center"/>
    </xf>
    <xf numFmtId="0" fontId="0" fillId="0" borderId="52" xfId="0" applyBorder="1" applyAlignment="1">
      <alignment horizontal="center" vertical="center"/>
    </xf>
    <xf numFmtId="164" fontId="0" fillId="0" borderId="33" xfId="0" applyNumberFormat="1" applyBorder="1" applyAlignment="1">
      <alignment horizontal="center" vertical="center"/>
    </xf>
    <xf numFmtId="164" fontId="0" fillId="0" borderId="52" xfId="0" applyNumberFormat="1" applyBorder="1" applyAlignment="1">
      <alignment horizontal="center" vertical="center"/>
    </xf>
    <xf numFmtId="0" fontId="0" fillId="11" borderId="32" xfId="0" applyFill="1" applyBorder="1" applyAlignment="1">
      <alignment horizontal="center" vertical="center"/>
    </xf>
    <xf numFmtId="0" fontId="0" fillId="11" borderId="52" xfId="0" applyFill="1" applyBorder="1" applyAlignment="1">
      <alignment horizontal="center" vertical="center"/>
    </xf>
    <xf numFmtId="164" fontId="0" fillId="11" borderId="33" xfId="0" applyNumberFormat="1" applyFill="1" applyBorder="1" applyAlignment="1">
      <alignment horizontal="center" vertical="center"/>
    </xf>
    <xf numFmtId="164" fontId="0" fillId="11" borderId="52" xfId="0" applyNumberFormat="1" applyFill="1" applyBorder="1" applyAlignment="1">
      <alignment horizontal="center" vertical="center"/>
    </xf>
    <xf numFmtId="164" fontId="55" fillId="48" borderId="1" xfId="15" applyNumberFormat="1" applyBorder="1" applyAlignment="1">
      <alignment horizontal="right" vertical="center"/>
    </xf>
    <xf numFmtId="0" fontId="9" fillId="49" borderId="1" xfId="16" applyFont="1" applyBorder="1"/>
    <xf numFmtId="0" fontId="15" fillId="50" borderId="1" xfId="0" applyFont="1" applyFill="1" applyBorder="1"/>
    <xf numFmtId="0" fontId="44" fillId="50" borderId="1" xfId="0" applyFont="1" applyFill="1" applyBorder="1"/>
    <xf numFmtId="165" fontId="0" fillId="0" borderId="54" xfId="0" applyNumberFormat="1" applyBorder="1" applyAlignment="1">
      <alignment horizontal="center"/>
    </xf>
    <xf numFmtId="165" fontId="0" fillId="0" borderId="3" xfId="0" applyNumberFormat="1" applyBorder="1"/>
    <xf numFmtId="0" fontId="20" fillId="0" borderId="29" xfId="0" applyFont="1" applyBorder="1" applyAlignment="1">
      <alignment horizontal="center" vertical="center"/>
    </xf>
    <xf numFmtId="0" fontId="20" fillId="0" borderId="19" xfId="0" applyFont="1" applyBorder="1" applyAlignment="1">
      <alignment horizontal="center" vertical="center"/>
    </xf>
    <xf numFmtId="0" fontId="20" fillId="0" borderId="26" xfId="0" applyFont="1" applyBorder="1" applyAlignment="1">
      <alignment horizontal="center" vertical="center"/>
    </xf>
    <xf numFmtId="0" fontId="20" fillId="11" borderId="25" xfId="0" applyFont="1" applyFill="1" applyBorder="1" applyAlignment="1">
      <alignment horizontal="left"/>
    </xf>
    <xf numFmtId="0" fontId="20" fillId="11" borderId="37" xfId="0" applyFont="1" applyFill="1" applyBorder="1"/>
    <xf numFmtId="0" fontId="20" fillId="11" borderId="64" xfId="0" applyFont="1" applyFill="1" applyBorder="1"/>
    <xf numFmtId="0" fontId="38" fillId="0" borderId="38" xfId="0" applyFont="1" applyBorder="1" applyAlignment="1">
      <alignment horizontal="center" vertical="center" wrapText="1"/>
    </xf>
    <xf numFmtId="0" fontId="38" fillId="0" borderId="16" xfId="0" applyFont="1" applyBorder="1" applyAlignment="1">
      <alignment horizontal="center" vertical="center" wrapText="1"/>
    </xf>
    <xf numFmtId="0" fontId="20" fillId="11" borderId="25" xfId="0" applyFont="1" applyFill="1" applyBorder="1" applyAlignment="1">
      <alignment horizontal="center"/>
    </xf>
    <xf numFmtId="0" fontId="38" fillId="0" borderId="81" xfId="0" applyFont="1" applyBorder="1" applyAlignment="1">
      <alignment horizontal="center" vertical="center" wrapText="1"/>
    </xf>
    <xf numFmtId="0" fontId="15" fillId="50" borderId="35" xfId="0" applyFont="1" applyFill="1" applyBorder="1"/>
    <xf numFmtId="0" fontId="44" fillId="28" borderId="1" xfId="0" applyFont="1" applyFill="1" applyBorder="1"/>
    <xf numFmtId="0" fontId="10" fillId="0" borderId="0" xfId="1" applyBorder="1" applyAlignment="1">
      <alignment horizontal="left" vertical="center"/>
    </xf>
    <xf numFmtId="164" fontId="0" fillId="11" borderId="2" xfId="0" applyNumberFormat="1" applyFill="1" applyBorder="1"/>
    <xf numFmtId="0" fontId="0" fillId="8" borderId="71" xfId="0" applyFill="1" applyBorder="1" applyAlignment="1">
      <alignment horizontal="center"/>
    </xf>
    <xf numFmtId="0" fontId="12" fillId="8" borderId="36" xfId="0" applyFont="1" applyFill="1" applyBorder="1"/>
    <xf numFmtId="0" fontId="0" fillId="8" borderId="71" xfId="0" applyFill="1" applyBorder="1"/>
    <xf numFmtId="0" fontId="0" fillId="0" borderId="71" xfId="0" applyBorder="1" applyAlignment="1">
      <alignment horizontal="center"/>
    </xf>
    <xf numFmtId="1" fontId="0" fillId="11" borderId="7" xfId="0" applyNumberFormat="1" applyFill="1" applyBorder="1"/>
    <xf numFmtId="0" fontId="14" fillId="28" borderId="18" xfId="0" applyFont="1" applyFill="1" applyBorder="1"/>
    <xf numFmtId="0" fontId="13" fillId="28" borderId="32" xfId="0" applyFont="1" applyFill="1" applyBorder="1"/>
    <xf numFmtId="0" fontId="13" fillId="28" borderId="17" xfId="0" applyFont="1" applyFill="1" applyBorder="1"/>
    <xf numFmtId="0" fontId="13" fillId="0" borderId="39" xfId="0" applyFont="1" applyBorder="1"/>
    <xf numFmtId="0" fontId="13" fillId="0" borderId="22" xfId="0" applyFont="1" applyBorder="1"/>
    <xf numFmtId="9" fontId="13" fillId="0" borderId="0" xfId="0" applyNumberFormat="1" applyFont="1"/>
    <xf numFmtId="0" fontId="13" fillId="32" borderId="22" xfId="0" applyFont="1" applyFill="1" applyBorder="1"/>
    <xf numFmtId="172" fontId="13" fillId="0" borderId="39" xfId="0" applyNumberFormat="1" applyFont="1" applyBorder="1"/>
    <xf numFmtId="2" fontId="13" fillId="0" borderId="0" xfId="0" applyNumberFormat="1" applyFont="1"/>
    <xf numFmtId="170" fontId="0" fillId="0" borderId="0" xfId="0" applyNumberFormat="1"/>
    <xf numFmtId="0" fontId="13" fillId="28" borderId="11" xfId="0" applyFont="1" applyFill="1" applyBorder="1"/>
    <xf numFmtId="0" fontId="15" fillId="32" borderId="16" xfId="0" applyFont="1" applyFill="1" applyBorder="1"/>
    <xf numFmtId="0" fontId="15" fillId="32" borderId="19" xfId="0" applyFont="1" applyFill="1" applyBorder="1"/>
    <xf numFmtId="0" fontId="15" fillId="14" borderId="16" xfId="0" applyFont="1" applyFill="1" applyBorder="1"/>
    <xf numFmtId="0" fontId="15" fillId="14" borderId="19" xfId="0" applyFont="1" applyFill="1" applyBorder="1"/>
    <xf numFmtId="0" fontId="15" fillId="33" borderId="16" xfId="0" applyFont="1" applyFill="1" applyBorder="1" applyAlignment="1">
      <alignment wrapText="1"/>
    </xf>
    <xf numFmtId="0" fontId="15" fillId="33" borderId="19" xfId="0" applyFont="1" applyFill="1" applyBorder="1" applyAlignment="1">
      <alignment wrapText="1"/>
    </xf>
    <xf numFmtId="0" fontId="15" fillId="15" borderId="16" xfId="0" applyFont="1" applyFill="1" applyBorder="1" applyAlignment="1">
      <alignment wrapText="1"/>
    </xf>
    <xf numFmtId="0" fontId="13" fillId="32" borderId="1" xfId="0" applyFont="1" applyFill="1" applyBorder="1"/>
    <xf numFmtId="170" fontId="13" fillId="23" borderId="16" xfId="0" applyNumberFormat="1" applyFont="1" applyFill="1" applyBorder="1"/>
    <xf numFmtId="170" fontId="13" fillId="23" borderId="19" xfId="0" applyNumberFormat="1" applyFont="1" applyFill="1" applyBorder="1"/>
    <xf numFmtId="170" fontId="50" fillId="34" borderId="16" xfId="0" applyNumberFormat="1" applyFont="1" applyFill="1" applyBorder="1"/>
    <xf numFmtId="170" fontId="13" fillId="33" borderId="16" xfId="0" applyNumberFormat="1" applyFont="1" applyFill="1" applyBorder="1"/>
    <xf numFmtId="170" fontId="13" fillId="15" borderId="16" xfId="0" applyNumberFormat="1" applyFont="1" applyFill="1" applyBorder="1"/>
    <xf numFmtId="0" fontId="13" fillId="23" borderId="11" xfId="0" applyFont="1" applyFill="1" applyBorder="1"/>
    <xf numFmtId="0" fontId="12" fillId="8" borderId="16" xfId="0" applyFont="1" applyFill="1" applyBorder="1"/>
    <xf numFmtId="164" fontId="12" fillId="8" borderId="16" xfId="0" applyNumberFormat="1" applyFont="1" applyFill="1" applyBorder="1"/>
    <xf numFmtId="164" fontId="0" fillId="11" borderId="35" xfId="0" applyNumberFormat="1" applyFill="1" applyBorder="1"/>
    <xf numFmtId="164" fontId="0" fillId="35" borderId="1" xfId="0" applyNumberFormat="1" applyFill="1" applyBorder="1"/>
    <xf numFmtId="164" fontId="36" fillId="35" borderId="9" xfId="0" applyNumberFormat="1" applyFont="1" applyFill="1" applyBorder="1" applyAlignment="1">
      <alignment vertical="center"/>
    </xf>
    <xf numFmtId="164" fontId="0" fillId="35" borderId="9" xfId="0" applyNumberFormat="1" applyFill="1" applyBorder="1" applyAlignment="1">
      <alignment horizontal="right" vertical="center"/>
    </xf>
    <xf numFmtId="0" fontId="12" fillId="26" borderId="36" xfId="0" applyFont="1" applyFill="1" applyBorder="1" applyAlignment="1">
      <alignment vertical="center" wrapText="1"/>
    </xf>
    <xf numFmtId="0" fontId="0" fillId="8" borderId="26" xfId="0" applyFill="1" applyBorder="1"/>
    <xf numFmtId="164" fontId="36" fillId="11" borderId="62" xfId="0" applyNumberFormat="1" applyFont="1" applyFill="1" applyBorder="1"/>
    <xf numFmtId="165" fontId="0" fillId="11" borderId="62" xfId="0" applyNumberFormat="1" applyFill="1" applyBorder="1"/>
    <xf numFmtId="165" fontId="0" fillId="3" borderId="54" xfId="0" applyNumberFormat="1" applyFill="1" applyBorder="1"/>
    <xf numFmtId="164" fontId="0" fillId="11" borderId="62" xfId="0" applyNumberFormat="1" applyFill="1" applyBorder="1"/>
    <xf numFmtId="0" fontId="0" fillId="3" borderId="53" xfId="0" applyFill="1" applyBorder="1"/>
    <xf numFmtId="10" fontId="26" fillId="14" borderId="1" xfId="0" applyNumberFormat="1" applyFont="1" applyFill="1" applyBorder="1"/>
    <xf numFmtId="14" fontId="24" fillId="3" borderId="32" xfId="0" applyNumberFormat="1" applyFont="1" applyFill="1" applyBorder="1"/>
    <xf numFmtId="14" fontId="24" fillId="3" borderId="26" xfId="0" applyNumberFormat="1" applyFont="1" applyFill="1" applyBorder="1"/>
    <xf numFmtId="0" fontId="20" fillId="8" borderId="37" xfId="0" applyFont="1" applyFill="1" applyBorder="1" applyAlignment="1">
      <alignment wrapText="1"/>
    </xf>
    <xf numFmtId="0" fontId="20" fillId="8" borderId="37" xfId="0" applyFont="1" applyFill="1" applyBorder="1" applyAlignment="1">
      <alignment horizontal="left" vertical="center" wrapText="1"/>
    </xf>
    <xf numFmtId="16" fontId="20" fillId="8" borderId="37" xfId="0" applyNumberFormat="1" applyFont="1" applyFill="1" applyBorder="1" applyAlignment="1">
      <alignment horizontal="center" vertical="center"/>
    </xf>
    <xf numFmtId="16" fontId="20" fillId="8" borderId="82" xfId="0" applyNumberFormat="1" applyFont="1" applyFill="1" applyBorder="1" applyAlignment="1">
      <alignment horizontal="center" vertical="center"/>
    </xf>
    <xf numFmtId="0" fontId="20" fillId="3" borderId="3" xfId="0" applyFont="1" applyFill="1" applyBorder="1"/>
    <xf numFmtId="0" fontId="20" fillId="3" borderId="23" xfId="0" applyFont="1" applyFill="1" applyBorder="1"/>
    <xf numFmtId="0" fontId="20" fillId="3" borderId="0" xfId="0" applyFont="1" applyFill="1"/>
    <xf numFmtId="0" fontId="20" fillId="3" borderId="0" xfId="0" applyFont="1" applyFill="1" applyAlignment="1">
      <alignment horizontal="center"/>
    </xf>
    <xf numFmtId="0" fontId="20" fillId="3" borderId="25" xfId="0" applyFont="1" applyFill="1" applyBorder="1"/>
    <xf numFmtId="0" fontId="20" fillId="3" borderId="26" xfId="0" applyFont="1" applyFill="1" applyBorder="1"/>
    <xf numFmtId="0" fontId="20" fillId="3" borderId="27" xfId="0" applyFont="1" applyFill="1" applyBorder="1"/>
    <xf numFmtId="0" fontId="13" fillId="0" borderId="11" xfId="0" applyFont="1" applyBorder="1"/>
    <xf numFmtId="0" fontId="13" fillId="3" borderId="11" xfId="0" applyFont="1" applyFill="1" applyBorder="1"/>
    <xf numFmtId="0" fontId="0" fillId="0" borderId="39" xfId="0" applyBorder="1"/>
    <xf numFmtId="0" fontId="13" fillId="0" borderId="11" xfId="0" applyFont="1" applyBorder="1" applyAlignment="1">
      <alignment vertical="top"/>
    </xf>
    <xf numFmtId="0" fontId="10" fillId="0" borderId="7" xfId="1" applyBorder="1"/>
    <xf numFmtId="0" fontId="10" fillId="11" borderId="7" xfId="1" applyFill="1" applyBorder="1"/>
    <xf numFmtId="6" fontId="0" fillId="0" borderId="1" xfId="0" applyNumberFormat="1" applyBorder="1"/>
    <xf numFmtId="6" fontId="0" fillId="11" borderId="1" xfId="0" applyNumberFormat="1" applyFill="1" applyBorder="1"/>
    <xf numFmtId="0" fontId="0" fillId="0" borderId="6" xfId="0" applyBorder="1" applyAlignment="1">
      <alignment vertical="center"/>
    </xf>
    <xf numFmtId="0" fontId="0" fillId="0" borderId="7" xfId="0" applyBorder="1" applyAlignment="1">
      <alignment vertical="center"/>
    </xf>
    <xf numFmtId="0" fontId="0" fillId="8" borderId="6" xfId="0" applyFill="1" applyBorder="1" applyAlignment="1">
      <alignment vertical="center"/>
    </xf>
    <xf numFmtId="0" fontId="0" fillId="8" borderId="7" xfId="0" applyFill="1" applyBorder="1" applyAlignment="1">
      <alignment vertical="center"/>
    </xf>
    <xf numFmtId="0" fontId="0" fillId="0" borderId="8" xfId="0" applyBorder="1" applyAlignment="1">
      <alignment vertical="center"/>
    </xf>
    <xf numFmtId="0" fontId="0" fillId="0" borderId="10" xfId="0" applyBorder="1" applyAlignment="1">
      <alignment vertical="center"/>
    </xf>
    <xf numFmtId="0" fontId="20" fillId="9" borderId="13" xfId="0" applyFont="1" applyFill="1" applyBorder="1"/>
    <xf numFmtId="0" fontId="20" fillId="9" borderId="14" xfId="0" applyFont="1" applyFill="1" applyBorder="1"/>
    <xf numFmtId="0" fontId="20" fillId="9" borderId="15" xfId="0" applyFont="1" applyFill="1" applyBorder="1"/>
    <xf numFmtId="0" fontId="20" fillId="0" borderId="11" xfId="0" applyFont="1" applyBorder="1"/>
    <xf numFmtId="0" fontId="20" fillId="0" borderId="74" xfId="0" applyFont="1" applyBorder="1"/>
    <xf numFmtId="0" fontId="20" fillId="9" borderId="40" xfId="0" applyFont="1" applyFill="1" applyBorder="1"/>
    <xf numFmtId="0" fontId="20" fillId="0" borderId="21" xfId="0" applyFont="1" applyBorder="1" applyAlignment="1">
      <alignment horizontal="left"/>
    </xf>
    <xf numFmtId="0" fontId="20" fillId="0" borderId="70" xfId="0" applyFont="1" applyBorder="1" applyAlignment="1">
      <alignment horizontal="left"/>
    </xf>
    <xf numFmtId="0" fontId="20" fillId="0" borderId="52" xfId="0" applyFont="1" applyBorder="1" applyAlignment="1">
      <alignment horizontal="left"/>
    </xf>
    <xf numFmtId="0" fontId="20" fillId="0" borderId="52" xfId="0" applyFont="1" applyBorder="1"/>
    <xf numFmtId="0" fontId="20" fillId="0" borderId="17" xfId="0" applyFont="1" applyBorder="1"/>
    <xf numFmtId="0" fontId="20" fillId="0" borderId="20" xfId="0" applyFont="1" applyBorder="1"/>
    <xf numFmtId="0" fontId="20" fillId="0" borderId="71" xfId="0" applyFont="1" applyBorder="1"/>
    <xf numFmtId="0" fontId="20" fillId="0" borderId="34" xfId="0" applyFont="1" applyBorder="1"/>
    <xf numFmtId="0" fontId="20" fillId="0" borderId="69" xfId="0" applyFont="1" applyBorder="1"/>
    <xf numFmtId="0" fontId="38" fillId="11" borderId="61" xfId="0" applyFont="1" applyFill="1" applyBorder="1"/>
    <xf numFmtId="0" fontId="20" fillId="0" borderId="71" xfId="0" applyFont="1" applyBorder="1" applyAlignment="1">
      <alignment horizontal="left"/>
    </xf>
    <xf numFmtId="0" fontId="38" fillId="11" borderId="48" xfId="0" applyFont="1" applyFill="1" applyBorder="1"/>
    <xf numFmtId="0" fontId="38" fillId="11" borderId="55" xfId="0" applyFont="1" applyFill="1" applyBorder="1"/>
    <xf numFmtId="0" fontId="20" fillId="3" borderId="35" xfId="0" applyFont="1" applyFill="1" applyBorder="1"/>
    <xf numFmtId="0" fontId="20" fillId="3" borderId="69" xfId="0" applyFont="1" applyFill="1" applyBorder="1"/>
    <xf numFmtId="0" fontId="38" fillId="8" borderId="70" xfId="0" applyFont="1" applyFill="1" applyBorder="1"/>
    <xf numFmtId="0" fontId="38" fillId="8" borderId="74" xfId="0" applyFont="1" applyFill="1" applyBorder="1"/>
    <xf numFmtId="0" fontId="38" fillId="8" borderId="9" xfId="0" applyFont="1" applyFill="1" applyBorder="1"/>
    <xf numFmtId="0" fontId="20" fillId="8" borderId="9" xfId="0" applyFont="1" applyFill="1" applyBorder="1"/>
    <xf numFmtId="0" fontId="20" fillId="8" borderId="10" xfId="0" applyFont="1" applyFill="1" applyBorder="1"/>
    <xf numFmtId="0" fontId="20" fillId="3" borderId="71" xfId="0" applyFont="1" applyFill="1" applyBorder="1"/>
    <xf numFmtId="0" fontId="20" fillId="3" borderId="34" xfId="0" applyFont="1" applyFill="1" applyBorder="1"/>
    <xf numFmtId="0" fontId="10" fillId="0" borderId="16" xfId="1" applyBorder="1" applyAlignment="1">
      <alignment vertical="top"/>
    </xf>
    <xf numFmtId="10" fontId="0" fillId="8" borderId="8" xfId="0" applyNumberFormat="1" applyFill="1" applyBorder="1"/>
    <xf numFmtId="10" fontId="0" fillId="8" borderId="9" xfId="0" applyNumberFormat="1" applyFill="1" applyBorder="1"/>
    <xf numFmtId="10" fontId="0" fillId="8" borderId="10" xfId="0" applyNumberFormat="1" applyFill="1" applyBorder="1"/>
    <xf numFmtId="0" fontId="35" fillId="8" borderId="44" xfId="0" applyFont="1" applyFill="1" applyBorder="1" applyAlignment="1">
      <alignment horizontal="center" vertical="center"/>
    </xf>
    <xf numFmtId="0" fontId="35" fillId="8" borderId="45" xfId="0" applyFont="1" applyFill="1" applyBorder="1" applyAlignment="1">
      <alignment horizontal="center" vertical="center"/>
    </xf>
    <xf numFmtId="0" fontId="35" fillId="8" borderId="46" xfId="0" applyFont="1" applyFill="1" applyBorder="1" applyAlignment="1">
      <alignment horizontal="center" vertical="center"/>
    </xf>
    <xf numFmtId="0" fontId="20" fillId="3" borderId="0" xfId="0" applyFont="1" applyFill="1" applyAlignment="1">
      <alignment horizontal="center"/>
    </xf>
    <xf numFmtId="0" fontId="47" fillId="3" borderId="3" xfId="0" applyFont="1" applyFill="1" applyBorder="1" applyAlignment="1">
      <alignment horizontal="left"/>
    </xf>
    <xf numFmtId="0" fontId="47" fillId="3" borderId="4" xfId="0" applyFont="1" applyFill="1" applyBorder="1" applyAlignment="1">
      <alignment horizontal="left"/>
    </xf>
    <xf numFmtId="0" fontId="47" fillId="3" borderId="28" xfId="0" applyFont="1" applyFill="1" applyBorder="1" applyAlignment="1">
      <alignment horizontal="left"/>
    </xf>
    <xf numFmtId="0" fontId="47" fillId="3" borderId="29" xfId="0" applyFont="1" applyFill="1" applyBorder="1" applyAlignment="1">
      <alignment horizontal="left"/>
    </xf>
    <xf numFmtId="0" fontId="0" fillId="0" borderId="44" xfId="0" applyBorder="1" applyAlignment="1">
      <alignment horizontal="center" vertical="center"/>
    </xf>
    <xf numFmtId="0" fontId="0" fillId="0" borderId="46" xfId="0" applyBorder="1" applyAlignment="1">
      <alignment horizontal="center" vertical="center"/>
    </xf>
    <xf numFmtId="0" fontId="0" fillId="0" borderId="45" xfId="0" applyBorder="1" applyAlignment="1">
      <alignment horizontal="center" vertical="center"/>
    </xf>
    <xf numFmtId="0" fontId="24" fillId="8" borderId="44" xfId="0" applyFont="1" applyFill="1" applyBorder="1" applyAlignment="1">
      <alignment horizontal="center" vertical="center"/>
    </xf>
    <xf numFmtId="0" fontId="24" fillId="8" borderId="45" xfId="0" applyFont="1" applyFill="1" applyBorder="1" applyAlignment="1">
      <alignment horizontal="center" vertical="center"/>
    </xf>
    <xf numFmtId="0" fontId="24" fillId="8" borderId="46" xfId="0" applyFont="1" applyFill="1" applyBorder="1" applyAlignment="1">
      <alignment horizontal="center" vertical="center"/>
    </xf>
    <xf numFmtId="0" fontId="0" fillId="11" borderId="44" xfId="0" applyFill="1" applyBorder="1" applyAlignment="1">
      <alignment horizontal="center"/>
    </xf>
    <xf numFmtId="0" fontId="0" fillId="11" borderId="46" xfId="0" applyFill="1" applyBorder="1" applyAlignment="1">
      <alignment horizontal="center"/>
    </xf>
    <xf numFmtId="0" fontId="0" fillId="11" borderId="44" xfId="0" applyFill="1" applyBorder="1" applyAlignment="1">
      <alignment horizontal="center" vertical="center"/>
    </xf>
    <xf numFmtId="0" fontId="0" fillId="11" borderId="45" xfId="0" applyFill="1" applyBorder="1" applyAlignment="1">
      <alignment horizontal="center" vertical="center"/>
    </xf>
    <xf numFmtId="0" fontId="0" fillId="11" borderId="46" xfId="0" applyFill="1" applyBorder="1" applyAlignment="1">
      <alignment horizontal="center" vertical="center"/>
    </xf>
    <xf numFmtId="0" fontId="0" fillId="0" borderId="44" xfId="0" applyBorder="1" applyAlignment="1">
      <alignment horizontal="center"/>
    </xf>
    <xf numFmtId="0" fontId="0" fillId="0" borderId="46" xfId="0" applyBorder="1" applyAlignment="1">
      <alignment horizont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11" borderId="5" xfId="0"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center" vertical="center"/>
    </xf>
    <xf numFmtId="0" fontId="0" fillId="0" borderId="26" xfId="0" applyBorder="1" applyAlignment="1">
      <alignment horizontal="center" vertical="center"/>
    </xf>
    <xf numFmtId="0" fontId="0" fillId="11" borderId="25" xfId="0" applyFill="1" applyBorder="1" applyAlignment="1">
      <alignment horizontal="center" vertical="center"/>
    </xf>
    <xf numFmtId="0" fontId="0" fillId="11" borderId="27" xfId="0" applyFill="1" applyBorder="1" applyAlignment="1">
      <alignment horizontal="center" vertical="center"/>
    </xf>
    <xf numFmtId="0" fontId="0" fillId="11" borderId="26" xfId="0" applyFill="1" applyBorder="1" applyAlignment="1">
      <alignment horizontal="center" vertical="center"/>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5" xfId="0" applyFill="1" applyBorder="1" applyAlignment="1">
      <alignment horizontal="center" vertical="center" wrapText="1"/>
    </xf>
    <xf numFmtId="0" fontId="0" fillId="11" borderId="25" xfId="0" applyFill="1" applyBorder="1" applyAlignment="1">
      <alignment horizontal="center" vertical="center" wrapText="1"/>
    </xf>
    <xf numFmtId="0" fontId="0" fillId="11" borderId="26"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44" xfId="0" applyFill="1" applyBorder="1" applyAlignment="1">
      <alignment horizontal="center" vertical="center" wrapText="1"/>
    </xf>
    <xf numFmtId="0" fontId="0" fillId="11" borderId="45" xfId="0" applyFill="1" applyBorder="1" applyAlignment="1">
      <alignment horizontal="center" vertical="center" wrapText="1"/>
    </xf>
    <xf numFmtId="0" fontId="0" fillId="11" borderId="46" xfId="0" applyFill="1" applyBorder="1" applyAlignment="1">
      <alignment horizontal="center" vertical="center" wrapText="1"/>
    </xf>
    <xf numFmtId="0" fontId="20" fillId="3" borderId="54" xfId="0" applyFont="1" applyFill="1" applyBorder="1" applyAlignment="1">
      <alignment horizontal="center" vertical="center" wrapText="1"/>
    </xf>
    <xf numFmtId="0" fontId="20" fillId="3" borderId="23" xfId="0" applyFont="1" applyFill="1" applyBorder="1" applyAlignment="1">
      <alignment horizontal="center" vertical="center" wrapText="1"/>
    </xf>
    <xf numFmtId="0" fontId="20" fillId="3" borderId="4" xfId="0" applyFont="1" applyFill="1" applyBorder="1" applyAlignment="1">
      <alignment horizontal="center" vertical="center"/>
    </xf>
    <xf numFmtId="0" fontId="20" fillId="3" borderId="26" xfId="0" applyFont="1" applyFill="1" applyBorder="1" applyAlignment="1">
      <alignment horizontal="center" vertical="center"/>
    </xf>
    <xf numFmtId="0" fontId="20" fillId="3" borderId="5" xfId="0" applyFont="1" applyFill="1" applyBorder="1" applyAlignment="1">
      <alignment horizontal="center" vertical="center"/>
    </xf>
    <xf numFmtId="0" fontId="20" fillId="3" borderId="27" xfId="0" applyFont="1" applyFill="1" applyBorder="1" applyAlignment="1">
      <alignment horizontal="center" vertical="center"/>
    </xf>
    <xf numFmtId="0" fontId="0" fillId="3" borderId="23" xfId="0" applyFill="1" applyBorder="1" applyAlignment="1">
      <alignment horizontal="center"/>
    </xf>
    <xf numFmtId="0" fontId="0" fillId="3" borderId="25" xfId="0" applyFill="1" applyBorder="1" applyAlignment="1">
      <alignment horizontal="center"/>
    </xf>
    <xf numFmtId="0" fontId="24" fillId="8" borderId="3" xfId="0" applyFont="1" applyFill="1" applyBorder="1" applyAlignment="1">
      <alignment horizontal="center" vertic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8" borderId="25" xfId="0" applyFill="1" applyBorder="1" applyAlignment="1">
      <alignment horizontal="center" vertical="center"/>
    </xf>
    <xf numFmtId="0" fontId="0" fillId="8" borderId="26" xfId="0" applyFill="1" applyBorder="1" applyAlignment="1">
      <alignment horizontal="center" vertical="center"/>
    </xf>
    <xf numFmtId="0" fontId="0" fillId="8" borderId="27" xfId="0" applyFill="1" applyBorder="1" applyAlignment="1">
      <alignment horizontal="center" vertical="center"/>
    </xf>
    <xf numFmtId="0" fontId="9" fillId="0" borderId="44" xfId="0" applyFont="1" applyBorder="1" applyAlignment="1">
      <alignment horizontal="center" vertical="center"/>
    </xf>
    <xf numFmtId="0" fontId="9" fillId="0" borderId="46" xfId="0" applyFont="1" applyBorder="1" applyAlignment="1">
      <alignment horizontal="center" vertical="center"/>
    </xf>
    <xf numFmtId="0" fontId="9" fillId="11" borderId="3" xfId="0" applyFont="1" applyFill="1" applyBorder="1" applyAlignment="1">
      <alignment horizontal="center" vertical="center"/>
    </xf>
    <xf numFmtId="0" fontId="9" fillId="11" borderId="5" xfId="0" applyFont="1" applyFill="1" applyBorder="1" applyAlignment="1">
      <alignment horizontal="center" vertical="center"/>
    </xf>
    <xf numFmtId="0" fontId="9" fillId="11" borderId="25" xfId="0" applyFont="1" applyFill="1" applyBorder="1" applyAlignment="1">
      <alignment horizontal="center" vertical="center"/>
    </xf>
    <xf numFmtId="0" fontId="9" fillId="11" borderId="27" xfId="0" applyFont="1" applyFill="1" applyBorder="1" applyAlignment="1">
      <alignment horizontal="center" vertical="center"/>
    </xf>
    <xf numFmtId="0" fontId="0" fillId="11" borderId="3" xfId="0" applyFill="1" applyBorder="1" applyAlignment="1">
      <alignment horizontal="left" vertical="top" wrapText="1"/>
    </xf>
    <xf numFmtId="0" fontId="0" fillId="11" borderId="4" xfId="0" applyFill="1" applyBorder="1" applyAlignment="1">
      <alignment horizontal="left" vertical="top" wrapText="1"/>
    </xf>
    <xf numFmtId="0" fontId="0" fillId="11" borderId="5" xfId="0" applyFill="1" applyBorder="1" applyAlignment="1">
      <alignment horizontal="left" vertical="top" wrapText="1"/>
    </xf>
    <xf numFmtId="0" fontId="0" fillId="11" borderId="25" xfId="0" applyFill="1" applyBorder="1" applyAlignment="1">
      <alignment horizontal="left" vertical="top" wrapText="1"/>
    </xf>
    <xf numFmtId="0" fontId="0" fillId="11" borderId="26" xfId="0" applyFill="1" applyBorder="1" applyAlignment="1">
      <alignment horizontal="left" vertical="top" wrapText="1"/>
    </xf>
    <xf numFmtId="0" fontId="0" fillId="11" borderId="27" xfId="0" applyFill="1" applyBorder="1" applyAlignment="1">
      <alignment horizontal="left" vertical="top" wrapText="1"/>
    </xf>
    <xf numFmtId="0" fontId="0" fillId="0" borderId="45" xfId="0" applyBorder="1" applyAlignment="1">
      <alignment horizontal="left" vertical="top" wrapText="1"/>
    </xf>
    <xf numFmtId="0" fontId="0" fillId="0" borderId="46" xfId="0" applyBorder="1" applyAlignment="1">
      <alignment horizontal="left" vertical="top" wrapText="1"/>
    </xf>
    <xf numFmtId="0" fontId="9" fillId="11" borderId="44" xfId="0" applyFont="1" applyFill="1" applyBorder="1" applyAlignment="1">
      <alignment horizontal="center" vertical="center"/>
    </xf>
    <xf numFmtId="0" fontId="9" fillId="11" borderId="46" xfId="0" applyFont="1" applyFill="1" applyBorder="1" applyAlignment="1">
      <alignment horizontal="center" vertical="center"/>
    </xf>
    <xf numFmtId="0" fontId="24" fillId="8" borderId="4" xfId="0" applyFont="1" applyFill="1" applyBorder="1" applyAlignment="1">
      <alignment horizontal="center" vertical="center"/>
    </xf>
    <xf numFmtId="0" fontId="24" fillId="8" borderId="5" xfId="0" applyFont="1" applyFill="1" applyBorder="1" applyAlignment="1">
      <alignment horizontal="center" vertical="center"/>
    </xf>
    <xf numFmtId="0" fontId="24" fillId="8" borderId="25" xfId="0" applyFont="1" applyFill="1" applyBorder="1" applyAlignment="1">
      <alignment horizontal="center" vertical="center"/>
    </xf>
    <xf numFmtId="0" fontId="24" fillId="8" borderId="26" xfId="0" applyFont="1" applyFill="1" applyBorder="1" applyAlignment="1">
      <alignment horizontal="center" vertical="center"/>
    </xf>
    <xf numFmtId="0" fontId="24" fillId="8" borderId="27" xfId="0" applyFont="1" applyFill="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0" fillId="11" borderId="45" xfId="0" applyFill="1" applyBorder="1" applyAlignment="1">
      <alignment horizontal="left" vertical="top" wrapText="1"/>
    </xf>
    <xf numFmtId="0" fontId="0" fillId="11" borderId="46" xfId="0" applyFill="1" applyBorder="1" applyAlignment="1">
      <alignment horizontal="left" vertical="top" wrapText="1"/>
    </xf>
    <xf numFmtId="0" fontId="0" fillId="0" borderId="0" xfId="0" applyAlignment="1">
      <alignment horizontal="left" vertical="top" wrapText="1"/>
    </xf>
    <xf numFmtId="0" fontId="0" fillId="0" borderId="24" xfId="0" applyBorder="1" applyAlignment="1">
      <alignment horizontal="left" vertical="top" wrapText="1"/>
    </xf>
    <xf numFmtId="0" fontId="9" fillId="0" borderId="25" xfId="0" applyFont="1" applyBorder="1" applyAlignment="1">
      <alignment horizontal="center" vertical="center"/>
    </xf>
    <xf numFmtId="0" fontId="9" fillId="0" borderId="27" xfId="0" applyFont="1" applyBorder="1" applyAlignment="1">
      <alignment horizontal="center" vertical="center"/>
    </xf>
    <xf numFmtId="0" fontId="0" fillId="0" borderId="44"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22" fillId="8" borderId="44" xfId="0" applyFont="1" applyFill="1" applyBorder="1" applyAlignment="1">
      <alignment horizontal="left" vertical="center"/>
    </xf>
    <xf numFmtId="0" fontId="22" fillId="8" borderId="45" xfId="0" applyFont="1" applyFill="1" applyBorder="1" applyAlignment="1">
      <alignment horizontal="left" vertical="center"/>
    </xf>
    <xf numFmtId="0" fontId="22" fillId="8" borderId="46" xfId="0" applyFont="1" applyFill="1" applyBorder="1" applyAlignment="1">
      <alignment horizontal="left" vertical="center"/>
    </xf>
    <xf numFmtId="0" fontId="24" fillId="3" borderId="75" xfId="0" applyFont="1" applyFill="1" applyBorder="1" applyAlignment="1">
      <alignment horizontal="center" vertical="center"/>
    </xf>
    <xf numFmtId="0" fontId="24" fillId="3" borderId="48" xfId="0" applyFont="1" applyFill="1" applyBorder="1" applyAlignment="1">
      <alignment horizontal="center" vertical="center"/>
    </xf>
    <xf numFmtId="0" fontId="24" fillId="3" borderId="51" xfId="0" applyFont="1" applyFill="1" applyBorder="1" applyAlignment="1">
      <alignment horizontal="center" vertical="center"/>
    </xf>
    <xf numFmtId="0" fontId="24" fillId="9" borderId="44" xfId="0" applyFont="1" applyFill="1" applyBorder="1" applyAlignment="1">
      <alignment horizontal="center" vertical="center"/>
    </xf>
    <xf numFmtId="0" fontId="24" fillId="9" borderId="45" xfId="0" applyFont="1" applyFill="1" applyBorder="1" applyAlignment="1">
      <alignment horizontal="center" vertical="center"/>
    </xf>
    <xf numFmtId="0" fontId="24" fillId="9" borderId="46" xfId="0" applyFont="1" applyFill="1" applyBorder="1" applyAlignment="1">
      <alignment horizontal="center" vertical="center"/>
    </xf>
    <xf numFmtId="0" fontId="22" fillId="8" borderId="44" xfId="0" applyFont="1" applyFill="1" applyBorder="1" applyAlignment="1">
      <alignment horizontal="center" vertical="center"/>
    </xf>
    <xf numFmtId="0" fontId="22" fillId="8" borderId="45" xfId="0" applyFont="1" applyFill="1" applyBorder="1" applyAlignment="1">
      <alignment horizontal="center" vertical="center"/>
    </xf>
    <xf numFmtId="0" fontId="22" fillId="8" borderId="46" xfId="0" applyFont="1" applyFill="1" applyBorder="1" applyAlignment="1">
      <alignment horizontal="center" vertical="center"/>
    </xf>
    <xf numFmtId="0" fontId="20" fillId="11" borderId="25" xfId="0" applyFont="1" applyFill="1" applyBorder="1" applyAlignment="1">
      <alignment horizontal="center"/>
    </xf>
    <xf numFmtId="0" fontId="20" fillId="11" borderId="27" xfId="0" applyFont="1" applyFill="1" applyBorder="1" applyAlignment="1">
      <alignment horizontal="center"/>
    </xf>
    <xf numFmtId="0" fontId="0" fillId="0" borderId="35" xfId="0" applyBorder="1" applyAlignment="1">
      <alignment horizontal="center" vertical="center" wrapText="1"/>
    </xf>
    <xf numFmtId="0" fontId="24" fillId="0" borderId="44" xfId="0" applyFont="1" applyBorder="1" applyAlignment="1">
      <alignment horizontal="center"/>
    </xf>
    <xf numFmtId="0" fontId="24" fillId="0" borderId="45" xfId="0" applyFont="1" applyBorder="1" applyAlignment="1">
      <alignment horizontal="center"/>
    </xf>
    <xf numFmtId="0" fontId="24" fillId="0" borderId="46" xfId="0" applyFont="1" applyBorder="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21" fillId="11" borderId="29" xfId="0" applyFont="1" applyFill="1" applyBorder="1"/>
    <xf numFmtId="0" fontId="21" fillId="11" borderId="29" xfId="0" applyFont="1" applyFill="1" applyBorder="1" applyAlignment="1">
      <alignment horizontal="center"/>
    </xf>
    <xf numFmtId="0" fontId="21" fillId="11" borderId="19" xfId="0" applyFont="1" applyFill="1" applyBorder="1"/>
    <xf numFmtId="0" fontId="0" fillId="8" borderId="44" xfId="0" applyFill="1" applyBorder="1" applyAlignment="1">
      <alignment horizontal="center"/>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5" xfId="0" applyFont="1" applyBorder="1" applyAlignment="1">
      <alignment horizontal="center" vertical="center" wrapText="1"/>
    </xf>
    <xf numFmtId="0" fontId="52" fillId="0" borderId="23" xfId="0" applyFont="1" applyBorder="1" applyAlignment="1">
      <alignment horizontal="center" vertical="center" wrapText="1"/>
    </xf>
    <xf numFmtId="0" fontId="52" fillId="0" borderId="0" xfId="0" applyFont="1" applyAlignment="1">
      <alignment horizontal="center" vertical="center" wrapText="1"/>
    </xf>
    <xf numFmtId="0" fontId="52" fillId="0" borderId="24" xfId="0" applyFont="1" applyBorder="1" applyAlignment="1">
      <alignment horizontal="center" vertical="center" wrapText="1"/>
    </xf>
    <xf numFmtId="0" fontId="52" fillId="0" borderId="25" xfId="0" applyFont="1" applyBorder="1" applyAlignment="1">
      <alignment horizontal="center" vertical="center" wrapText="1"/>
    </xf>
    <xf numFmtId="0" fontId="52" fillId="0" borderId="26" xfId="0" applyFont="1" applyBorder="1" applyAlignment="1">
      <alignment horizontal="center" vertical="center" wrapText="1"/>
    </xf>
    <xf numFmtId="0" fontId="52" fillId="0" borderId="27" xfId="0" applyFont="1" applyBorder="1" applyAlignment="1">
      <alignment horizontal="center" vertical="center" wrapText="1"/>
    </xf>
    <xf numFmtId="0" fontId="16" fillId="4" borderId="16" xfId="0" applyFont="1" applyFill="1" applyBorder="1" applyAlignment="1">
      <alignment horizontal="center"/>
    </xf>
    <xf numFmtId="0" fontId="14" fillId="4" borderId="16" xfId="0" applyFont="1" applyFill="1" applyBorder="1" applyAlignment="1">
      <alignment horizontal="center"/>
    </xf>
    <xf numFmtId="0" fontId="13" fillId="4" borderId="16" xfId="0" applyFont="1" applyFill="1" applyBorder="1" applyAlignment="1">
      <alignment horizontal="left"/>
    </xf>
    <xf numFmtId="0" fontId="0" fillId="8" borderId="3" xfId="0" applyFill="1" applyBorder="1" applyAlignment="1">
      <alignment horizontal="center" vertical="center"/>
    </xf>
    <xf numFmtId="0" fontId="0" fillId="37" borderId="40" xfId="0" applyFill="1" applyBorder="1" applyAlignment="1">
      <alignment horizontal="center"/>
    </xf>
    <xf numFmtId="0" fontId="0" fillId="37" borderId="70" xfId="0" applyFill="1" applyBorder="1" applyAlignment="1">
      <alignment horizont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42" borderId="40" xfId="0" applyFill="1" applyBorder="1" applyAlignment="1">
      <alignment horizontal="center"/>
    </xf>
    <xf numFmtId="0" fontId="0" fillId="42" borderId="70" xfId="0" applyFill="1" applyBorder="1" applyAlignment="1">
      <alignment horizontal="center"/>
    </xf>
    <xf numFmtId="0" fontId="0" fillId="11" borderId="6" xfId="0" applyFill="1" applyBorder="1" applyAlignment="1">
      <alignment horizontal="center" vertical="center"/>
    </xf>
    <xf numFmtId="0" fontId="0" fillId="11" borderId="1" xfId="0" applyFill="1" applyBorder="1" applyAlignment="1">
      <alignment horizontal="center" vertical="center"/>
    </xf>
    <xf numFmtId="0" fontId="0" fillId="11" borderId="7" xfId="0" applyFill="1" applyBorder="1" applyAlignment="1">
      <alignment horizontal="center" vertical="center"/>
    </xf>
    <xf numFmtId="0" fontId="0" fillId="11" borderId="8" xfId="0" applyFill="1" applyBorder="1" applyAlignment="1">
      <alignment horizontal="center" vertical="center"/>
    </xf>
    <xf numFmtId="0" fontId="0" fillId="11" borderId="9" xfId="0" applyFill="1" applyBorder="1" applyAlignment="1">
      <alignment horizontal="center" vertical="center"/>
    </xf>
    <xf numFmtId="0" fontId="0" fillId="11" borderId="10" xfId="0" applyFill="1" applyBorder="1" applyAlignment="1">
      <alignment horizontal="center" vertical="center"/>
    </xf>
    <xf numFmtId="0" fontId="0" fillId="44" borderId="40" xfId="0" applyFill="1" applyBorder="1" applyAlignment="1">
      <alignment horizontal="center"/>
    </xf>
    <xf numFmtId="0" fontId="0" fillId="44" borderId="70" xfId="0" applyFill="1" applyBorder="1" applyAlignment="1">
      <alignment horizontal="center"/>
    </xf>
    <xf numFmtId="0" fontId="0" fillId="36" borderId="40" xfId="0" applyFill="1" applyBorder="1" applyAlignment="1">
      <alignment horizontal="center"/>
    </xf>
    <xf numFmtId="0" fontId="0" fillId="36" borderId="70" xfId="0" applyFill="1" applyBorder="1" applyAlignment="1">
      <alignment horizontal="center"/>
    </xf>
    <xf numFmtId="0" fontId="0" fillId="30" borderId="40" xfId="0" applyFill="1" applyBorder="1" applyAlignment="1">
      <alignment horizontal="center"/>
    </xf>
    <xf numFmtId="0" fontId="0" fillId="30" borderId="70" xfId="0" applyFill="1" applyBorder="1" applyAlignment="1">
      <alignment horizontal="center"/>
    </xf>
    <xf numFmtId="0" fontId="0" fillId="40" borderId="40" xfId="0" applyFill="1" applyBorder="1" applyAlignment="1">
      <alignment horizontal="center"/>
    </xf>
    <xf numFmtId="0" fontId="0" fillId="40" borderId="70" xfId="0" applyFill="1" applyBorder="1" applyAlignment="1">
      <alignment horizontal="center"/>
    </xf>
    <xf numFmtId="0" fontId="0" fillId="11" borderId="60" xfId="0" applyFill="1" applyBorder="1" applyAlignment="1">
      <alignment horizontal="center" vertical="center"/>
    </xf>
    <xf numFmtId="0" fontId="0" fillId="11" borderId="2" xfId="0" applyFill="1" applyBorder="1" applyAlignment="1">
      <alignment horizontal="center" vertical="center"/>
    </xf>
    <xf numFmtId="0" fontId="0" fillId="11" borderId="20" xfId="0" applyFill="1" applyBorder="1" applyAlignment="1">
      <alignment horizontal="center" vertical="center"/>
    </xf>
    <xf numFmtId="0" fontId="0" fillId="41" borderId="40" xfId="0" applyFill="1" applyBorder="1" applyAlignment="1">
      <alignment horizontal="center"/>
    </xf>
    <xf numFmtId="0" fontId="0" fillId="41" borderId="70" xfId="0" applyFill="1" applyBorder="1" applyAlignment="1">
      <alignment horizontal="center"/>
    </xf>
    <xf numFmtId="0" fontId="0" fillId="43" borderId="40" xfId="0" applyFill="1" applyBorder="1" applyAlignment="1">
      <alignment horizontal="center"/>
    </xf>
    <xf numFmtId="0" fontId="0" fillId="43" borderId="70" xfId="0" applyFill="1" applyBorder="1" applyAlignment="1">
      <alignment horizontal="center"/>
    </xf>
    <xf numFmtId="0" fontId="0" fillId="39" borderId="40" xfId="0" applyFill="1" applyBorder="1" applyAlignment="1">
      <alignment horizontal="center"/>
    </xf>
    <xf numFmtId="0" fontId="0" fillId="39" borderId="70" xfId="0" applyFill="1" applyBorder="1" applyAlignment="1">
      <alignment horizontal="center"/>
    </xf>
    <xf numFmtId="0" fontId="0" fillId="38" borderId="40" xfId="0" applyFill="1" applyBorder="1" applyAlignment="1">
      <alignment horizontal="center"/>
    </xf>
    <xf numFmtId="0" fontId="0" fillId="38" borderId="70" xfId="0" applyFill="1"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0" fillId="0" borderId="16" xfId="1" applyBorder="1" applyAlignment="1">
      <alignment horizontal="left" vertical="center"/>
    </xf>
    <xf numFmtId="0" fontId="0" fillId="0" borderId="19" xfId="0" applyBorder="1" applyAlignment="1">
      <alignment horizontal="left" vertical="center"/>
    </xf>
    <xf numFmtId="0" fontId="0" fillId="0" borderId="11" xfId="0" applyBorder="1" applyAlignment="1">
      <alignment horizontal="left" vertical="center"/>
    </xf>
    <xf numFmtId="0" fontId="42" fillId="0" borderId="25" xfId="14" applyFont="1" applyBorder="1" applyAlignment="1">
      <alignment horizontal="center"/>
    </xf>
    <xf numFmtId="0" fontId="42" fillId="0" borderId="26" xfId="14" applyFont="1" applyBorder="1" applyAlignment="1">
      <alignment horizontal="center"/>
    </xf>
    <xf numFmtId="0" fontId="42" fillId="0" borderId="27" xfId="14" applyFont="1" applyBorder="1" applyAlignment="1">
      <alignment horizontal="center"/>
    </xf>
    <xf numFmtId="0" fontId="42" fillId="0" borderId="2" xfId="14" applyFont="1" applyBorder="1" applyAlignment="1">
      <alignment horizontal="left" wrapText="1"/>
    </xf>
    <xf numFmtId="0" fontId="42" fillId="0" borderId="35" xfId="14" applyFont="1" applyBorder="1" applyAlignment="1">
      <alignment horizontal="left" wrapText="1"/>
    </xf>
    <xf numFmtId="0" fontId="42" fillId="0" borderId="60" xfId="14" applyFont="1" applyBorder="1" applyAlignment="1">
      <alignment horizontal="center" vertical="center"/>
    </xf>
    <xf numFmtId="0" fontId="42" fillId="0" borderId="50" xfId="14" applyFont="1" applyBorder="1" applyAlignment="1">
      <alignment horizontal="center" vertical="center"/>
    </xf>
    <xf numFmtId="0" fontId="43" fillId="8" borderId="0" xfId="14" applyFont="1" applyFill="1" applyAlignment="1">
      <alignment horizontal="left"/>
    </xf>
    <xf numFmtId="0" fontId="42" fillId="0" borderId="3" xfId="14" applyFont="1" applyBorder="1" applyAlignment="1">
      <alignment horizontal="left"/>
    </xf>
    <xf numFmtId="0" fontId="42" fillId="0" borderId="4" xfId="14" applyFont="1" applyBorder="1" applyAlignment="1">
      <alignment horizontal="left"/>
    </xf>
    <xf numFmtId="0" fontId="42" fillId="0" borderId="5" xfId="14" applyFont="1" applyBorder="1" applyAlignment="1">
      <alignment horizontal="left"/>
    </xf>
    <xf numFmtId="0" fontId="42" fillId="0" borderId="2" xfId="14" applyFont="1" applyBorder="1" applyAlignment="1">
      <alignment horizontal="right" vertical="center"/>
    </xf>
    <xf numFmtId="0" fontId="42" fillId="0" borderId="35" xfId="14" applyFont="1" applyBorder="1" applyAlignment="1">
      <alignment horizontal="right" vertical="center"/>
    </xf>
    <xf numFmtId="0" fontId="42" fillId="0" borderId="2" xfId="14" applyFont="1" applyBorder="1" applyAlignment="1">
      <alignment horizontal="center"/>
    </xf>
    <xf numFmtId="0" fontId="42" fillId="0" borderId="35" xfId="14" applyFont="1" applyBorder="1" applyAlignment="1">
      <alignment horizontal="center"/>
    </xf>
    <xf numFmtId="0" fontId="42" fillId="0" borderId="0" xfId="14" applyFont="1"/>
    <xf numFmtId="0" fontId="42" fillId="0" borderId="23" xfId="14" applyFont="1" applyBorder="1" applyAlignment="1">
      <alignment horizontal="left"/>
    </xf>
    <xf numFmtId="0" fontId="42" fillId="0" borderId="0" xfId="14" applyFont="1" applyAlignment="1">
      <alignment horizontal="left"/>
    </xf>
    <xf numFmtId="0" fontId="42" fillId="0" borderId="24" xfId="14" applyFont="1" applyBorder="1" applyAlignment="1">
      <alignment horizontal="left"/>
    </xf>
    <xf numFmtId="0" fontId="42" fillId="0" borderId="23" xfId="14" applyFont="1" applyBorder="1" applyAlignment="1">
      <alignment horizontal="center"/>
    </xf>
    <xf numFmtId="0" fontId="42" fillId="0" borderId="0" xfId="14" applyFont="1" applyAlignment="1">
      <alignment horizontal="center"/>
    </xf>
    <xf numFmtId="0" fontId="42" fillId="0" borderId="24" xfId="14" applyFont="1" applyBorder="1" applyAlignment="1">
      <alignment horizontal="center"/>
    </xf>
    <xf numFmtId="0" fontId="42" fillId="0" borderId="20" xfId="14" applyFont="1" applyBorder="1" applyAlignment="1">
      <alignment horizontal="center"/>
    </xf>
    <xf numFmtId="0" fontId="42" fillId="0" borderId="69" xfId="14" applyFont="1" applyBorder="1" applyAlignment="1">
      <alignment horizontal="center"/>
    </xf>
    <xf numFmtId="0" fontId="42" fillId="0" borderId="2" xfId="14" applyFont="1" applyBorder="1" applyAlignment="1">
      <alignment horizontal="right"/>
    </xf>
    <xf numFmtId="0" fontId="42" fillId="0" borderId="35" xfId="14" applyFont="1" applyBorder="1" applyAlignment="1">
      <alignment horizontal="right"/>
    </xf>
    <xf numFmtId="0" fontId="42" fillId="0" borderId="20" xfId="14" applyFont="1" applyBorder="1" applyAlignment="1">
      <alignment horizontal="center" vertical="justify"/>
    </xf>
    <xf numFmtId="0" fontId="42" fillId="0" borderId="69" xfId="14" applyFont="1" applyBorder="1" applyAlignment="1">
      <alignment horizontal="center" vertical="justify"/>
    </xf>
    <xf numFmtId="0" fontId="24" fillId="8" borderId="44" xfId="0" applyFont="1" applyFill="1" applyBorder="1" applyAlignment="1">
      <alignment horizontal="left"/>
    </xf>
    <xf numFmtId="0" fontId="24" fillId="8" borderId="45" xfId="0" applyFont="1" applyFill="1" applyBorder="1" applyAlignment="1">
      <alignment horizontal="left"/>
    </xf>
    <xf numFmtId="0" fontId="27" fillId="9" borderId="16" xfId="2" applyFill="1" applyBorder="1" applyAlignment="1">
      <alignment horizontal="center" vertical="center" wrapText="1"/>
    </xf>
    <xf numFmtId="0" fontId="27" fillId="9" borderId="19" xfId="2" applyFill="1" applyBorder="1" applyAlignment="1">
      <alignment horizontal="center" vertical="center" wrapText="1"/>
    </xf>
    <xf numFmtId="0" fontId="27" fillId="9" borderId="11" xfId="2" applyFill="1" applyBorder="1" applyAlignment="1">
      <alignment horizontal="center" vertical="center" wrapText="1"/>
    </xf>
    <xf numFmtId="0" fontId="0" fillId="11" borderId="53" xfId="0" applyFill="1" applyBorder="1" applyAlignment="1">
      <alignment horizontal="center" vertical="center"/>
    </xf>
    <xf numFmtId="0" fontId="0" fillId="11" borderId="62" xfId="0" applyFill="1"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62" xfId="0" applyBorder="1" applyAlignment="1">
      <alignment horizontal="center" vertical="center"/>
    </xf>
    <xf numFmtId="167" fontId="0" fillId="0" borderId="3" xfId="0" applyNumberFormat="1" applyBorder="1" applyAlignment="1">
      <alignment horizontal="center" vertical="center"/>
    </xf>
    <xf numFmtId="167" fontId="0" fillId="0" borderId="4" xfId="0" applyNumberFormat="1" applyBorder="1" applyAlignment="1">
      <alignment horizontal="center" vertical="center"/>
    </xf>
    <xf numFmtId="167" fontId="0" fillId="0" borderId="5" xfId="0" applyNumberFormat="1" applyBorder="1" applyAlignment="1">
      <alignment horizontal="center" vertical="center"/>
    </xf>
    <xf numFmtId="167" fontId="0" fillId="0" borderId="23" xfId="0" applyNumberFormat="1" applyBorder="1" applyAlignment="1">
      <alignment horizontal="center" vertical="center"/>
    </xf>
    <xf numFmtId="167" fontId="0" fillId="0" borderId="0" xfId="0" applyNumberFormat="1" applyAlignment="1">
      <alignment horizontal="center" vertical="center"/>
    </xf>
    <xf numFmtId="167" fontId="0" fillId="0" borderId="24" xfId="0" applyNumberFormat="1" applyBorder="1" applyAlignment="1">
      <alignment horizontal="center" vertical="center"/>
    </xf>
    <xf numFmtId="167" fontId="0" fillId="0" borderId="25" xfId="0" applyNumberFormat="1" applyBorder="1" applyAlignment="1">
      <alignment horizontal="center" vertical="center"/>
    </xf>
    <xf numFmtId="167" fontId="0" fillId="0" borderId="26" xfId="0" applyNumberFormat="1" applyBorder="1" applyAlignment="1">
      <alignment horizontal="center" vertical="center"/>
    </xf>
    <xf numFmtId="167" fontId="0" fillId="0" borderId="27" xfId="0" applyNumberFormat="1" applyBorder="1" applyAlignment="1">
      <alignment horizontal="center" vertical="center"/>
    </xf>
    <xf numFmtId="165" fontId="0" fillId="11" borderId="3" xfId="0" applyNumberFormat="1" applyFill="1" applyBorder="1" applyAlignment="1">
      <alignment horizontal="center" vertical="center"/>
    </xf>
    <xf numFmtId="165" fontId="0" fillId="11" borderId="4" xfId="0" applyNumberFormat="1" applyFill="1" applyBorder="1" applyAlignment="1">
      <alignment horizontal="center" vertical="center"/>
    </xf>
    <xf numFmtId="165" fontId="0" fillId="11" borderId="5" xfId="0" applyNumberFormat="1" applyFill="1" applyBorder="1" applyAlignment="1">
      <alignment horizontal="center" vertical="center"/>
    </xf>
    <xf numFmtId="165" fontId="0" fillId="11" borderId="25" xfId="0" applyNumberFormat="1" applyFill="1" applyBorder="1" applyAlignment="1">
      <alignment horizontal="center" vertical="center"/>
    </xf>
    <xf numFmtId="165" fontId="0" fillId="11" borderId="26" xfId="0" applyNumberFormat="1" applyFill="1" applyBorder="1" applyAlignment="1">
      <alignment horizontal="center" vertical="center"/>
    </xf>
    <xf numFmtId="165" fontId="0" fillId="11" borderId="27" xfId="0" applyNumberFormat="1" applyFill="1" applyBorder="1" applyAlignment="1">
      <alignment horizontal="center" vertical="center"/>
    </xf>
    <xf numFmtId="165" fontId="0" fillId="0" borderId="44" xfId="0" applyNumberFormat="1" applyBorder="1" applyAlignment="1">
      <alignment horizontal="center" vertical="center"/>
    </xf>
    <xf numFmtId="165" fontId="0" fillId="0" borderId="45" xfId="0" applyNumberFormat="1" applyBorder="1" applyAlignment="1">
      <alignment horizontal="center" vertical="center"/>
    </xf>
    <xf numFmtId="165" fontId="0" fillId="0" borderId="46" xfId="0" applyNumberFormat="1" applyBorder="1" applyAlignment="1">
      <alignment horizontal="center" vertical="center"/>
    </xf>
    <xf numFmtId="165" fontId="0" fillId="11" borderId="44" xfId="0" applyNumberFormat="1" applyFill="1" applyBorder="1" applyAlignment="1">
      <alignment horizontal="center" vertical="center"/>
    </xf>
    <xf numFmtId="165" fontId="0" fillId="11" borderId="45" xfId="0" applyNumberFormat="1" applyFill="1" applyBorder="1" applyAlignment="1">
      <alignment horizontal="center" vertical="center"/>
    </xf>
    <xf numFmtId="165" fontId="0" fillId="11" borderId="46" xfId="0" applyNumberFormat="1" applyFill="1" applyBorder="1" applyAlignment="1">
      <alignment horizontal="center" vertic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0" xfId="0" applyFill="1" applyAlignment="1">
      <alignment horizontal="center"/>
    </xf>
    <xf numFmtId="0" fontId="0" fillId="3" borderId="24" xfId="0" applyFill="1" applyBorder="1" applyAlignment="1">
      <alignment horizontal="center"/>
    </xf>
    <xf numFmtId="0" fontId="0" fillId="3" borderId="44" xfId="0" applyFill="1" applyBorder="1" applyAlignment="1">
      <alignment horizontal="center" vertical="center" wrapText="1"/>
    </xf>
    <xf numFmtId="0" fontId="0" fillId="3" borderId="45" xfId="0" applyFill="1" applyBorder="1" applyAlignment="1">
      <alignment horizontal="center" vertical="center" wrapText="1"/>
    </xf>
    <xf numFmtId="0" fontId="0" fillId="3" borderId="46" xfId="0" applyFill="1" applyBorder="1" applyAlignment="1">
      <alignment horizontal="center" vertical="center" wrapText="1"/>
    </xf>
    <xf numFmtId="166" fontId="0" fillId="11" borderId="3" xfId="0" applyNumberFormat="1" applyFill="1" applyBorder="1" applyAlignment="1">
      <alignment horizontal="center" vertical="center"/>
    </xf>
    <xf numFmtId="166" fontId="0" fillId="11" borderId="4" xfId="0" applyNumberFormat="1" applyFill="1" applyBorder="1" applyAlignment="1">
      <alignment horizontal="center" vertical="center"/>
    </xf>
    <xf numFmtId="166" fontId="0" fillId="11" borderId="5" xfId="0" applyNumberFormat="1" applyFill="1" applyBorder="1" applyAlignment="1">
      <alignment horizontal="center" vertical="center"/>
    </xf>
    <xf numFmtId="166" fontId="0" fillId="11" borderId="25" xfId="0" applyNumberFormat="1" applyFill="1" applyBorder="1" applyAlignment="1">
      <alignment horizontal="center" vertical="center"/>
    </xf>
    <xf numFmtId="166" fontId="0" fillId="11" borderId="26" xfId="0" applyNumberFormat="1" applyFill="1" applyBorder="1" applyAlignment="1">
      <alignment horizontal="center" vertical="center"/>
    </xf>
    <xf numFmtId="166" fontId="0" fillId="11" borderId="27" xfId="0" applyNumberFormat="1" applyFill="1" applyBorder="1" applyAlignment="1">
      <alignment horizontal="center" vertical="center"/>
    </xf>
    <xf numFmtId="0" fontId="36" fillId="10" borderId="72" xfId="0" applyFont="1" applyFill="1" applyBorder="1" applyAlignment="1">
      <alignment horizontal="center"/>
    </xf>
    <xf numFmtId="0" fontId="36" fillId="10" borderId="67" xfId="0" applyFont="1" applyFill="1" applyBorder="1" applyAlignment="1">
      <alignment horizontal="center"/>
    </xf>
    <xf numFmtId="0" fontId="36" fillId="10" borderId="15" xfId="0" applyFont="1" applyFill="1" applyBorder="1" applyAlignment="1">
      <alignment horizontal="center"/>
    </xf>
    <xf numFmtId="0" fontId="36" fillId="10" borderId="68" xfId="0" applyFont="1" applyFill="1" applyBorder="1" applyAlignment="1">
      <alignment horizontal="center"/>
    </xf>
    <xf numFmtId="0" fontId="36" fillId="10" borderId="16" xfId="0" applyFont="1" applyFill="1" applyBorder="1" applyAlignment="1">
      <alignment horizontal="center"/>
    </xf>
    <xf numFmtId="0" fontId="36" fillId="10" borderId="19" xfId="0" applyFont="1" applyFill="1" applyBorder="1" applyAlignment="1">
      <alignment horizontal="center"/>
    </xf>
    <xf numFmtId="0" fontId="36" fillId="10" borderId="11" xfId="0" applyFont="1" applyFill="1" applyBorder="1" applyAlignment="1">
      <alignment horizontal="center"/>
    </xf>
    <xf numFmtId="0" fontId="36" fillId="12" borderId="19" xfId="0" applyFont="1" applyFill="1" applyBorder="1" applyAlignment="1">
      <alignment horizontal="center"/>
    </xf>
    <xf numFmtId="0" fontId="48" fillId="10" borderId="16" xfId="0" applyFont="1" applyFill="1" applyBorder="1" applyAlignment="1">
      <alignment horizontal="center"/>
    </xf>
    <xf numFmtId="0" fontId="48" fillId="10" borderId="19" xfId="0" applyFont="1" applyFill="1" applyBorder="1" applyAlignment="1">
      <alignment horizontal="center"/>
    </xf>
    <xf numFmtId="0" fontId="48" fillId="10" borderId="11" xfId="0" applyFont="1" applyFill="1" applyBorder="1" applyAlignment="1">
      <alignment horizontal="center"/>
    </xf>
    <xf numFmtId="0" fontId="36" fillId="30" borderId="67" xfId="0" applyFont="1" applyFill="1" applyBorder="1" applyAlignment="1">
      <alignment horizontal="center"/>
    </xf>
    <xf numFmtId="0" fontId="36" fillId="30" borderId="15" xfId="0" applyFont="1" applyFill="1" applyBorder="1" applyAlignment="1">
      <alignment horizontal="center"/>
    </xf>
    <xf numFmtId="0" fontId="36" fillId="30" borderId="72" xfId="0" applyFont="1" applyFill="1" applyBorder="1" applyAlignment="1">
      <alignment horizontal="center"/>
    </xf>
    <xf numFmtId="0" fontId="36" fillId="30" borderId="77" xfId="0" applyFont="1" applyFill="1" applyBorder="1" applyAlignment="1">
      <alignment horizontal="center"/>
    </xf>
    <xf numFmtId="0" fontId="36" fillId="30" borderId="4" xfId="0" applyFont="1" applyFill="1" applyBorder="1" applyAlignment="1">
      <alignment horizontal="center"/>
    </xf>
    <xf numFmtId="0" fontId="36" fillId="30" borderId="76" xfId="0" applyFont="1" applyFill="1" applyBorder="1" applyAlignment="1">
      <alignment horizontal="center"/>
    </xf>
    <xf numFmtId="0" fontId="36" fillId="30" borderId="19" xfId="0" applyFont="1" applyFill="1" applyBorder="1" applyAlignment="1">
      <alignment horizontal="center"/>
    </xf>
    <xf numFmtId="0" fontId="36" fillId="30" borderId="11" xfId="0" applyFont="1" applyFill="1" applyBorder="1" applyAlignment="1">
      <alignment horizontal="center"/>
    </xf>
    <xf numFmtId="0" fontId="36" fillId="3" borderId="19" xfId="0" applyFont="1" applyFill="1" applyBorder="1" applyAlignment="1">
      <alignment horizontal="center"/>
    </xf>
    <xf numFmtId="0" fontId="36" fillId="30" borderId="16" xfId="0" applyFont="1" applyFill="1" applyBorder="1" applyAlignment="1">
      <alignment horizontal="center"/>
    </xf>
    <xf numFmtId="0" fontId="36" fillId="3" borderId="67" xfId="0" applyFont="1" applyFill="1" applyBorder="1" applyAlignment="1">
      <alignment horizontal="center"/>
    </xf>
    <xf numFmtId="0" fontId="36" fillId="3" borderId="11" xfId="0" applyFont="1" applyFill="1" applyBorder="1" applyAlignment="1">
      <alignment horizontal="center"/>
    </xf>
    <xf numFmtId="0" fontId="20" fillId="0" borderId="1" xfId="0" applyFont="1" applyBorder="1" applyAlignment="1">
      <alignment horizontal="center"/>
    </xf>
    <xf numFmtId="0" fontId="48" fillId="30" borderId="19" xfId="0" applyFont="1" applyFill="1" applyBorder="1" applyAlignment="1">
      <alignment horizontal="center"/>
    </xf>
    <xf numFmtId="0" fontId="48" fillId="30" borderId="11" xfId="0" applyFont="1" applyFill="1" applyBorder="1" applyAlignment="1">
      <alignment horizontal="center"/>
    </xf>
    <xf numFmtId="0" fontId="48" fillId="30" borderId="16" xfId="0" applyFont="1" applyFill="1" applyBorder="1" applyAlignment="1">
      <alignment horizontal="center"/>
    </xf>
    <xf numFmtId="0" fontId="20" fillId="0" borderId="16" xfId="0" applyFont="1" applyBorder="1" applyAlignment="1">
      <alignment horizontal="center"/>
    </xf>
    <xf numFmtId="0" fontId="20" fillId="0" borderId="11" xfId="0" applyFont="1" applyBorder="1" applyAlignment="1">
      <alignment horizontal="center"/>
    </xf>
    <xf numFmtId="0" fontId="48" fillId="30" borderId="72" xfId="0" applyFont="1" applyFill="1" applyBorder="1" applyAlignment="1">
      <alignment horizontal="center"/>
    </xf>
    <xf numFmtId="0" fontId="48" fillId="30" borderId="67" xfId="0" applyFont="1" applyFill="1" applyBorder="1" applyAlignment="1">
      <alignment horizontal="center"/>
    </xf>
    <xf numFmtId="0" fontId="48" fillId="30" borderId="15" xfId="0" applyFont="1" applyFill="1" applyBorder="1" applyAlignment="1">
      <alignment horizontal="center"/>
    </xf>
    <xf numFmtId="0" fontId="47" fillId="0" borderId="3" xfId="0" applyFont="1" applyBorder="1" applyAlignment="1">
      <alignment horizontal="left"/>
    </xf>
    <xf numFmtId="0" fontId="47" fillId="0" borderId="5" xfId="0" applyFont="1" applyBorder="1" applyAlignment="1">
      <alignment horizontal="left"/>
    </xf>
    <xf numFmtId="0" fontId="35" fillId="0" borderId="23" xfId="0" applyFont="1" applyBorder="1" applyAlignment="1">
      <alignment horizontal="left"/>
    </xf>
    <xf numFmtId="0" fontId="35" fillId="0" borderId="24" xfId="0" applyFont="1" applyBorder="1" applyAlignment="1">
      <alignment horizontal="left"/>
    </xf>
    <xf numFmtId="0" fontId="27" fillId="0" borderId="0" xfId="2" applyFill="1" applyBorder="1" applyAlignment="1">
      <alignment horizontal="center" vertical="center"/>
    </xf>
    <xf numFmtId="1" fontId="28" fillId="17" borderId="16" xfId="3" applyBorder="1">
      <alignment horizontal="center" vertical="center"/>
    </xf>
    <xf numFmtId="1" fontId="28" fillId="17" borderId="19" xfId="3" applyBorder="1">
      <alignment horizontal="center" vertical="center"/>
    </xf>
    <xf numFmtId="1" fontId="28" fillId="17" borderId="11" xfId="3" applyBorder="1">
      <alignment horizontal="center" vertical="center"/>
    </xf>
    <xf numFmtId="0" fontId="48" fillId="10" borderId="72" xfId="0" applyFont="1" applyFill="1" applyBorder="1" applyAlignment="1">
      <alignment horizontal="center"/>
    </xf>
    <xf numFmtId="0" fontId="48" fillId="10" borderId="15" xfId="0" applyFont="1" applyFill="1" applyBorder="1" applyAlignment="1">
      <alignment horizontal="center"/>
    </xf>
    <xf numFmtId="0" fontId="48" fillId="10" borderId="67" xfId="0" applyFont="1" applyFill="1" applyBorder="1" applyAlignment="1">
      <alignment horizontal="center"/>
    </xf>
    <xf numFmtId="0" fontId="0" fillId="8" borderId="44" xfId="0" applyFill="1" applyBorder="1" applyAlignment="1">
      <alignment horizontal="center" vertical="center" wrapText="1"/>
    </xf>
    <xf numFmtId="0" fontId="0" fillId="8" borderId="45" xfId="0" applyFill="1" applyBorder="1" applyAlignment="1">
      <alignment horizontal="center" vertical="center" wrapText="1"/>
    </xf>
    <xf numFmtId="0" fontId="34" fillId="28" borderId="16" xfId="0" applyFont="1" applyFill="1" applyBorder="1" applyAlignment="1">
      <alignment horizontal="left"/>
    </xf>
    <xf numFmtId="0" fontId="34" fillId="28" borderId="19" xfId="0" applyFont="1" applyFill="1" applyBorder="1" applyAlignment="1">
      <alignment horizontal="left"/>
    </xf>
    <xf numFmtId="0" fontId="34" fillId="28" borderId="11" xfId="0" applyFont="1" applyFill="1" applyBorder="1" applyAlignment="1">
      <alignment horizontal="left"/>
    </xf>
    <xf numFmtId="0" fontId="15" fillId="0" borderId="16" xfId="0" applyFont="1" applyBorder="1" applyAlignment="1">
      <alignment horizontal="center"/>
    </xf>
    <xf numFmtId="0" fontId="15" fillId="0" borderId="19" xfId="0" applyFont="1" applyBorder="1" applyAlignment="1">
      <alignment horizontal="center"/>
    </xf>
    <xf numFmtId="0" fontId="15" fillId="0" borderId="11" xfId="0" applyFont="1" applyBorder="1" applyAlignment="1">
      <alignment horizontal="center"/>
    </xf>
    <xf numFmtId="0" fontId="13" fillId="28" borderId="16" xfId="0" applyFont="1" applyFill="1" applyBorder="1"/>
    <xf numFmtId="0" fontId="13" fillId="28" borderId="19" xfId="0" applyFont="1" applyFill="1" applyBorder="1"/>
    <xf numFmtId="0" fontId="13" fillId="28" borderId="11" xfId="0" applyFont="1" applyFill="1" applyBorder="1"/>
    <xf numFmtId="0" fontId="10" fillId="0" borderId="16" xfId="1" applyBorder="1" applyAlignment="1">
      <alignment wrapText="1"/>
    </xf>
    <xf numFmtId="0" fontId="13" fillId="0" borderId="19" xfId="0" applyFont="1" applyBorder="1"/>
    <xf numFmtId="0" fontId="13" fillId="0" borderId="11" xfId="0" applyFont="1" applyBorder="1"/>
    <xf numFmtId="0" fontId="14" fillId="4" borderId="19" xfId="0" applyFont="1" applyFill="1" applyBorder="1" applyAlignment="1">
      <alignment horizontal="center"/>
    </xf>
    <xf numFmtId="0" fontId="14" fillId="4" borderId="11" xfId="0" applyFont="1" applyFill="1" applyBorder="1" applyAlignment="1">
      <alignment horizontal="center"/>
    </xf>
    <xf numFmtId="0" fontId="13" fillId="4" borderId="19" xfId="0" applyFont="1" applyFill="1" applyBorder="1" applyAlignment="1">
      <alignment horizontal="left"/>
    </xf>
    <xf numFmtId="0" fontId="13" fillId="4" borderId="11" xfId="0" applyFont="1" applyFill="1" applyBorder="1" applyAlignment="1">
      <alignment horizontal="left"/>
    </xf>
    <xf numFmtId="0" fontId="16" fillId="4" borderId="19" xfId="0" applyFont="1" applyFill="1" applyBorder="1" applyAlignment="1">
      <alignment horizontal="center"/>
    </xf>
    <xf numFmtId="0" fontId="16" fillId="4" borderId="11" xfId="0" applyFont="1" applyFill="1" applyBorder="1" applyAlignment="1">
      <alignment horizontal="center"/>
    </xf>
    <xf numFmtId="0" fontId="10" fillId="0" borderId="16" xfId="1" applyBorder="1" applyAlignment="1"/>
    <xf numFmtId="0" fontId="13" fillId="0" borderId="16" xfId="0" applyFont="1" applyBorder="1"/>
    <xf numFmtId="0" fontId="13" fillId="0" borderId="16" xfId="0" applyFont="1" applyBorder="1" applyAlignment="1">
      <alignment horizontal="center"/>
    </xf>
    <xf numFmtId="0" fontId="13" fillId="0" borderId="19" xfId="0" applyFont="1" applyBorder="1" applyAlignment="1">
      <alignment horizontal="center"/>
    </xf>
    <xf numFmtId="0" fontId="13" fillId="0" borderId="11" xfId="0" applyFont="1" applyBorder="1" applyAlignment="1">
      <alignment horizontal="center"/>
    </xf>
    <xf numFmtId="0" fontId="13" fillId="0" borderId="16" xfId="0" applyFont="1" applyBorder="1" applyAlignment="1">
      <alignment horizontal="left" vertical="top"/>
    </xf>
    <xf numFmtId="0" fontId="13" fillId="0" borderId="19" xfId="0" applyFont="1" applyBorder="1" applyAlignment="1">
      <alignment horizontal="left" vertical="top"/>
    </xf>
    <xf numFmtId="0" fontId="13" fillId="0" borderId="11" xfId="0" applyFont="1" applyBorder="1" applyAlignment="1">
      <alignment horizontal="left" vertical="top"/>
    </xf>
    <xf numFmtId="0" fontId="12" fillId="0" borderId="16" xfId="0" applyFont="1" applyBorder="1" applyAlignment="1">
      <alignment horizontal="center"/>
    </xf>
    <xf numFmtId="0" fontId="12" fillId="0" borderId="19" xfId="0" applyFont="1" applyBorder="1" applyAlignment="1">
      <alignment horizontal="center"/>
    </xf>
    <xf numFmtId="0" fontId="12" fillId="0" borderId="11" xfId="0" applyFont="1" applyBorder="1" applyAlignment="1">
      <alignment horizontal="center"/>
    </xf>
    <xf numFmtId="0" fontId="13" fillId="0" borderId="16" xfId="0" applyFont="1" applyBorder="1" applyAlignment="1">
      <alignment horizontal="center" vertical="top"/>
    </xf>
    <xf numFmtId="0" fontId="13" fillId="0" borderId="19" xfId="0" applyFont="1" applyBorder="1" applyAlignment="1">
      <alignment horizontal="center" vertical="top"/>
    </xf>
    <xf numFmtId="0" fontId="13" fillId="0" borderId="11" xfId="0" applyFont="1" applyBorder="1" applyAlignment="1">
      <alignment horizontal="center" vertical="top"/>
    </xf>
    <xf numFmtId="0" fontId="0" fillId="0" borderId="0" xfId="0"/>
    <xf numFmtId="0" fontId="0" fillId="8" borderId="45" xfId="0" applyFill="1" applyBorder="1" applyAlignment="1">
      <alignment horizontal="center"/>
    </xf>
    <xf numFmtId="0" fontId="0" fillId="8" borderId="46" xfId="0" applyFill="1" applyBorder="1" applyAlignment="1">
      <alignment horizontal="center"/>
    </xf>
    <xf numFmtId="0" fontId="0" fillId="8" borderId="44" xfId="0" applyFill="1" applyBorder="1" applyAlignment="1">
      <alignment horizontal="center" vertical="center"/>
    </xf>
    <xf numFmtId="0" fontId="0" fillId="8" borderId="45" xfId="0" applyFill="1" applyBorder="1" applyAlignment="1">
      <alignment horizontal="center" vertical="center"/>
    </xf>
    <xf numFmtId="0" fontId="0" fillId="8" borderId="46" xfId="0" applyFill="1" applyBorder="1" applyAlignment="1">
      <alignment horizontal="center" vertical="center"/>
    </xf>
    <xf numFmtId="0" fontId="0" fillId="8" borderId="12" xfId="0" applyFill="1" applyBorder="1" applyAlignment="1">
      <alignment horizontal="center" vertical="center"/>
    </xf>
    <xf numFmtId="0" fontId="0" fillId="8" borderId="14" xfId="0" applyFill="1" applyBorder="1" applyAlignment="1">
      <alignment horizontal="center" vertical="center"/>
    </xf>
    <xf numFmtId="0" fontId="13" fillId="8" borderId="12" xfId="0" applyFont="1" applyFill="1" applyBorder="1" applyAlignment="1">
      <alignment horizontal="center"/>
    </xf>
    <xf numFmtId="0" fontId="13" fillId="8" borderId="13" xfId="0" applyFont="1" applyFill="1" applyBorder="1" applyAlignment="1">
      <alignment horizontal="center"/>
    </xf>
    <xf numFmtId="0" fontId="13" fillId="8" borderId="14" xfId="0" applyFont="1" applyFill="1" applyBorder="1" applyAlignment="1">
      <alignment horizontal="center"/>
    </xf>
    <xf numFmtId="0" fontId="0" fillId="0" borderId="0" xfId="0" applyAlignment="1">
      <alignment horizontal="center"/>
    </xf>
    <xf numFmtId="0" fontId="0" fillId="11" borderId="75" xfId="0" applyFill="1" applyBorder="1" applyAlignment="1">
      <alignment horizontal="center"/>
    </xf>
    <xf numFmtId="0" fontId="0" fillId="11" borderId="48" xfId="0" applyFill="1" applyBorder="1" applyAlignment="1">
      <alignment horizontal="center"/>
    </xf>
    <xf numFmtId="0" fontId="0" fillId="11" borderId="51" xfId="0" applyFill="1" applyBorder="1" applyAlignment="1">
      <alignment horizontal="center"/>
    </xf>
    <xf numFmtId="0" fontId="0" fillId="3" borderId="0" xfId="0" applyFill="1" applyAlignment="1">
      <alignment horizontal="center" vertical="center"/>
    </xf>
    <xf numFmtId="0" fontId="0" fillId="8" borderId="73" xfId="0" applyFill="1" applyBorder="1" applyAlignment="1">
      <alignment horizontal="center" vertical="center"/>
    </xf>
    <xf numFmtId="0" fontId="0" fillId="8" borderId="48" xfId="0" applyFill="1" applyBorder="1" applyAlignment="1">
      <alignment horizontal="center" vertical="center"/>
    </xf>
    <xf numFmtId="0" fontId="0" fillId="8" borderId="51" xfId="0" applyFill="1" applyBorder="1" applyAlignment="1">
      <alignment horizontal="center" vertical="center"/>
    </xf>
    <xf numFmtId="0" fontId="0" fillId="8" borderId="12" xfId="0" applyFill="1" applyBorder="1" applyAlignment="1">
      <alignment horizontal="center"/>
    </xf>
    <xf numFmtId="0" fontId="0" fillId="8" borderId="13" xfId="0" applyFill="1" applyBorder="1" applyAlignment="1">
      <alignment horizontal="center"/>
    </xf>
    <xf numFmtId="0" fontId="0" fillId="8" borderId="14" xfId="0" applyFill="1" applyBorder="1" applyAlignment="1">
      <alignment horizontal="center"/>
    </xf>
    <xf numFmtId="0" fontId="0" fillId="8" borderId="79" xfId="0" applyFill="1" applyBorder="1" applyAlignment="1">
      <alignment horizontal="center"/>
    </xf>
    <xf numFmtId="0" fontId="0" fillId="8" borderId="67" xfId="0" applyFill="1" applyBorder="1" applyAlignment="1">
      <alignment horizontal="center"/>
    </xf>
    <xf numFmtId="0" fontId="0" fillId="8" borderId="68" xfId="0" applyFill="1" applyBorder="1" applyAlignment="1">
      <alignment horizontal="center"/>
    </xf>
    <xf numFmtId="0" fontId="14" fillId="50" borderId="1" xfId="0" applyFont="1" applyFill="1" applyBorder="1" applyAlignment="1">
      <alignment horizontal="center"/>
    </xf>
    <xf numFmtId="0" fontId="12" fillId="50" borderId="1" xfId="0" applyFont="1" applyFill="1" applyBorder="1" applyAlignment="1">
      <alignment horizontal="center"/>
    </xf>
    <xf numFmtId="0" fontId="16" fillId="50" borderId="16" xfId="0" applyFont="1" applyFill="1" applyBorder="1" applyAlignment="1">
      <alignment horizontal="center"/>
    </xf>
    <xf numFmtId="0" fontId="16" fillId="50" borderId="19" xfId="0" applyFont="1" applyFill="1" applyBorder="1" applyAlignment="1">
      <alignment horizontal="center"/>
    </xf>
    <xf numFmtId="0" fontId="16" fillId="50" borderId="11" xfId="0" applyFont="1" applyFill="1" applyBorder="1" applyAlignment="1">
      <alignment horizontal="center"/>
    </xf>
    <xf numFmtId="0" fontId="16" fillId="50" borderId="1" xfId="0" applyFont="1" applyFill="1" applyBorder="1" applyAlignment="1">
      <alignment horizontal="center"/>
    </xf>
    <xf numFmtId="14" fontId="16" fillId="50" borderId="1" xfId="0" applyNumberFormat="1" applyFont="1" applyFill="1" applyBorder="1" applyAlignment="1">
      <alignment horizontal="center"/>
    </xf>
    <xf numFmtId="0" fontId="56" fillId="50" borderId="16" xfId="0" applyFont="1" applyFill="1" applyBorder="1" applyAlignment="1">
      <alignment horizontal="center"/>
    </xf>
    <xf numFmtId="14" fontId="16" fillId="50" borderId="16" xfId="0" applyNumberFormat="1" applyFont="1" applyFill="1" applyBorder="1" applyAlignment="1">
      <alignment horizontal="center"/>
    </xf>
  </cellXfs>
  <cellStyles count="17">
    <cellStyle name="% fuldført" xfId="7" xr:uid="{CA1AC3EC-EA83-495F-83D7-4F3CDE898C1D}"/>
    <cellStyle name="20 % - Farve1" xfId="16" builtinId="30"/>
    <cellStyle name="Aktivitet" xfId="12" xr:uid="{14DC469E-8AF7-4D08-9902-5436AB3047E5}"/>
    <cellStyle name="Forklaring for % fuldført (ud over plan)" xfId="9" xr:uid="{A15A72BF-30AA-4812-9B58-C174D53C1FB0}"/>
    <cellStyle name="Forklaring for Faktisk" xfId="6" xr:uid="{AA805354-A7B5-4E40-9306-ADE10C13C228}"/>
    <cellStyle name="Forklaring for Faktisk (ud over plan)" xfId="8" xr:uid="{EDC3D6FE-9E92-4EC6-937A-1DA984C5DD20}"/>
    <cellStyle name="Forklaring for plan" xfId="4" xr:uid="{55FD5D8E-FFF8-4D81-A3CC-E7E7B1E6DA94}"/>
    <cellStyle name="God" xfId="15" builtinId="26"/>
    <cellStyle name="Kontrolelement for fremhævning af tidsrum" xfId="2" xr:uid="{FB8DFBFD-98E1-41D0-8E42-27207903FC24}"/>
    <cellStyle name="Link" xfId="1" builtinId="8"/>
    <cellStyle name="Navn" xfId="5" xr:uid="{A776785D-2720-4545-8602-4B269CAE0FB9}"/>
    <cellStyle name="Normal" xfId="0" builtinId="0"/>
    <cellStyle name="Normal 2" xfId="14" xr:uid="{63EB6034-15CD-4332-99DF-4DB5F1509D1C}"/>
    <cellStyle name="Procentdel fuldført" xfId="13" xr:uid="{C63A3408-E0C6-4CB1-B15D-AF2EDC7F21C1}"/>
    <cellStyle name="Sidehoveder for projekt" xfId="10" xr:uid="{0453ECDB-33B2-4011-B606-C2CCA8E9CB3A}"/>
    <cellStyle name="Sidehoveder for tidsrum" xfId="11" xr:uid="{6F74DBCD-BCA3-4D92-8918-FBE3EC6609E0}"/>
    <cellStyle name="Værdi for tidsrum" xfId="3" xr:uid="{E08C88E5-3DEF-44B3-BE3C-FFFAF839A843}"/>
  </cellStyles>
  <dxfs count="0"/>
  <tableStyles count="0" defaultTableStyle="TableStyleMedium2" defaultPivotStyle="PivotStyleLight16"/>
  <colors>
    <mruColors>
      <color rgb="FFFBF7A1"/>
      <color rgb="FFA25F06"/>
      <color rgb="FF0F2B83"/>
      <color rgb="FF9999FF"/>
      <color rgb="FFCCFF66"/>
      <color rgb="FFFF33CC"/>
      <color rgb="FFCC9900"/>
      <color rgb="FF0000FF"/>
      <color rgb="FF990033"/>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 Id="rId8" Type="http://schemas.openxmlformats.org/officeDocument/2006/relationships/worksheet" Target="worksheets/sheet8.xml"/></Relationships>
</file>

<file path=xl/diagrams/colors1.xml><?xml version="1.0" encoding="utf-8"?>
<dgm:colorsDef xmlns:dgm="http://schemas.openxmlformats.org/drawingml/2006/diagram" xmlns:a="http://schemas.openxmlformats.org/drawingml/2006/main" uniqueId="urn:microsoft.com/office/officeart/2005/8/colors/accent1_2#1">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3B00E85-CB1D-491E-8A37-B2802E4F8E7D}" type="doc">
      <dgm:prSet loTypeId="urn:microsoft.com/office/officeart/2005/8/layout/orgChart1" loCatId="hierarchy" qsTypeId="urn:microsoft.com/office/officeart/2005/8/quickstyle/simple3#1" qsCatId="simple" csTypeId="urn:microsoft.com/office/officeart/2005/8/colors/accent1_2#1" csCatId="accent1" phldr="1"/>
      <dgm:spPr/>
      <dgm:t>
        <a:bodyPr/>
        <a:lstStyle/>
        <a:p>
          <a:endParaRPr lang="da-DK"/>
        </a:p>
      </dgm:t>
    </dgm:pt>
    <dgm:pt modelId="{8F9FB29F-7152-48DA-AF1B-B8B37278DC28}">
      <dgm:prSet phldrT="[Tekst]"/>
      <dgm:spPr/>
      <dgm:t>
        <a:bodyPr/>
        <a:lstStyle/>
        <a:p>
          <a:r>
            <a:rPr lang="da-DK"/>
            <a:t>Direktør</a:t>
          </a:r>
        </a:p>
      </dgm:t>
    </dgm:pt>
    <dgm:pt modelId="{99E51FEB-8100-48FD-93B2-F8F2609D02B6}" type="parTrans" cxnId="{E463F443-DB90-4D9B-BD16-8C39B596678E}">
      <dgm:prSet/>
      <dgm:spPr/>
      <dgm:t>
        <a:bodyPr/>
        <a:lstStyle/>
        <a:p>
          <a:endParaRPr lang="da-DK"/>
        </a:p>
      </dgm:t>
    </dgm:pt>
    <dgm:pt modelId="{E968AC07-4AE1-4FD2-AAF7-8F085FBC35AF}" type="sibTrans" cxnId="{E463F443-DB90-4D9B-BD16-8C39B596678E}">
      <dgm:prSet/>
      <dgm:spPr/>
      <dgm:t>
        <a:bodyPr/>
        <a:lstStyle/>
        <a:p>
          <a:endParaRPr lang="da-DK"/>
        </a:p>
      </dgm:t>
    </dgm:pt>
    <dgm:pt modelId="{005E2E56-2E1A-48C5-8D98-63FEFE7B1302}" type="asst">
      <dgm:prSet phldrT="[Tekst]"/>
      <dgm:spPr>
        <a:ln>
          <a:noFill/>
        </a:ln>
      </dgm:spPr>
      <dgm:t>
        <a:bodyPr/>
        <a:lstStyle/>
        <a:p>
          <a:endParaRPr lang="da-DK"/>
        </a:p>
      </dgm:t>
    </dgm:pt>
    <dgm:pt modelId="{6F313F9F-0B23-4314-9D0B-1B61E98F2EB0}" type="parTrans" cxnId="{BFD8E95F-BB7A-4D40-B78E-C6F1B5C41E06}">
      <dgm:prSet/>
      <dgm:spPr/>
      <dgm:t>
        <a:bodyPr/>
        <a:lstStyle/>
        <a:p>
          <a:endParaRPr lang="da-DK"/>
        </a:p>
      </dgm:t>
    </dgm:pt>
    <dgm:pt modelId="{E4E057E9-A165-48EC-9A79-196B6D4D520F}" type="sibTrans" cxnId="{BFD8E95F-BB7A-4D40-B78E-C6F1B5C41E06}">
      <dgm:prSet/>
      <dgm:spPr/>
      <dgm:t>
        <a:bodyPr/>
        <a:lstStyle/>
        <a:p>
          <a:endParaRPr lang="da-DK"/>
        </a:p>
      </dgm:t>
    </dgm:pt>
    <dgm:pt modelId="{4E4CA586-BA39-4E74-8174-777EF34499C0}">
      <dgm:prSet phldrT="[Tekst]" custT="1"/>
      <dgm:spPr/>
      <dgm:t>
        <a:bodyPr/>
        <a:lstStyle/>
        <a:p>
          <a:r>
            <a:rPr lang="da-DK" sz="1050"/>
            <a:t>Økonomi</a:t>
          </a:r>
        </a:p>
      </dgm:t>
    </dgm:pt>
    <dgm:pt modelId="{4441DFB5-C57A-4832-9A1B-1B77EDF34D98}" type="parTrans" cxnId="{CB745F45-A26C-40EE-8146-9A6DF90BEEAB}">
      <dgm:prSet/>
      <dgm:spPr/>
      <dgm:t>
        <a:bodyPr/>
        <a:lstStyle/>
        <a:p>
          <a:endParaRPr lang="da-DK"/>
        </a:p>
      </dgm:t>
    </dgm:pt>
    <dgm:pt modelId="{CA700A16-1415-42FB-B4DA-7C8936EBD9AB}" type="sibTrans" cxnId="{CB745F45-A26C-40EE-8146-9A6DF90BEEAB}">
      <dgm:prSet/>
      <dgm:spPr/>
      <dgm:t>
        <a:bodyPr/>
        <a:lstStyle/>
        <a:p>
          <a:endParaRPr lang="da-DK"/>
        </a:p>
      </dgm:t>
    </dgm:pt>
    <dgm:pt modelId="{22DDD1F9-20CA-4EFC-B5C8-29982638295E}">
      <dgm:prSet phldrT="[Tekst]" custT="1"/>
      <dgm:spPr/>
      <dgm:t>
        <a:bodyPr/>
        <a:lstStyle/>
        <a:p>
          <a:r>
            <a:rPr lang="da-DK" sz="1050"/>
            <a:t>Leverandør</a:t>
          </a:r>
        </a:p>
      </dgm:t>
    </dgm:pt>
    <dgm:pt modelId="{C936E1C3-B9E5-483B-92B3-69E04E9CF0BC}" type="parTrans" cxnId="{8238ECB3-741B-4147-A691-1EFE73B79160}">
      <dgm:prSet/>
      <dgm:spPr/>
      <dgm:t>
        <a:bodyPr/>
        <a:lstStyle/>
        <a:p>
          <a:endParaRPr lang="da-DK"/>
        </a:p>
      </dgm:t>
    </dgm:pt>
    <dgm:pt modelId="{47409BAD-16D7-405B-AEF2-66CEBE2C5B17}" type="sibTrans" cxnId="{8238ECB3-741B-4147-A691-1EFE73B79160}">
      <dgm:prSet/>
      <dgm:spPr/>
      <dgm:t>
        <a:bodyPr/>
        <a:lstStyle/>
        <a:p>
          <a:endParaRPr lang="da-DK"/>
        </a:p>
      </dgm:t>
    </dgm:pt>
    <dgm:pt modelId="{A25D6476-0E79-4C1D-A418-11FD3D314F1A}">
      <dgm:prSet phldrT="[Tekst]" custT="1"/>
      <dgm:spPr/>
      <dgm:t>
        <a:bodyPr/>
        <a:lstStyle/>
        <a:p>
          <a:r>
            <a:rPr lang="da-DK" sz="1000"/>
            <a:t>Produktudvikling</a:t>
          </a:r>
        </a:p>
      </dgm:t>
    </dgm:pt>
    <dgm:pt modelId="{353BBD46-36F5-4D7B-892E-2D7D52533963}" type="parTrans" cxnId="{985F9697-6F06-4187-B875-E06A882AB1E2}">
      <dgm:prSet/>
      <dgm:spPr/>
      <dgm:t>
        <a:bodyPr/>
        <a:lstStyle/>
        <a:p>
          <a:endParaRPr lang="da-DK"/>
        </a:p>
      </dgm:t>
    </dgm:pt>
    <dgm:pt modelId="{B541DB6F-9C44-4EB3-AC38-52C3FCA7A3A3}" type="sibTrans" cxnId="{985F9697-6F06-4187-B875-E06A882AB1E2}">
      <dgm:prSet/>
      <dgm:spPr/>
      <dgm:t>
        <a:bodyPr/>
        <a:lstStyle/>
        <a:p>
          <a:endParaRPr lang="da-DK"/>
        </a:p>
      </dgm:t>
    </dgm:pt>
    <dgm:pt modelId="{04EC5CC3-EAA8-47C0-80B0-0686C756D116}">
      <dgm:prSet phldrT="[Tekst]" custT="1"/>
      <dgm:spPr/>
      <dgm:t>
        <a:bodyPr/>
        <a:lstStyle/>
        <a:p>
          <a:r>
            <a:rPr lang="da-DK" sz="1050"/>
            <a:t>Produktion</a:t>
          </a:r>
        </a:p>
      </dgm:t>
    </dgm:pt>
    <dgm:pt modelId="{727A89C6-8306-436E-AA71-CDCA2980F00D}" type="parTrans" cxnId="{E9F85DC3-0D99-4692-B290-77347C5F5325}">
      <dgm:prSet/>
      <dgm:spPr/>
      <dgm:t>
        <a:bodyPr/>
        <a:lstStyle/>
        <a:p>
          <a:endParaRPr lang="da-DK"/>
        </a:p>
      </dgm:t>
    </dgm:pt>
    <dgm:pt modelId="{C339D515-E472-4CBE-AE0E-BDF099FC34A7}" type="sibTrans" cxnId="{E9F85DC3-0D99-4692-B290-77347C5F5325}">
      <dgm:prSet/>
      <dgm:spPr/>
      <dgm:t>
        <a:bodyPr/>
        <a:lstStyle/>
        <a:p>
          <a:endParaRPr lang="da-DK"/>
        </a:p>
      </dgm:t>
    </dgm:pt>
    <dgm:pt modelId="{761387A8-61C4-4830-9063-C4C14BFA1A00}">
      <dgm:prSet phldrT="[Tekst]" custT="1"/>
      <dgm:spPr/>
      <dgm:t>
        <a:bodyPr/>
        <a:lstStyle/>
        <a:p>
          <a:r>
            <a:rPr lang="da-DK" sz="1050"/>
            <a:t>Kvalitetssikring</a:t>
          </a:r>
        </a:p>
      </dgm:t>
    </dgm:pt>
    <dgm:pt modelId="{FD3EA87D-EC5C-47F6-9E2A-61C52F44D96D}" type="parTrans" cxnId="{F169D1F4-3E47-4479-977F-95BC5A56466F}">
      <dgm:prSet/>
      <dgm:spPr/>
      <dgm:t>
        <a:bodyPr/>
        <a:lstStyle/>
        <a:p>
          <a:endParaRPr lang="da-DK"/>
        </a:p>
      </dgm:t>
    </dgm:pt>
    <dgm:pt modelId="{7E3079A7-D822-4E1D-8F97-3B5A817D14DA}" type="sibTrans" cxnId="{F169D1F4-3E47-4479-977F-95BC5A56466F}">
      <dgm:prSet/>
      <dgm:spPr/>
      <dgm:t>
        <a:bodyPr/>
        <a:lstStyle/>
        <a:p>
          <a:endParaRPr lang="da-DK"/>
        </a:p>
      </dgm:t>
    </dgm:pt>
    <dgm:pt modelId="{416ECAB4-39FF-424A-8B60-59081A7E9291}">
      <dgm:prSet phldrT="[Tekst]"/>
      <dgm:spPr/>
      <dgm:t>
        <a:bodyPr/>
        <a:lstStyle/>
        <a:p>
          <a:r>
            <a:rPr lang="da-DK"/>
            <a:t>Test &amp; Prototyping</a:t>
          </a:r>
        </a:p>
      </dgm:t>
    </dgm:pt>
    <dgm:pt modelId="{D1B97F1C-6CAC-42A9-A592-2F93F5E89958}" type="parTrans" cxnId="{3481EC58-1D58-4CD3-820D-E0E0307A1A61}">
      <dgm:prSet/>
      <dgm:spPr/>
      <dgm:t>
        <a:bodyPr/>
        <a:lstStyle/>
        <a:p>
          <a:endParaRPr lang="da-DK"/>
        </a:p>
      </dgm:t>
    </dgm:pt>
    <dgm:pt modelId="{1BEAED7B-CBE4-455C-AD9D-E3B1B4C34BCD}" type="sibTrans" cxnId="{3481EC58-1D58-4CD3-820D-E0E0307A1A61}">
      <dgm:prSet/>
      <dgm:spPr/>
      <dgm:t>
        <a:bodyPr/>
        <a:lstStyle/>
        <a:p>
          <a:endParaRPr lang="da-DK"/>
        </a:p>
      </dgm:t>
    </dgm:pt>
    <dgm:pt modelId="{074E9980-BD36-4C1F-ABB2-19CF61C68BD1}">
      <dgm:prSet phldrT="[Tekst]" custT="1"/>
      <dgm:spPr/>
      <dgm:t>
        <a:bodyPr/>
        <a:lstStyle/>
        <a:p>
          <a:r>
            <a:rPr lang="da-DK" sz="1050"/>
            <a:t>Montage</a:t>
          </a:r>
        </a:p>
      </dgm:t>
    </dgm:pt>
    <dgm:pt modelId="{34C09EFA-4982-4758-891D-20A880240B1F}" type="parTrans" cxnId="{34BFA37E-468D-4FF8-8614-062F0C1A27A5}">
      <dgm:prSet/>
      <dgm:spPr/>
      <dgm:t>
        <a:bodyPr/>
        <a:lstStyle/>
        <a:p>
          <a:endParaRPr lang="da-DK"/>
        </a:p>
      </dgm:t>
    </dgm:pt>
    <dgm:pt modelId="{64262CD7-308C-47EC-9AF1-4F224053C44F}" type="sibTrans" cxnId="{34BFA37E-468D-4FF8-8614-062F0C1A27A5}">
      <dgm:prSet/>
      <dgm:spPr/>
      <dgm:t>
        <a:bodyPr/>
        <a:lstStyle/>
        <a:p>
          <a:endParaRPr lang="da-DK"/>
        </a:p>
      </dgm:t>
    </dgm:pt>
    <dgm:pt modelId="{C69ABC69-FEFD-441A-9BC5-ABE57D28CC10}">
      <dgm:prSet phldrT="[Tekst]" custT="1"/>
      <dgm:spPr/>
      <dgm:t>
        <a:bodyPr/>
        <a:lstStyle/>
        <a:p>
          <a:r>
            <a:rPr lang="da-DK" sz="1050"/>
            <a:t>Design</a:t>
          </a:r>
        </a:p>
      </dgm:t>
    </dgm:pt>
    <dgm:pt modelId="{D3EA10AE-0D76-4549-904D-85723FFF5DD6}" type="parTrans" cxnId="{C7F0F52F-2016-41DE-8FDC-9F4C7BF2F01D}">
      <dgm:prSet/>
      <dgm:spPr/>
      <dgm:t>
        <a:bodyPr/>
        <a:lstStyle/>
        <a:p>
          <a:endParaRPr lang="da-DK"/>
        </a:p>
      </dgm:t>
    </dgm:pt>
    <dgm:pt modelId="{F5EAB16F-A218-48E6-AD16-2B277E073CCF}" type="sibTrans" cxnId="{C7F0F52F-2016-41DE-8FDC-9F4C7BF2F01D}">
      <dgm:prSet/>
      <dgm:spPr/>
      <dgm:t>
        <a:bodyPr/>
        <a:lstStyle/>
        <a:p>
          <a:endParaRPr lang="da-DK"/>
        </a:p>
      </dgm:t>
    </dgm:pt>
    <dgm:pt modelId="{9BE50CB4-B5D7-4CD8-A7CA-45F377192A33}">
      <dgm:prSet phldrT="[Tekst]" custT="1"/>
      <dgm:spPr/>
      <dgm:t>
        <a:bodyPr/>
        <a:lstStyle/>
        <a:p>
          <a:r>
            <a:rPr lang="da-DK" sz="1050"/>
            <a:t>Lager</a:t>
          </a:r>
        </a:p>
      </dgm:t>
    </dgm:pt>
    <dgm:pt modelId="{982C12DD-9B96-47AD-8AD0-600328D03162}" type="parTrans" cxnId="{26B848A7-086E-40EF-8C38-F67A1F00C965}">
      <dgm:prSet/>
      <dgm:spPr/>
      <dgm:t>
        <a:bodyPr/>
        <a:lstStyle/>
        <a:p>
          <a:endParaRPr lang="da-DK"/>
        </a:p>
      </dgm:t>
    </dgm:pt>
    <dgm:pt modelId="{FC368D29-FCA4-4E83-A253-7D0A5929EE1C}" type="sibTrans" cxnId="{26B848A7-086E-40EF-8C38-F67A1F00C965}">
      <dgm:prSet/>
      <dgm:spPr/>
      <dgm:t>
        <a:bodyPr/>
        <a:lstStyle/>
        <a:p>
          <a:endParaRPr lang="da-DK"/>
        </a:p>
      </dgm:t>
    </dgm:pt>
    <dgm:pt modelId="{2E69993F-228D-46DD-9BD0-FE136839205D}">
      <dgm:prSet phldrT="[Tekst]" custT="1"/>
      <dgm:spPr/>
      <dgm:t>
        <a:bodyPr/>
        <a:lstStyle/>
        <a:p>
          <a:r>
            <a:rPr lang="da-DK" sz="1050"/>
            <a:t>Bogholderi</a:t>
          </a:r>
        </a:p>
      </dgm:t>
    </dgm:pt>
    <dgm:pt modelId="{E9CCB299-3521-4073-AA47-3DE4E57AA726}" type="parTrans" cxnId="{D1398EAC-26B5-481E-951C-F2721692A1E8}">
      <dgm:prSet/>
      <dgm:spPr/>
      <dgm:t>
        <a:bodyPr/>
        <a:lstStyle/>
        <a:p>
          <a:endParaRPr lang="da-DK"/>
        </a:p>
      </dgm:t>
    </dgm:pt>
    <dgm:pt modelId="{83C48FBF-EA9F-4D7E-9963-4FC83104A797}" type="sibTrans" cxnId="{D1398EAC-26B5-481E-951C-F2721692A1E8}">
      <dgm:prSet/>
      <dgm:spPr/>
      <dgm:t>
        <a:bodyPr/>
        <a:lstStyle/>
        <a:p>
          <a:endParaRPr lang="da-DK"/>
        </a:p>
      </dgm:t>
    </dgm:pt>
    <dgm:pt modelId="{F3C460F0-2821-440C-AA05-B866B0DA9AE4}">
      <dgm:prSet phldrT="[Tekst]" custT="1"/>
      <dgm:spPr/>
      <dgm:t>
        <a:bodyPr/>
        <a:lstStyle/>
        <a:p>
          <a:r>
            <a:rPr lang="da-DK" sz="1050"/>
            <a:t>Indkøbsstyring</a:t>
          </a:r>
        </a:p>
      </dgm:t>
    </dgm:pt>
    <dgm:pt modelId="{318B16DB-F582-41FF-AAE7-5C60D533E526}" type="parTrans" cxnId="{FC4D976D-F15E-46EB-9AFD-22AF640494A8}">
      <dgm:prSet/>
      <dgm:spPr/>
      <dgm:t>
        <a:bodyPr/>
        <a:lstStyle/>
        <a:p>
          <a:endParaRPr lang="da-DK"/>
        </a:p>
      </dgm:t>
    </dgm:pt>
    <dgm:pt modelId="{C0E82C9D-C79F-4124-B5F6-BF5CF0BFF41F}" type="sibTrans" cxnId="{FC4D976D-F15E-46EB-9AFD-22AF640494A8}">
      <dgm:prSet/>
      <dgm:spPr/>
      <dgm:t>
        <a:bodyPr/>
        <a:lstStyle/>
        <a:p>
          <a:endParaRPr lang="da-DK"/>
        </a:p>
      </dgm:t>
    </dgm:pt>
    <dgm:pt modelId="{5CF23EFF-61FF-4897-BCE5-A93EDBE0E1F3}">
      <dgm:prSet phldrT="[Tekst]" custT="1"/>
      <dgm:spPr/>
      <dgm:t>
        <a:bodyPr/>
        <a:lstStyle/>
        <a:p>
          <a:r>
            <a:rPr lang="da-DK" sz="1050"/>
            <a:t>Logistik</a:t>
          </a:r>
        </a:p>
      </dgm:t>
    </dgm:pt>
    <dgm:pt modelId="{172C9E9C-FF58-43CB-B297-3AD9596CACBD}" type="sibTrans" cxnId="{87091CE0-2910-4C7C-A5A7-6AEA264C9E6C}">
      <dgm:prSet/>
      <dgm:spPr/>
      <dgm:t>
        <a:bodyPr/>
        <a:lstStyle/>
        <a:p>
          <a:endParaRPr lang="da-DK"/>
        </a:p>
      </dgm:t>
    </dgm:pt>
    <dgm:pt modelId="{C643DD10-00AA-4FC6-98FA-78ECD233A92B}" type="parTrans" cxnId="{87091CE0-2910-4C7C-A5A7-6AEA264C9E6C}">
      <dgm:prSet/>
      <dgm:spPr/>
      <dgm:t>
        <a:bodyPr/>
        <a:lstStyle/>
        <a:p>
          <a:endParaRPr lang="da-DK"/>
        </a:p>
      </dgm:t>
    </dgm:pt>
    <dgm:pt modelId="{7FFC9730-D838-48E0-AC13-AA29C26726D4}">
      <dgm:prSet phldrT="[Tekst]" custT="1"/>
      <dgm:spPr/>
      <dgm:t>
        <a:bodyPr/>
        <a:lstStyle/>
        <a:p>
          <a:r>
            <a:rPr lang="da-DK" sz="1050"/>
            <a:t>Lager</a:t>
          </a:r>
        </a:p>
      </dgm:t>
    </dgm:pt>
    <dgm:pt modelId="{F33B8582-3489-4472-890A-ED69BBF8CBDE}" type="sibTrans" cxnId="{36365971-16EF-46FE-B605-B840332333AC}">
      <dgm:prSet/>
      <dgm:spPr/>
      <dgm:t>
        <a:bodyPr/>
        <a:lstStyle/>
        <a:p>
          <a:endParaRPr lang="da-DK"/>
        </a:p>
      </dgm:t>
    </dgm:pt>
    <dgm:pt modelId="{216D9B68-A1AA-4C30-A915-DE89779A9529}" type="parTrans" cxnId="{36365971-16EF-46FE-B605-B840332333AC}">
      <dgm:prSet/>
      <dgm:spPr/>
      <dgm:t>
        <a:bodyPr/>
        <a:lstStyle/>
        <a:p>
          <a:endParaRPr lang="da-DK"/>
        </a:p>
      </dgm:t>
    </dgm:pt>
    <dgm:pt modelId="{E46DE7FF-5FCB-4739-BB6A-CCDBEF9FA9F3}">
      <dgm:prSet phldrT="[Tekst]"/>
      <dgm:spPr/>
      <dgm:t>
        <a:bodyPr/>
        <a:lstStyle/>
        <a:p>
          <a:r>
            <a:rPr lang="da-DK"/>
            <a:t>CAD/CAE</a:t>
          </a:r>
        </a:p>
      </dgm:t>
    </dgm:pt>
    <dgm:pt modelId="{9F6A9354-A7A8-4E79-9AF9-3657F912024A}" type="parTrans" cxnId="{88068958-1913-4F9E-80BC-37972ED4C98D}">
      <dgm:prSet/>
      <dgm:spPr/>
      <dgm:t>
        <a:bodyPr/>
        <a:lstStyle/>
        <a:p>
          <a:endParaRPr lang="da-DK"/>
        </a:p>
      </dgm:t>
    </dgm:pt>
    <dgm:pt modelId="{A5D1F44E-92E8-444B-A437-CD4129C42B66}" type="sibTrans" cxnId="{88068958-1913-4F9E-80BC-37972ED4C98D}">
      <dgm:prSet/>
      <dgm:spPr/>
      <dgm:t>
        <a:bodyPr/>
        <a:lstStyle/>
        <a:p>
          <a:endParaRPr lang="da-DK"/>
        </a:p>
      </dgm:t>
    </dgm:pt>
    <dgm:pt modelId="{D92671D7-F829-40D3-8548-2808851A538B}">
      <dgm:prSet phldrT="[Tekst]"/>
      <dgm:spPr/>
      <dgm:t>
        <a:bodyPr/>
        <a:lstStyle/>
        <a:p>
          <a:r>
            <a:rPr lang="da-DK"/>
            <a:t>Fremstilling</a:t>
          </a:r>
        </a:p>
      </dgm:t>
    </dgm:pt>
    <dgm:pt modelId="{2D2D9D65-51A7-4754-BBD8-430D5C3726C7}" type="parTrans" cxnId="{17427F54-2355-47F5-AF73-706AF23B1002}">
      <dgm:prSet/>
      <dgm:spPr/>
      <dgm:t>
        <a:bodyPr/>
        <a:lstStyle/>
        <a:p>
          <a:endParaRPr lang="da-DK"/>
        </a:p>
      </dgm:t>
    </dgm:pt>
    <dgm:pt modelId="{92D7C712-B010-4983-8A0C-73677D780684}" type="sibTrans" cxnId="{17427F54-2355-47F5-AF73-706AF23B1002}">
      <dgm:prSet/>
      <dgm:spPr/>
      <dgm:t>
        <a:bodyPr/>
        <a:lstStyle/>
        <a:p>
          <a:endParaRPr lang="da-DK"/>
        </a:p>
      </dgm:t>
    </dgm:pt>
    <dgm:pt modelId="{12C683B8-0B44-47D7-9AC0-2B00699DDE7E}" type="pres">
      <dgm:prSet presAssocID="{03B00E85-CB1D-491E-8A37-B2802E4F8E7D}" presName="hierChild1" presStyleCnt="0">
        <dgm:presLayoutVars>
          <dgm:orgChart val="1"/>
          <dgm:chPref val="1"/>
          <dgm:dir/>
          <dgm:animOne val="branch"/>
          <dgm:animLvl val="lvl"/>
          <dgm:resizeHandles/>
        </dgm:presLayoutVars>
      </dgm:prSet>
      <dgm:spPr/>
    </dgm:pt>
    <dgm:pt modelId="{66217266-3FCD-4BCF-8F97-8829B9C3DED4}" type="pres">
      <dgm:prSet presAssocID="{8F9FB29F-7152-48DA-AF1B-B8B37278DC28}" presName="hierRoot1" presStyleCnt="0">
        <dgm:presLayoutVars>
          <dgm:hierBranch val="init"/>
        </dgm:presLayoutVars>
      </dgm:prSet>
      <dgm:spPr/>
    </dgm:pt>
    <dgm:pt modelId="{3D52B4FA-0EB0-473C-B80C-AC57C68CEC5F}" type="pres">
      <dgm:prSet presAssocID="{8F9FB29F-7152-48DA-AF1B-B8B37278DC28}" presName="rootComposite1" presStyleCnt="0"/>
      <dgm:spPr/>
    </dgm:pt>
    <dgm:pt modelId="{29C99FBA-ECAD-40AE-822A-25F4AE54AF5B}" type="pres">
      <dgm:prSet presAssocID="{8F9FB29F-7152-48DA-AF1B-B8B37278DC28}" presName="rootText1" presStyleLbl="node0" presStyleIdx="0" presStyleCnt="1" custScaleX="126342" custScaleY="166002" custLinFactNeighborX="27791" custLinFactNeighborY="7450">
        <dgm:presLayoutVars>
          <dgm:chPref val="3"/>
        </dgm:presLayoutVars>
      </dgm:prSet>
      <dgm:spPr/>
    </dgm:pt>
    <dgm:pt modelId="{52B67686-38CE-4678-BA45-62531A2522FA}" type="pres">
      <dgm:prSet presAssocID="{8F9FB29F-7152-48DA-AF1B-B8B37278DC28}" presName="rootConnector1" presStyleLbl="node1" presStyleIdx="0" presStyleCnt="0"/>
      <dgm:spPr/>
    </dgm:pt>
    <dgm:pt modelId="{B578EFE5-D76E-42B1-A26C-A0A91D90426D}" type="pres">
      <dgm:prSet presAssocID="{8F9FB29F-7152-48DA-AF1B-B8B37278DC28}" presName="hierChild2" presStyleCnt="0"/>
      <dgm:spPr/>
    </dgm:pt>
    <dgm:pt modelId="{DA6DE023-26EE-4EA4-AEDA-2C063FE4DB15}" type="pres">
      <dgm:prSet presAssocID="{4441DFB5-C57A-4832-9A1B-1B77EDF34D98}" presName="Name37" presStyleLbl="parChTrans1D2" presStyleIdx="0" presStyleCnt="5"/>
      <dgm:spPr/>
    </dgm:pt>
    <dgm:pt modelId="{6E466A74-1A2A-478A-A7FF-413F7A488DAC}" type="pres">
      <dgm:prSet presAssocID="{4E4CA586-BA39-4E74-8174-777EF34499C0}" presName="hierRoot2" presStyleCnt="0">
        <dgm:presLayoutVars>
          <dgm:hierBranch val="init"/>
        </dgm:presLayoutVars>
      </dgm:prSet>
      <dgm:spPr/>
    </dgm:pt>
    <dgm:pt modelId="{138BC21F-9EB6-48EA-B5A4-9DAB31007700}" type="pres">
      <dgm:prSet presAssocID="{4E4CA586-BA39-4E74-8174-777EF34499C0}" presName="rootComposite" presStyleCnt="0"/>
      <dgm:spPr/>
    </dgm:pt>
    <dgm:pt modelId="{A9DC8489-C9CD-46C5-8826-CE96B3E92D2B}" type="pres">
      <dgm:prSet presAssocID="{4E4CA586-BA39-4E74-8174-777EF34499C0}" presName="rootText" presStyleLbl="node2" presStyleIdx="0" presStyleCnt="4" custScaleX="147062" custScaleY="156888" custLinFactNeighborX="-44555" custLinFactNeighborY="1087">
        <dgm:presLayoutVars>
          <dgm:chPref val="3"/>
        </dgm:presLayoutVars>
      </dgm:prSet>
      <dgm:spPr/>
    </dgm:pt>
    <dgm:pt modelId="{54A5DDC4-B79B-4AC0-A84A-8F50712C8CD0}" type="pres">
      <dgm:prSet presAssocID="{4E4CA586-BA39-4E74-8174-777EF34499C0}" presName="rootConnector" presStyleLbl="node2" presStyleIdx="0" presStyleCnt="4"/>
      <dgm:spPr/>
    </dgm:pt>
    <dgm:pt modelId="{92870C75-838D-4533-8D8D-C3E7C9E16BCE}" type="pres">
      <dgm:prSet presAssocID="{4E4CA586-BA39-4E74-8174-777EF34499C0}" presName="hierChild4" presStyleCnt="0"/>
      <dgm:spPr/>
    </dgm:pt>
    <dgm:pt modelId="{44DC04E9-6D00-438F-BCA2-90281CA154BA}" type="pres">
      <dgm:prSet presAssocID="{E9CCB299-3521-4073-AA47-3DE4E57AA726}" presName="Name37" presStyleLbl="parChTrans1D3" presStyleIdx="0" presStyleCnt="11"/>
      <dgm:spPr/>
    </dgm:pt>
    <dgm:pt modelId="{284588E2-ED40-4273-8A09-26549F51718E}" type="pres">
      <dgm:prSet presAssocID="{2E69993F-228D-46DD-9BD0-FE136839205D}" presName="hierRoot2" presStyleCnt="0">
        <dgm:presLayoutVars>
          <dgm:hierBranch val="init"/>
        </dgm:presLayoutVars>
      </dgm:prSet>
      <dgm:spPr/>
    </dgm:pt>
    <dgm:pt modelId="{084C3AB0-3B15-4EF1-812D-C23AE022A579}" type="pres">
      <dgm:prSet presAssocID="{2E69993F-228D-46DD-9BD0-FE136839205D}" presName="rootComposite" presStyleCnt="0"/>
      <dgm:spPr/>
    </dgm:pt>
    <dgm:pt modelId="{6125029B-2DED-4FF5-A8A6-43CAFBD9C722}" type="pres">
      <dgm:prSet presAssocID="{2E69993F-228D-46DD-9BD0-FE136839205D}" presName="rootText" presStyleLbl="node3" presStyleIdx="0" presStyleCnt="11" custScaleX="134725" custScaleY="141766" custLinFactNeighborX="-4616" custLinFactNeighborY="3956">
        <dgm:presLayoutVars>
          <dgm:chPref val="3"/>
        </dgm:presLayoutVars>
      </dgm:prSet>
      <dgm:spPr/>
    </dgm:pt>
    <dgm:pt modelId="{3817AC17-9089-4C31-BD63-D718F38B0C1C}" type="pres">
      <dgm:prSet presAssocID="{2E69993F-228D-46DD-9BD0-FE136839205D}" presName="rootConnector" presStyleLbl="node3" presStyleIdx="0" presStyleCnt="11"/>
      <dgm:spPr/>
    </dgm:pt>
    <dgm:pt modelId="{D0A0575E-D9E8-4EB7-A503-7E34AB39F562}" type="pres">
      <dgm:prSet presAssocID="{2E69993F-228D-46DD-9BD0-FE136839205D}" presName="hierChild4" presStyleCnt="0"/>
      <dgm:spPr/>
    </dgm:pt>
    <dgm:pt modelId="{3D674494-9854-4821-AC51-1C37799E9F8E}" type="pres">
      <dgm:prSet presAssocID="{2E69993F-228D-46DD-9BD0-FE136839205D}" presName="hierChild5" presStyleCnt="0"/>
      <dgm:spPr/>
    </dgm:pt>
    <dgm:pt modelId="{C8FABBCC-83AE-4D37-9D87-A30B9D9C8960}" type="pres">
      <dgm:prSet presAssocID="{318B16DB-F582-41FF-AAE7-5C60D533E526}" presName="Name37" presStyleLbl="parChTrans1D3" presStyleIdx="1" presStyleCnt="11"/>
      <dgm:spPr/>
    </dgm:pt>
    <dgm:pt modelId="{56AA5992-C16C-4E4A-A4E4-C8A0720570AC}" type="pres">
      <dgm:prSet presAssocID="{F3C460F0-2821-440C-AA05-B866B0DA9AE4}" presName="hierRoot2" presStyleCnt="0">
        <dgm:presLayoutVars>
          <dgm:hierBranch val="init"/>
        </dgm:presLayoutVars>
      </dgm:prSet>
      <dgm:spPr/>
    </dgm:pt>
    <dgm:pt modelId="{10ECB0F6-A988-4FFB-B6C3-9F0F1EFCDE92}" type="pres">
      <dgm:prSet presAssocID="{F3C460F0-2821-440C-AA05-B866B0DA9AE4}" presName="rootComposite" presStyleCnt="0"/>
      <dgm:spPr/>
    </dgm:pt>
    <dgm:pt modelId="{746DDA6B-7509-47F5-B22E-C70AD6CDDFB2}" type="pres">
      <dgm:prSet presAssocID="{F3C460F0-2821-440C-AA05-B866B0DA9AE4}" presName="rootText" presStyleLbl="node3" presStyleIdx="1" presStyleCnt="11" custScaleX="177734" custScaleY="161321">
        <dgm:presLayoutVars>
          <dgm:chPref val="3"/>
        </dgm:presLayoutVars>
      </dgm:prSet>
      <dgm:spPr/>
    </dgm:pt>
    <dgm:pt modelId="{B2D3A35C-23A1-4E58-8B62-6E6F00E3A4A5}" type="pres">
      <dgm:prSet presAssocID="{F3C460F0-2821-440C-AA05-B866B0DA9AE4}" presName="rootConnector" presStyleLbl="node3" presStyleIdx="1" presStyleCnt="11"/>
      <dgm:spPr/>
    </dgm:pt>
    <dgm:pt modelId="{31FA9CA9-9FA1-4B34-BECA-D8AADA54B426}" type="pres">
      <dgm:prSet presAssocID="{F3C460F0-2821-440C-AA05-B866B0DA9AE4}" presName="hierChild4" presStyleCnt="0"/>
      <dgm:spPr/>
    </dgm:pt>
    <dgm:pt modelId="{B0EA3FA6-F248-4919-A27E-B545F54D6E97}" type="pres">
      <dgm:prSet presAssocID="{F3C460F0-2821-440C-AA05-B866B0DA9AE4}" presName="hierChild5" presStyleCnt="0"/>
      <dgm:spPr/>
    </dgm:pt>
    <dgm:pt modelId="{CC2328F6-C3E1-479F-818D-71CDF98DBA0A}" type="pres">
      <dgm:prSet presAssocID="{4E4CA586-BA39-4E74-8174-777EF34499C0}" presName="hierChild5" presStyleCnt="0"/>
      <dgm:spPr/>
    </dgm:pt>
    <dgm:pt modelId="{B20D4CAA-FBEB-4551-B171-3E332F9885D2}" type="pres">
      <dgm:prSet presAssocID="{C936E1C3-B9E5-483B-92B3-69E04E9CF0BC}" presName="Name37" presStyleLbl="parChTrans1D2" presStyleIdx="1" presStyleCnt="5"/>
      <dgm:spPr/>
    </dgm:pt>
    <dgm:pt modelId="{C3246B87-5042-4281-96FF-36F4276C86D9}" type="pres">
      <dgm:prSet presAssocID="{22DDD1F9-20CA-4EFC-B5C8-29982638295E}" presName="hierRoot2" presStyleCnt="0">
        <dgm:presLayoutVars>
          <dgm:hierBranch val="init"/>
        </dgm:presLayoutVars>
      </dgm:prSet>
      <dgm:spPr/>
    </dgm:pt>
    <dgm:pt modelId="{2924D4CE-79F7-4875-8D5F-3241D939CE07}" type="pres">
      <dgm:prSet presAssocID="{22DDD1F9-20CA-4EFC-B5C8-29982638295E}" presName="rootComposite" presStyleCnt="0"/>
      <dgm:spPr/>
    </dgm:pt>
    <dgm:pt modelId="{FC6F8034-8D76-4363-8C19-0194AF322594}" type="pres">
      <dgm:prSet presAssocID="{22DDD1F9-20CA-4EFC-B5C8-29982638295E}" presName="rootText" presStyleLbl="node2" presStyleIdx="1" presStyleCnt="4" custScaleX="131269" custScaleY="164034" custLinFactNeighborX="32556" custLinFactNeighborY="-334">
        <dgm:presLayoutVars>
          <dgm:chPref val="3"/>
        </dgm:presLayoutVars>
      </dgm:prSet>
      <dgm:spPr/>
    </dgm:pt>
    <dgm:pt modelId="{2C1C3D52-1068-4FF4-90B6-A0A887C3D62D}" type="pres">
      <dgm:prSet presAssocID="{22DDD1F9-20CA-4EFC-B5C8-29982638295E}" presName="rootConnector" presStyleLbl="node2" presStyleIdx="1" presStyleCnt="4"/>
      <dgm:spPr/>
    </dgm:pt>
    <dgm:pt modelId="{13EF412A-39C6-4363-8085-BBDB1513D592}" type="pres">
      <dgm:prSet presAssocID="{22DDD1F9-20CA-4EFC-B5C8-29982638295E}" presName="hierChild4" presStyleCnt="0"/>
      <dgm:spPr/>
    </dgm:pt>
    <dgm:pt modelId="{C4F01518-E35B-48E2-B97F-ECE9F269BED5}" type="pres">
      <dgm:prSet presAssocID="{C643DD10-00AA-4FC6-98FA-78ECD233A92B}" presName="Name37" presStyleLbl="parChTrans1D3" presStyleIdx="2" presStyleCnt="11"/>
      <dgm:spPr/>
    </dgm:pt>
    <dgm:pt modelId="{7B5BECE1-89D0-4F43-94D9-3F774C92E9E6}" type="pres">
      <dgm:prSet presAssocID="{5CF23EFF-61FF-4897-BCE5-A93EDBE0E1F3}" presName="hierRoot2" presStyleCnt="0">
        <dgm:presLayoutVars>
          <dgm:hierBranch val="init"/>
        </dgm:presLayoutVars>
      </dgm:prSet>
      <dgm:spPr/>
    </dgm:pt>
    <dgm:pt modelId="{74EB1E03-7A98-42D7-850E-D34FD67FD6F4}" type="pres">
      <dgm:prSet presAssocID="{5CF23EFF-61FF-4897-BCE5-A93EDBE0E1F3}" presName="rootComposite" presStyleCnt="0"/>
      <dgm:spPr/>
    </dgm:pt>
    <dgm:pt modelId="{D627C13D-F6FA-46F9-BD94-5833E17C2013}" type="pres">
      <dgm:prSet presAssocID="{5CF23EFF-61FF-4897-BCE5-A93EDBE0E1F3}" presName="rootText" presStyleLbl="node3" presStyleIdx="2" presStyleCnt="11" custScaleX="121791" custScaleY="127468" custLinFactNeighborX="28961" custLinFactNeighborY="17094">
        <dgm:presLayoutVars>
          <dgm:chPref val="3"/>
        </dgm:presLayoutVars>
      </dgm:prSet>
      <dgm:spPr/>
    </dgm:pt>
    <dgm:pt modelId="{6E241C6E-01ED-44BA-A085-D56EB863604E}" type="pres">
      <dgm:prSet presAssocID="{5CF23EFF-61FF-4897-BCE5-A93EDBE0E1F3}" presName="rootConnector" presStyleLbl="node3" presStyleIdx="2" presStyleCnt="11"/>
      <dgm:spPr/>
    </dgm:pt>
    <dgm:pt modelId="{36438A5F-FB6B-489B-9DFE-ED3A45C882E1}" type="pres">
      <dgm:prSet presAssocID="{5CF23EFF-61FF-4897-BCE5-A93EDBE0E1F3}" presName="hierChild4" presStyleCnt="0"/>
      <dgm:spPr/>
    </dgm:pt>
    <dgm:pt modelId="{2F6E29A6-1B3C-44EB-A8AF-5BE8BE3BCDF4}" type="pres">
      <dgm:prSet presAssocID="{5CF23EFF-61FF-4897-BCE5-A93EDBE0E1F3}" presName="hierChild5" presStyleCnt="0"/>
      <dgm:spPr/>
    </dgm:pt>
    <dgm:pt modelId="{8DB47220-9669-4552-9EE7-D3B03139FD48}" type="pres">
      <dgm:prSet presAssocID="{216D9B68-A1AA-4C30-A915-DE89779A9529}" presName="Name37" presStyleLbl="parChTrans1D3" presStyleIdx="3" presStyleCnt="11"/>
      <dgm:spPr/>
    </dgm:pt>
    <dgm:pt modelId="{57C01B77-BD5B-41B5-99CE-C455091495EF}" type="pres">
      <dgm:prSet presAssocID="{7FFC9730-D838-48E0-AC13-AA29C26726D4}" presName="hierRoot2" presStyleCnt="0">
        <dgm:presLayoutVars>
          <dgm:hierBranch val="init"/>
        </dgm:presLayoutVars>
      </dgm:prSet>
      <dgm:spPr/>
    </dgm:pt>
    <dgm:pt modelId="{D18E0314-00CC-4C8F-B797-A72A44F716E5}" type="pres">
      <dgm:prSet presAssocID="{7FFC9730-D838-48E0-AC13-AA29C26726D4}" presName="rootComposite" presStyleCnt="0"/>
      <dgm:spPr/>
    </dgm:pt>
    <dgm:pt modelId="{9970F52F-BD9D-4397-9925-5EB38BADAD7A}" type="pres">
      <dgm:prSet presAssocID="{7FFC9730-D838-48E0-AC13-AA29C26726D4}" presName="rootText" presStyleLbl="node3" presStyleIdx="3" presStyleCnt="11" custScaleX="125892" custScaleY="150691" custLinFactNeighborX="39748" custLinFactNeighborY="43748">
        <dgm:presLayoutVars>
          <dgm:chPref val="3"/>
        </dgm:presLayoutVars>
      </dgm:prSet>
      <dgm:spPr/>
    </dgm:pt>
    <dgm:pt modelId="{FFF4E6FD-88D7-482C-BFD8-73D40975AFA7}" type="pres">
      <dgm:prSet presAssocID="{7FFC9730-D838-48E0-AC13-AA29C26726D4}" presName="rootConnector" presStyleLbl="node3" presStyleIdx="3" presStyleCnt="11"/>
      <dgm:spPr/>
    </dgm:pt>
    <dgm:pt modelId="{9AEA9564-FACD-4C87-BD84-AC054C523AA8}" type="pres">
      <dgm:prSet presAssocID="{7FFC9730-D838-48E0-AC13-AA29C26726D4}" presName="hierChild4" presStyleCnt="0"/>
      <dgm:spPr/>
    </dgm:pt>
    <dgm:pt modelId="{7C59A42C-A5B2-4BF7-A2ED-50BB53EF58F3}" type="pres">
      <dgm:prSet presAssocID="{7FFC9730-D838-48E0-AC13-AA29C26726D4}" presName="hierChild5" presStyleCnt="0"/>
      <dgm:spPr/>
    </dgm:pt>
    <dgm:pt modelId="{9E97599E-ACDD-49D8-B31C-3F3763D3BC52}" type="pres">
      <dgm:prSet presAssocID="{22DDD1F9-20CA-4EFC-B5C8-29982638295E}" presName="hierChild5" presStyleCnt="0"/>
      <dgm:spPr/>
    </dgm:pt>
    <dgm:pt modelId="{90E8B8F8-4A3C-4665-8A07-974AB2F560D8}" type="pres">
      <dgm:prSet presAssocID="{353BBD46-36F5-4D7B-892E-2D7D52533963}" presName="Name37" presStyleLbl="parChTrans1D2" presStyleIdx="2" presStyleCnt="5"/>
      <dgm:spPr/>
    </dgm:pt>
    <dgm:pt modelId="{E13E7F5F-834E-4560-B154-A295BE5C0290}" type="pres">
      <dgm:prSet presAssocID="{A25D6476-0E79-4C1D-A418-11FD3D314F1A}" presName="hierRoot2" presStyleCnt="0">
        <dgm:presLayoutVars>
          <dgm:hierBranch val="init"/>
        </dgm:presLayoutVars>
      </dgm:prSet>
      <dgm:spPr/>
    </dgm:pt>
    <dgm:pt modelId="{1ECB7C96-CEF6-4386-9073-4EDF62B585E1}" type="pres">
      <dgm:prSet presAssocID="{A25D6476-0E79-4C1D-A418-11FD3D314F1A}" presName="rootComposite" presStyleCnt="0"/>
      <dgm:spPr/>
    </dgm:pt>
    <dgm:pt modelId="{49824BD4-69E7-4735-AC13-8789A491E343}" type="pres">
      <dgm:prSet presAssocID="{A25D6476-0E79-4C1D-A418-11FD3D314F1A}" presName="rootText" presStyleLbl="node2" presStyleIdx="2" presStyleCnt="4" custScaleX="170368" custScaleY="181690" custLinFactNeighborX="47427" custLinFactNeighborY="869">
        <dgm:presLayoutVars>
          <dgm:chPref val="3"/>
        </dgm:presLayoutVars>
      </dgm:prSet>
      <dgm:spPr/>
    </dgm:pt>
    <dgm:pt modelId="{2ABAA48C-5435-4A54-846D-053F1D937B60}" type="pres">
      <dgm:prSet presAssocID="{A25D6476-0E79-4C1D-A418-11FD3D314F1A}" presName="rootConnector" presStyleLbl="node2" presStyleIdx="2" presStyleCnt="4"/>
      <dgm:spPr/>
    </dgm:pt>
    <dgm:pt modelId="{FC633009-066D-4C63-85E8-2180ADE81693}" type="pres">
      <dgm:prSet presAssocID="{A25D6476-0E79-4C1D-A418-11FD3D314F1A}" presName="hierChild4" presStyleCnt="0"/>
      <dgm:spPr/>
    </dgm:pt>
    <dgm:pt modelId="{59FD880C-7236-416A-88EE-944A7615D0D0}" type="pres">
      <dgm:prSet presAssocID="{D3EA10AE-0D76-4549-904D-85723FFF5DD6}" presName="Name37" presStyleLbl="parChTrans1D3" presStyleIdx="4" presStyleCnt="11"/>
      <dgm:spPr/>
    </dgm:pt>
    <dgm:pt modelId="{2A047AA8-31B7-40D6-AC5F-3C3E29EDE3C6}" type="pres">
      <dgm:prSet presAssocID="{C69ABC69-FEFD-441A-9BC5-ABE57D28CC10}" presName="hierRoot2" presStyleCnt="0">
        <dgm:presLayoutVars>
          <dgm:hierBranch val="init"/>
        </dgm:presLayoutVars>
      </dgm:prSet>
      <dgm:spPr/>
    </dgm:pt>
    <dgm:pt modelId="{4AFCC5FC-6467-430B-8948-6511BD3FB833}" type="pres">
      <dgm:prSet presAssocID="{C69ABC69-FEFD-441A-9BC5-ABE57D28CC10}" presName="rootComposite" presStyleCnt="0"/>
      <dgm:spPr/>
    </dgm:pt>
    <dgm:pt modelId="{D42A8FB6-00EE-48B0-8BA9-354CF46CA6BD}" type="pres">
      <dgm:prSet presAssocID="{C69ABC69-FEFD-441A-9BC5-ABE57D28CC10}" presName="rootText" presStyleLbl="node3" presStyleIdx="4" presStyleCnt="11" custScaleX="123222" custScaleY="133640" custLinFactNeighborX="51075" custLinFactNeighborY="22604">
        <dgm:presLayoutVars>
          <dgm:chPref val="3"/>
        </dgm:presLayoutVars>
      </dgm:prSet>
      <dgm:spPr/>
    </dgm:pt>
    <dgm:pt modelId="{24565F02-A774-41EB-9BB4-CAB3A44E55D3}" type="pres">
      <dgm:prSet presAssocID="{C69ABC69-FEFD-441A-9BC5-ABE57D28CC10}" presName="rootConnector" presStyleLbl="node3" presStyleIdx="4" presStyleCnt="11"/>
      <dgm:spPr/>
    </dgm:pt>
    <dgm:pt modelId="{5C465E8C-8C22-47E6-9EDA-5D1329D12EDA}" type="pres">
      <dgm:prSet presAssocID="{C69ABC69-FEFD-441A-9BC5-ABE57D28CC10}" presName="hierChild4" presStyleCnt="0"/>
      <dgm:spPr/>
    </dgm:pt>
    <dgm:pt modelId="{630D4BBF-5A1A-4B90-A62D-2D488AF325C0}" type="pres">
      <dgm:prSet presAssocID="{C69ABC69-FEFD-441A-9BC5-ABE57D28CC10}" presName="hierChild5" presStyleCnt="0"/>
      <dgm:spPr/>
    </dgm:pt>
    <dgm:pt modelId="{751C48FE-EB9E-4D11-854A-517498C747DB}" type="pres">
      <dgm:prSet presAssocID="{D1B97F1C-6CAC-42A9-A592-2F93F5E89958}" presName="Name37" presStyleLbl="parChTrans1D3" presStyleIdx="5" presStyleCnt="11"/>
      <dgm:spPr/>
    </dgm:pt>
    <dgm:pt modelId="{1677A15D-A6F5-49B3-9ABC-7808E78FDD8E}" type="pres">
      <dgm:prSet presAssocID="{416ECAB4-39FF-424A-8B60-59081A7E9291}" presName="hierRoot2" presStyleCnt="0">
        <dgm:presLayoutVars>
          <dgm:hierBranch val="init"/>
        </dgm:presLayoutVars>
      </dgm:prSet>
      <dgm:spPr/>
    </dgm:pt>
    <dgm:pt modelId="{EBD7252D-E60E-4243-82BC-605E77151605}" type="pres">
      <dgm:prSet presAssocID="{416ECAB4-39FF-424A-8B60-59081A7E9291}" presName="rootComposite" presStyleCnt="0"/>
      <dgm:spPr/>
    </dgm:pt>
    <dgm:pt modelId="{6EEEA550-8178-4005-9CC2-50217B8B7832}" type="pres">
      <dgm:prSet presAssocID="{416ECAB4-39FF-424A-8B60-59081A7E9291}" presName="rootText" presStyleLbl="node3" presStyleIdx="5" presStyleCnt="11" custScaleX="133272" custScaleY="148115" custLinFactNeighborX="43197" custLinFactNeighborY="15202">
        <dgm:presLayoutVars>
          <dgm:chPref val="3"/>
        </dgm:presLayoutVars>
      </dgm:prSet>
      <dgm:spPr/>
    </dgm:pt>
    <dgm:pt modelId="{737849B4-FF47-42B7-B749-CB77A951E6C1}" type="pres">
      <dgm:prSet presAssocID="{416ECAB4-39FF-424A-8B60-59081A7E9291}" presName="rootConnector" presStyleLbl="node3" presStyleIdx="5" presStyleCnt="11"/>
      <dgm:spPr/>
    </dgm:pt>
    <dgm:pt modelId="{CDA5121A-4C24-4EB7-B9FC-F9B66C2B31C0}" type="pres">
      <dgm:prSet presAssocID="{416ECAB4-39FF-424A-8B60-59081A7E9291}" presName="hierChild4" presStyleCnt="0"/>
      <dgm:spPr/>
    </dgm:pt>
    <dgm:pt modelId="{4C759A7F-BED3-4DD5-9379-912FFD3289A4}" type="pres">
      <dgm:prSet presAssocID="{416ECAB4-39FF-424A-8B60-59081A7E9291}" presName="hierChild5" presStyleCnt="0"/>
      <dgm:spPr/>
    </dgm:pt>
    <dgm:pt modelId="{FDCB34E0-21B9-42D3-A31D-2C1F3B6BBBAE}" type="pres">
      <dgm:prSet presAssocID="{9F6A9354-A7A8-4E79-9AF9-3657F912024A}" presName="Name37" presStyleLbl="parChTrans1D3" presStyleIdx="6" presStyleCnt="11"/>
      <dgm:spPr/>
    </dgm:pt>
    <dgm:pt modelId="{E9DC8804-2769-4F8D-9A73-7EDE09E8EDD8}" type="pres">
      <dgm:prSet presAssocID="{E46DE7FF-5FCB-4739-BB6A-CCDBEF9FA9F3}" presName="hierRoot2" presStyleCnt="0">
        <dgm:presLayoutVars>
          <dgm:hierBranch val="init"/>
        </dgm:presLayoutVars>
      </dgm:prSet>
      <dgm:spPr/>
    </dgm:pt>
    <dgm:pt modelId="{D08FA66B-9CC1-4B01-92B7-D47A26FA4270}" type="pres">
      <dgm:prSet presAssocID="{E46DE7FF-5FCB-4739-BB6A-CCDBEF9FA9F3}" presName="rootComposite" presStyleCnt="0"/>
      <dgm:spPr/>
    </dgm:pt>
    <dgm:pt modelId="{E2377631-7583-4AC0-BC7C-388D431DF582}" type="pres">
      <dgm:prSet presAssocID="{E46DE7FF-5FCB-4739-BB6A-CCDBEF9FA9F3}" presName="rootText" presStyleLbl="node3" presStyleIdx="6" presStyleCnt="11" custScaleX="136786" custScaleY="148912" custLinFactNeighborX="41959" custLinFactNeighborY="77660">
        <dgm:presLayoutVars>
          <dgm:chPref val="3"/>
        </dgm:presLayoutVars>
      </dgm:prSet>
      <dgm:spPr/>
    </dgm:pt>
    <dgm:pt modelId="{71922D1D-093C-473E-BA59-D147EFE69A97}" type="pres">
      <dgm:prSet presAssocID="{E46DE7FF-5FCB-4739-BB6A-CCDBEF9FA9F3}" presName="rootConnector" presStyleLbl="node3" presStyleIdx="6" presStyleCnt="11"/>
      <dgm:spPr/>
    </dgm:pt>
    <dgm:pt modelId="{697E4F44-8E97-4918-93A3-3B2BF27AF44D}" type="pres">
      <dgm:prSet presAssocID="{E46DE7FF-5FCB-4739-BB6A-CCDBEF9FA9F3}" presName="hierChild4" presStyleCnt="0"/>
      <dgm:spPr/>
    </dgm:pt>
    <dgm:pt modelId="{DE949421-7702-48BC-B8C0-E7883ED2E5B0}" type="pres">
      <dgm:prSet presAssocID="{E46DE7FF-5FCB-4739-BB6A-CCDBEF9FA9F3}" presName="hierChild5" presStyleCnt="0"/>
      <dgm:spPr/>
    </dgm:pt>
    <dgm:pt modelId="{75EFE1E6-D1E1-4B34-BD48-A88E578FB749}" type="pres">
      <dgm:prSet presAssocID="{A25D6476-0E79-4C1D-A418-11FD3D314F1A}" presName="hierChild5" presStyleCnt="0"/>
      <dgm:spPr/>
    </dgm:pt>
    <dgm:pt modelId="{46B60A61-94A3-4348-AA4B-F0464FC9CC29}" type="pres">
      <dgm:prSet presAssocID="{727A89C6-8306-436E-AA71-CDCA2980F00D}" presName="Name37" presStyleLbl="parChTrans1D2" presStyleIdx="3" presStyleCnt="5"/>
      <dgm:spPr/>
    </dgm:pt>
    <dgm:pt modelId="{2F5901B7-7A06-4A73-A013-C78C46B558C4}" type="pres">
      <dgm:prSet presAssocID="{04EC5CC3-EAA8-47C0-80B0-0686C756D116}" presName="hierRoot2" presStyleCnt="0">
        <dgm:presLayoutVars>
          <dgm:hierBranch val="init"/>
        </dgm:presLayoutVars>
      </dgm:prSet>
      <dgm:spPr/>
    </dgm:pt>
    <dgm:pt modelId="{86B90B24-D352-463E-A30A-85734C9E5B57}" type="pres">
      <dgm:prSet presAssocID="{04EC5CC3-EAA8-47C0-80B0-0686C756D116}" presName="rootComposite" presStyleCnt="0"/>
      <dgm:spPr/>
    </dgm:pt>
    <dgm:pt modelId="{7728D05C-B89B-4E27-B531-0CBCBD7330B7}" type="pres">
      <dgm:prSet presAssocID="{04EC5CC3-EAA8-47C0-80B0-0686C756D116}" presName="rootText" presStyleLbl="node2" presStyleIdx="3" presStyleCnt="4" custScaleX="164827" custScaleY="170685" custLinFactNeighborX="54876" custLinFactNeighborY="-893">
        <dgm:presLayoutVars>
          <dgm:chPref val="3"/>
        </dgm:presLayoutVars>
      </dgm:prSet>
      <dgm:spPr/>
    </dgm:pt>
    <dgm:pt modelId="{DAE66AC9-E46A-494D-9169-E38597DEFB2E}" type="pres">
      <dgm:prSet presAssocID="{04EC5CC3-EAA8-47C0-80B0-0686C756D116}" presName="rootConnector" presStyleLbl="node2" presStyleIdx="3" presStyleCnt="4"/>
      <dgm:spPr/>
    </dgm:pt>
    <dgm:pt modelId="{C5F9F6DB-DDD9-4B70-B5DA-C7792A49CB52}" type="pres">
      <dgm:prSet presAssocID="{04EC5CC3-EAA8-47C0-80B0-0686C756D116}" presName="hierChild4" presStyleCnt="0"/>
      <dgm:spPr/>
    </dgm:pt>
    <dgm:pt modelId="{0DBAC5DC-BD1C-4F71-8D54-E21D28CAEF6F}" type="pres">
      <dgm:prSet presAssocID="{34C09EFA-4982-4758-891D-20A880240B1F}" presName="Name37" presStyleLbl="parChTrans1D3" presStyleIdx="7" presStyleCnt="11"/>
      <dgm:spPr/>
    </dgm:pt>
    <dgm:pt modelId="{8A006A05-9619-4249-B10A-CC3727D5F075}" type="pres">
      <dgm:prSet presAssocID="{074E9980-BD36-4C1F-ABB2-19CF61C68BD1}" presName="hierRoot2" presStyleCnt="0">
        <dgm:presLayoutVars>
          <dgm:hierBranch val="init"/>
        </dgm:presLayoutVars>
      </dgm:prSet>
      <dgm:spPr/>
    </dgm:pt>
    <dgm:pt modelId="{61258ED3-7289-4273-9E44-7012261880F0}" type="pres">
      <dgm:prSet presAssocID="{074E9980-BD36-4C1F-ABB2-19CF61C68BD1}" presName="rootComposite" presStyleCnt="0"/>
      <dgm:spPr/>
    </dgm:pt>
    <dgm:pt modelId="{4391D233-20D2-49BA-9124-EA14AEAC572B}" type="pres">
      <dgm:prSet presAssocID="{074E9980-BD36-4C1F-ABB2-19CF61C68BD1}" presName="rootText" presStyleLbl="node3" presStyleIdx="7" presStyleCnt="11" custScaleX="121467" custScaleY="134359" custLinFactNeighborX="58269" custLinFactNeighborY="-16135">
        <dgm:presLayoutVars>
          <dgm:chPref val="3"/>
        </dgm:presLayoutVars>
      </dgm:prSet>
      <dgm:spPr/>
    </dgm:pt>
    <dgm:pt modelId="{457A822A-1424-4B1D-ACDC-1BE390D5C37E}" type="pres">
      <dgm:prSet presAssocID="{074E9980-BD36-4C1F-ABB2-19CF61C68BD1}" presName="rootConnector" presStyleLbl="node3" presStyleIdx="7" presStyleCnt="11"/>
      <dgm:spPr/>
    </dgm:pt>
    <dgm:pt modelId="{2AA2FBDD-C3BC-416B-8F2C-1C08D00BD3F1}" type="pres">
      <dgm:prSet presAssocID="{074E9980-BD36-4C1F-ABB2-19CF61C68BD1}" presName="hierChild4" presStyleCnt="0"/>
      <dgm:spPr/>
    </dgm:pt>
    <dgm:pt modelId="{8E9C19CE-2B09-4B24-8CBA-E9F53DBAAB4A}" type="pres">
      <dgm:prSet presAssocID="{074E9980-BD36-4C1F-ABB2-19CF61C68BD1}" presName="hierChild5" presStyleCnt="0"/>
      <dgm:spPr/>
    </dgm:pt>
    <dgm:pt modelId="{3C43034A-F208-409D-9C21-ECCC037B86F6}" type="pres">
      <dgm:prSet presAssocID="{982C12DD-9B96-47AD-8AD0-600328D03162}" presName="Name37" presStyleLbl="parChTrans1D3" presStyleIdx="8" presStyleCnt="11"/>
      <dgm:spPr/>
    </dgm:pt>
    <dgm:pt modelId="{5F8B8B4C-305B-4D3A-AF3E-1B91DDE06261}" type="pres">
      <dgm:prSet presAssocID="{9BE50CB4-B5D7-4CD8-A7CA-45F377192A33}" presName="hierRoot2" presStyleCnt="0">
        <dgm:presLayoutVars>
          <dgm:hierBranch val="init"/>
        </dgm:presLayoutVars>
      </dgm:prSet>
      <dgm:spPr/>
    </dgm:pt>
    <dgm:pt modelId="{23674823-1DA6-458D-A13B-0B68E89A6EAD}" type="pres">
      <dgm:prSet presAssocID="{9BE50CB4-B5D7-4CD8-A7CA-45F377192A33}" presName="rootComposite" presStyleCnt="0"/>
      <dgm:spPr/>
    </dgm:pt>
    <dgm:pt modelId="{6EEB8022-FAF9-4555-A6FA-0C6553C84305}" type="pres">
      <dgm:prSet presAssocID="{9BE50CB4-B5D7-4CD8-A7CA-45F377192A33}" presName="rootText" presStyleLbl="node3" presStyleIdx="8" presStyleCnt="11" custScaleX="117923" custScaleY="131277" custLinFactNeighborX="63893" custLinFactNeighborY="-31254">
        <dgm:presLayoutVars>
          <dgm:chPref val="3"/>
        </dgm:presLayoutVars>
      </dgm:prSet>
      <dgm:spPr/>
    </dgm:pt>
    <dgm:pt modelId="{619C75C6-662D-4154-BD89-97595C140A1B}" type="pres">
      <dgm:prSet presAssocID="{9BE50CB4-B5D7-4CD8-A7CA-45F377192A33}" presName="rootConnector" presStyleLbl="node3" presStyleIdx="8" presStyleCnt="11"/>
      <dgm:spPr/>
    </dgm:pt>
    <dgm:pt modelId="{24EA894F-B798-4EDA-B094-0BED2B500276}" type="pres">
      <dgm:prSet presAssocID="{9BE50CB4-B5D7-4CD8-A7CA-45F377192A33}" presName="hierChild4" presStyleCnt="0"/>
      <dgm:spPr/>
    </dgm:pt>
    <dgm:pt modelId="{0A6DA64D-DAA7-44D5-9511-65BB78923427}" type="pres">
      <dgm:prSet presAssocID="{9BE50CB4-B5D7-4CD8-A7CA-45F377192A33}" presName="hierChild5" presStyleCnt="0"/>
      <dgm:spPr/>
    </dgm:pt>
    <dgm:pt modelId="{14E4E96D-50C8-4392-8DD9-0FEDF0C87722}" type="pres">
      <dgm:prSet presAssocID="{FD3EA87D-EC5C-47F6-9E2A-61C52F44D96D}" presName="Name37" presStyleLbl="parChTrans1D3" presStyleIdx="9" presStyleCnt="11"/>
      <dgm:spPr/>
    </dgm:pt>
    <dgm:pt modelId="{1266EA0D-A5FC-44BE-9D87-731B90A90587}" type="pres">
      <dgm:prSet presAssocID="{761387A8-61C4-4830-9063-C4C14BFA1A00}" presName="hierRoot2" presStyleCnt="0">
        <dgm:presLayoutVars>
          <dgm:hierBranch val="init"/>
        </dgm:presLayoutVars>
      </dgm:prSet>
      <dgm:spPr/>
    </dgm:pt>
    <dgm:pt modelId="{6EB7F48F-AB46-49BB-A66C-839D967F0F4F}" type="pres">
      <dgm:prSet presAssocID="{761387A8-61C4-4830-9063-C4C14BFA1A00}" presName="rootComposite" presStyleCnt="0"/>
      <dgm:spPr/>
    </dgm:pt>
    <dgm:pt modelId="{B48EAF1B-C1F5-4500-BBC3-0CF76359A4F8}" type="pres">
      <dgm:prSet presAssocID="{761387A8-61C4-4830-9063-C4C14BFA1A00}" presName="rootText" presStyleLbl="node3" presStyleIdx="9" presStyleCnt="11" custScaleX="169541" custScaleY="151831" custLinFactNeighborX="65010" custLinFactNeighborY="-34539">
        <dgm:presLayoutVars>
          <dgm:chPref val="3"/>
        </dgm:presLayoutVars>
      </dgm:prSet>
      <dgm:spPr/>
    </dgm:pt>
    <dgm:pt modelId="{FA19336F-5422-4A2D-8B52-E3CA1B53B614}" type="pres">
      <dgm:prSet presAssocID="{761387A8-61C4-4830-9063-C4C14BFA1A00}" presName="rootConnector" presStyleLbl="node3" presStyleIdx="9" presStyleCnt="11"/>
      <dgm:spPr/>
    </dgm:pt>
    <dgm:pt modelId="{71E62B26-FF4C-40A7-B911-B7929B93AB65}" type="pres">
      <dgm:prSet presAssocID="{761387A8-61C4-4830-9063-C4C14BFA1A00}" presName="hierChild4" presStyleCnt="0"/>
      <dgm:spPr/>
    </dgm:pt>
    <dgm:pt modelId="{A8AE5821-E188-4FF6-8B84-45FB2F615B0E}" type="pres">
      <dgm:prSet presAssocID="{761387A8-61C4-4830-9063-C4C14BFA1A00}" presName="hierChild5" presStyleCnt="0"/>
      <dgm:spPr/>
    </dgm:pt>
    <dgm:pt modelId="{21462555-F90E-4B08-B843-5E4458E2C969}" type="pres">
      <dgm:prSet presAssocID="{2D2D9D65-51A7-4754-BBD8-430D5C3726C7}" presName="Name37" presStyleLbl="parChTrans1D3" presStyleIdx="10" presStyleCnt="11"/>
      <dgm:spPr/>
    </dgm:pt>
    <dgm:pt modelId="{F9477C9E-962B-41B4-8DA1-7DA49FD085CE}" type="pres">
      <dgm:prSet presAssocID="{D92671D7-F829-40D3-8548-2808851A538B}" presName="hierRoot2" presStyleCnt="0">
        <dgm:presLayoutVars>
          <dgm:hierBranch val="init"/>
        </dgm:presLayoutVars>
      </dgm:prSet>
      <dgm:spPr/>
    </dgm:pt>
    <dgm:pt modelId="{0321FF96-CAB5-416C-AE1E-B47A14CE0D74}" type="pres">
      <dgm:prSet presAssocID="{D92671D7-F829-40D3-8548-2808851A538B}" presName="rootComposite" presStyleCnt="0"/>
      <dgm:spPr/>
    </dgm:pt>
    <dgm:pt modelId="{71A9647B-8FA5-428C-865C-A134C0879ADF}" type="pres">
      <dgm:prSet presAssocID="{D92671D7-F829-40D3-8548-2808851A538B}" presName="rootText" presStyleLbl="node3" presStyleIdx="10" presStyleCnt="11" custScaleX="133230" custScaleY="162181" custLinFactNeighborX="56824" custLinFactNeighborY="-28851">
        <dgm:presLayoutVars>
          <dgm:chPref val="3"/>
        </dgm:presLayoutVars>
      </dgm:prSet>
      <dgm:spPr/>
    </dgm:pt>
    <dgm:pt modelId="{3A8820BF-E56E-4853-A6F1-483C48661702}" type="pres">
      <dgm:prSet presAssocID="{D92671D7-F829-40D3-8548-2808851A538B}" presName="rootConnector" presStyleLbl="node3" presStyleIdx="10" presStyleCnt="11"/>
      <dgm:spPr/>
    </dgm:pt>
    <dgm:pt modelId="{8CCD89E1-03D9-4F03-876D-714CCD313D7C}" type="pres">
      <dgm:prSet presAssocID="{D92671D7-F829-40D3-8548-2808851A538B}" presName="hierChild4" presStyleCnt="0"/>
      <dgm:spPr/>
    </dgm:pt>
    <dgm:pt modelId="{22AB5A35-6417-41EC-8ED1-B981B4606437}" type="pres">
      <dgm:prSet presAssocID="{D92671D7-F829-40D3-8548-2808851A538B}" presName="hierChild5" presStyleCnt="0"/>
      <dgm:spPr/>
    </dgm:pt>
    <dgm:pt modelId="{6325A59D-62FC-4045-8F9A-2C1615B696FE}" type="pres">
      <dgm:prSet presAssocID="{04EC5CC3-EAA8-47C0-80B0-0686C756D116}" presName="hierChild5" presStyleCnt="0"/>
      <dgm:spPr/>
    </dgm:pt>
    <dgm:pt modelId="{C1ECEDD0-718D-45E9-8DB8-6A8062779DEE}" type="pres">
      <dgm:prSet presAssocID="{8F9FB29F-7152-48DA-AF1B-B8B37278DC28}" presName="hierChild3" presStyleCnt="0"/>
      <dgm:spPr/>
    </dgm:pt>
    <dgm:pt modelId="{84BCEDC1-7E84-4C85-B15B-E14BB58ED55F}" type="pres">
      <dgm:prSet presAssocID="{6F313F9F-0B23-4314-9D0B-1B61E98F2EB0}" presName="Name111" presStyleLbl="parChTrans1D2" presStyleIdx="4" presStyleCnt="5"/>
      <dgm:spPr/>
    </dgm:pt>
    <dgm:pt modelId="{2BF235A1-D790-4C1C-8BB7-28F7EFC4CDB9}" type="pres">
      <dgm:prSet presAssocID="{005E2E56-2E1A-48C5-8D98-63FEFE7B1302}" presName="hierRoot3" presStyleCnt="0">
        <dgm:presLayoutVars>
          <dgm:hierBranch val="init"/>
        </dgm:presLayoutVars>
      </dgm:prSet>
      <dgm:spPr/>
    </dgm:pt>
    <dgm:pt modelId="{C08A26AC-98E6-45C4-8997-146F22351E2F}" type="pres">
      <dgm:prSet presAssocID="{005E2E56-2E1A-48C5-8D98-63FEFE7B1302}" presName="rootComposite3" presStyleCnt="0"/>
      <dgm:spPr/>
    </dgm:pt>
    <dgm:pt modelId="{C03D4533-B4B9-4DD0-A51D-88951981D822}" type="pres">
      <dgm:prSet presAssocID="{005E2E56-2E1A-48C5-8D98-63FEFE7B1302}" presName="rootText3" presStyleLbl="asst1" presStyleIdx="0" presStyleCnt="1" custFlipVert="1" custScaleX="22860" custScaleY="11322" custLinFactNeighborX="1682" custLinFactNeighborY="-841">
        <dgm:presLayoutVars>
          <dgm:chPref val="3"/>
        </dgm:presLayoutVars>
      </dgm:prSet>
      <dgm:spPr/>
    </dgm:pt>
    <dgm:pt modelId="{FD33DD75-2F90-45DE-AF92-009FFDB3150F}" type="pres">
      <dgm:prSet presAssocID="{005E2E56-2E1A-48C5-8D98-63FEFE7B1302}" presName="rootConnector3" presStyleLbl="asst1" presStyleIdx="0" presStyleCnt="1"/>
      <dgm:spPr/>
    </dgm:pt>
    <dgm:pt modelId="{F7AC7BEA-8E33-4A7F-A9BA-C216FCDC9CFD}" type="pres">
      <dgm:prSet presAssocID="{005E2E56-2E1A-48C5-8D98-63FEFE7B1302}" presName="hierChild6" presStyleCnt="0"/>
      <dgm:spPr/>
    </dgm:pt>
    <dgm:pt modelId="{64201224-F22A-45F8-B29C-AEB08129DBEE}" type="pres">
      <dgm:prSet presAssocID="{005E2E56-2E1A-48C5-8D98-63FEFE7B1302}" presName="hierChild7" presStyleCnt="0"/>
      <dgm:spPr/>
    </dgm:pt>
  </dgm:ptLst>
  <dgm:cxnLst>
    <dgm:cxn modelId="{9118560A-8627-4863-8CCB-87CD46954290}" type="presOf" srcId="{F3C460F0-2821-440C-AA05-B866B0DA9AE4}" destId="{746DDA6B-7509-47F5-B22E-C70AD6CDDFB2}" srcOrd="0" destOrd="0" presId="urn:microsoft.com/office/officeart/2005/8/layout/orgChart1"/>
    <dgm:cxn modelId="{2BBA4D0C-FCB0-489E-A3E5-A7F09F7ACFAF}" type="presOf" srcId="{E9CCB299-3521-4073-AA47-3DE4E57AA726}" destId="{44DC04E9-6D00-438F-BCA2-90281CA154BA}" srcOrd="0" destOrd="0" presId="urn:microsoft.com/office/officeart/2005/8/layout/orgChart1"/>
    <dgm:cxn modelId="{F75EF814-532D-4B72-8DE4-688BEAD01CD0}" type="presOf" srcId="{005E2E56-2E1A-48C5-8D98-63FEFE7B1302}" destId="{FD33DD75-2F90-45DE-AF92-009FFDB3150F}" srcOrd="1" destOrd="0" presId="urn:microsoft.com/office/officeart/2005/8/layout/orgChart1"/>
    <dgm:cxn modelId="{7DD4F115-6F3A-46FC-826C-0FB2F7103FCC}" type="presOf" srcId="{04EC5CC3-EAA8-47C0-80B0-0686C756D116}" destId="{DAE66AC9-E46A-494D-9169-E38597DEFB2E}" srcOrd="1" destOrd="0" presId="urn:microsoft.com/office/officeart/2005/8/layout/orgChart1"/>
    <dgm:cxn modelId="{E785AA1B-19C8-4EA7-8BB4-FFC2D3434626}" type="presOf" srcId="{318B16DB-F582-41FF-AAE7-5C60D533E526}" destId="{C8FABBCC-83AE-4D37-9D87-A30B9D9C8960}" srcOrd="0" destOrd="0" presId="urn:microsoft.com/office/officeart/2005/8/layout/orgChart1"/>
    <dgm:cxn modelId="{DB46331D-5923-4660-ADCF-465882AFA30C}" type="presOf" srcId="{074E9980-BD36-4C1F-ABB2-19CF61C68BD1}" destId="{4391D233-20D2-49BA-9124-EA14AEAC572B}" srcOrd="0" destOrd="0" presId="urn:microsoft.com/office/officeart/2005/8/layout/orgChart1"/>
    <dgm:cxn modelId="{340BFB1D-7A1E-4298-B29C-6B9ADF87CB04}" type="presOf" srcId="{7FFC9730-D838-48E0-AC13-AA29C26726D4}" destId="{9970F52F-BD9D-4397-9925-5EB38BADAD7A}" srcOrd="0" destOrd="0" presId="urn:microsoft.com/office/officeart/2005/8/layout/orgChart1"/>
    <dgm:cxn modelId="{F5458721-2CAB-43AB-A243-4D881A01E7CD}" type="presOf" srcId="{D1B97F1C-6CAC-42A9-A592-2F93F5E89958}" destId="{751C48FE-EB9E-4D11-854A-517498C747DB}" srcOrd="0" destOrd="0" presId="urn:microsoft.com/office/officeart/2005/8/layout/orgChart1"/>
    <dgm:cxn modelId="{99705024-4F5D-45FB-A4BE-BCD06389F67A}" type="presOf" srcId="{E46DE7FF-5FCB-4739-BB6A-CCDBEF9FA9F3}" destId="{E2377631-7583-4AC0-BC7C-388D431DF582}" srcOrd="0" destOrd="0" presId="urn:microsoft.com/office/officeart/2005/8/layout/orgChart1"/>
    <dgm:cxn modelId="{F9E15328-FA65-43D3-B62A-21DD61FFDE1E}" type="presOf" srcId="{D92671D7-F829-40D3-8548-2808851A538B}" destId="{3A8820BF-E56E-4853-A6F1-483C48661702}" srcOrd="1" destOrd="0" presId="urn:microsoft.com/office/officeart/2005/8/layout/orgChart1"/>
    <dgm:cxn modelId="{C7F0F52F-2016-41DE-8FDC-9F4C7BF2F01D}" srcId="{A25D6476-0E79-4C1D-A418-11FD3D314F1A}" destId="{C69ABC69-FEFD-441A-9BC5-ABE57D28CC10}" srcOrd="0" destOrd="0" parTransId="{D3EA10AE-0D76-4549-904D-85723FFF5DD6}" sibTransId="{F5EAB16F-A218-48E6-AD16-2B277E073CCF}"/>
    <dgm:cxn modelId="{8CAF6533-4789-48BA-97B6-3FEE7A9EF669}" type="presOf" srcId="{9F6A9354-A7A8-4E79-9AF9-3657F912024A}" destId="{FDCB34E0-21B9-42D3-A31D-2C1F3B6BBBAE}" srcOrd="0" destOrd="0" presId="urn:microsoft.com/office/officeart/2005/8/layout/orgChart1"/>
    <dgm:cxn modelId="{E72A7D38-4315-4B9D-841A-D0AA9B2289E4}" type="presOf" srcId="{34C09EFA-4982-4758-891D-20A880240B1F}" destId="{0DBAC5DC-BD1C-4F71-8D54-E21D28CAEF6F}" srcOrd="0" destOrd="0" presId="urn:microsoft.com/office/officeart/2005/8/layout/orgChart1"/>
    <dgm:cxn modelId="{84116641-02D5-492C-86D4-BF5418360658}" type="presOf" srcId="{22DDD1F9-20CA-4EFC-B5C8-29982638295E}" destId="{FC6F8034-8D76-4363-8C19-0194AF322594}" srcOrd="0" destOrd="0" presId="urn:microsoft.com/office/officeart/2005/8/layout/orgChart1"/>
    <dgm:cxn modelId="{B6A47F41-8189-49E3-AC38-162B8FFE6AB8}" type="presOf" srcId="{7FFC9730-D838-48E0-AC13-AA29C26726D4}" destId="{FFF4E6FD-88D7-482C-BFD8-73D40975AFA7}" srcOrd="1" destOrd="0" presId="urn:microsoft.com/office/officeart/2005/8/layout/orgChart1"/>
    <dgm:cxn modelId="{B91FB241-605C-4BAF-8EC1-F881635F4C88}" type="presOf" srcId="{C643DD10-00AA-4FC6-98FA-78ECD233A92B}" destId="{C4F01518-E35B-48E2-B97F-ECE9F269BED5}" srcOrd="0" destOrd="0" presId="urn:microsoft.com/office/officeart/2005/8/layout/orgChart1"/>
    <dgm:cxn modelId="{E6C5D542-7091-42CD-8DA9-B32E51531CFD}" type="presOf" srcId="{4E4CA586-BA39-4E74-8174-777EF34499C0}" destId="{54A5DDC4-B79B-4AC0-A84A-8F50712C8CD0}" srcOrd="1" destOrd="0" presId="urn:microsoft.com/office/officeart/2005/8/layout/orgChart1"/>
    <dgm:cxn modelId="{E463F443-DB90-4D9B-BD16-8C39B596678E}" srcId="{03B00E85-CB1D-491E-8A37-B2802E4F8E7D}" destId="{8F9FB29F-7152-48DA-AF1B-B8B37278DC28}" srcOrd="0" destOrd="0" parTransId="{99E51FEB-8100-48FD-93B2-F8F2609D02B6}" sibTransId="{E968AC07-4AE1-4FD2-AAF7-8F085FBC35AF}"/>
    <dgm:cxn modelId="{CB745F45-A26C-40EE-8146-9A6DF90BEEAB}" srcId="{8F9FB29F-7152-48DA-AF1B-B8B37278DC28}" destId="{4E4CA586-BA39-4E74-8174-777EF34499C0}" srcOrd="1" destOrd="0" parTransId="{4441DFB5-C57A-4832-9A1B-1B77EDF34D98}" sibTransId="{CA700A16-1415-42FB-B4DA-7C8936EBD9AB}"/>
    <dgm:cxn modelId="{B0D39746-D204-4F31-8FAC-689C33431F29}" type="presOf" srcId="{2E69993F-228D-46DD-9BD0-FE136839205D}" destId="{3817AC17-9089-4C31-BD63-D718F38B0C1C}" srcOrd="1" destOrd="0" presId="urn:microsoft.com/office/officeart/2005/8/layout/orgChart1"/>
    <dgm:cxn modelId="{7B4D3352-D100-4E49-900F-D039A19F382E}" type="presOf" srcId="{A25D6476-0E79-4C1D-A418-11FD3D314F1A}" destId="{2ABAA48C-5435-4A54-846D-053F1D937B60}" srcOrd="1" destOrd="0" presId="urn:microsoft.com/office/officeart/2005/8/layout/orgChart1"/>
    <dgm:cxn modelId="{17427F54-2355-47F5-AF73-706AF23B1002}" srcId="{04EC5CC3-EAA8-47C0-80B0-0686C756D116}" destId="{D92671D7-F829-40D3-8548-2808851A538B}" srcOrd="3" destOrd="0" parTransId="{2D2D9D65-51A7-4754-BBD8-430D5C3726C7}" sibTransId="{92D7C712-B010-4983-8A0C-73677D780684}"/>
    <dgm:cxn modelId="{88068958-1913-4F9E-80BC-37972ED4C98D}" srcId="{A25D6476-0E79-4C1D-A418-11FD3D314F1A}" destId="{E46DE7FF-5FCB-4739-BB6A-CCDBEF9FA9F3}" srcOrd="2" destOrd="0" parTransId="{9F6A9354-A7A8-4E79-9AF9-3657F912024A}" sibTransId="{A5D1F44E-92E8-444B-A437-CD4129C42B66}"/>
    <dgm:cxn modelId="{3481EC58-1D58-4CD3-820D-E0E0307A1A61}" srcId="{A25D6476-0E79-4C1D-A418-11FD3D314F1A}" destId="{416ECAB4-39FF-424A-8B60-59081A7E9291}" srcOrd="1" destOrd="0" parTransId="{D1B97F1C-6CAC-42A9-A592-2F93F5E89958}" sibTransId="{1BEAED7B-CBE4-455C-AD9D-E3B1B4C34BCD}"/>
    <dgm:cxn modelId="{4DA3045C-9BC0-4764-8A30-DEE873EC6FA7}" type="presOf" srcId="{761387A8-61C4-4830-9063-C4C14BFA1A00}" destId="{B48EAF1B-C1F5-4500-BBC3-0CF76359A4F8}" srcOrd="0" destOrd="0" presId="urn:microsoft.com/office/officeart/2005/8/layout/orgChart1"/>
    <dgm:cxn modelId="{2CFC345C-3D75-4FD4-9170-4BF98EDA79A3}" type="presOf" srcId="{9BE50CB4-B5D7-4CD8-A7CA-45F377192A33}" destId="{6EEB8022-FAF9-4555-A6FA-0C6553C84305}" srcOrd="0" destOrd="0" presId="urn:microsoft.com/office/officeart/2005/8/layout/orgChart1"/>
    <dgm:cxn modelId="{B9275C5F-4C52-44B3-8C29-C168756CFD39}" type="presOf" srcId="{761387A8-61C4-4830-9063-C4C14BFA1A00}" destId="{FA19336F-5422-4A2D-8B52-E3CA1B53B614}" srcOrd="1" destOrd="0" presId="urn:microsoft.com/office/officeart/2005/8/layout/orgChart1"/>
    <dgm:cxn modelId="{BFD8E95F-BB7A-4D40-B78E-C6F1B5C41E06}" srcId="{8F9FB29F-7152-48DA-AF1B-B8B37278DC28}" destId="{005E2E56-2E1A-48C5-8D98-63FEFE7B1302}" srcOrd="0" destOrd="0" parTransId="{6F313F9F-0B23-4314-9D0B-1B61E98F2EB0}" sibTransId="{E4E057E9-A165-48EC-9A79-196B6D4D520F}"/>
    <dgm:cxn modelId="{A2E6CE60-B29A-422C-BFF5-6C67EA5F2FBC}" type="presOf" srcId="{074E9980-BD36-4C1F-ABB2-19CF61C68BD1}" destId="{457A822A-1424-4B1D-ACDC-1BE390D5C37E}" srcOrd="1" destOrd="0" presId="urn:microsoft.com/office/officeart/2005/8/layout/orgChart1"/>
    <dgm:cxn modelId="{7DFF7765-7A01-49A5-AE8E-6D27C994BBE1}" type="presOf" srcId="{6F313F9F-0B23-4314-9D0B-1B61E98F2EB0}" destId="{84BCEDC1-7E84-4C85-B15B-E14BB58ED55F}" srcOrd="0" destOrd="0" presId="urn:microsoft.com/office/officeart/2005/8/layout/orgChart1"/>
    <dgm:cxn modelId="{7C465666-2379-4955-8960-9966D7F67DD9}" type="presOf" srcId="{5CF23EFF-61FF-4897-BCE5-A93EDBE0E1F3}" destId="{D627C13D-F6FA-46F9-BD94-5833E17C2013}" srcOrd="0" destOrd="0" presId="urn:microsoft.com/office/officeart/2005/8/layout/orgChart1"/>
    <dgm:cxn modelId="{BC8A0D69-CBDC-4B63-ABD2-0F93EBA0CE7C}" type="presOf" srcId="{22DDD1F9-20CA-4EFC-B5C8-29982638295E}" destId="{2C1C3D52-1068-4FF4-90B6-A0A887C3D62D}" srcOrd="1" destOrd="0" presId="urn:microsoft.com/office/officeart/2005/8/layout/orgChart1"/>
    <dgm:cxn modelId="{FC4D976D-F15E-46EB-9AFD-22AF640494A8}" srcId="{4E4CA586-BA39-4E74-8174-777EF34499C0}" destId="{F3C460F0-2821-440C-AA05-B866B0DA9AE4}" srcOrd="1" destOrd="0" parTransId="{318B16DB-F582-41FF-AAE7-5C60D533E526}" sibTransId="{C0E82C9D-C79F-4124-B5F6-BF5CF0BFF41F}"/>
    <dgm:cxn modelId="{4FA1116E-A2F3-4912-BEE6-5CA20465002E}" type="presOf" srcId="{E46DE7FF-5FCB-4739-BB6A-CCDBEF9FA9F3}" destId="{71922D1D-093C-473E-BA59-D147EFE69A97}" srcOrd="1" destOrd="0" presId="urn:microsoft.com/office/officeart/2005/8/layout/orgChart1"/>
    <dgm:cxn modelId="{5C9F136E-3565-4EA0-956E-8D03ABF4639F}" type="presOf" srcId="{D3EA10AE-0D76-4549-904D-85723FFF5DD6}" destId="{59FD880C-7236-416A-88EE-944A7615D0D0}" srcOrd="0" destOrd="0" presId="urn:microsoft.com/office/officeart/2005/8/layout/orgChart1"/>
    <dgm:cxn modelId="{5BBEAF6E-2758-43F4-9BE7-E07BF3CDF3C4}" type="presOf" srcId="{A25D6476-0E79-4C1D-A418-11FD3D314F1A}" destId="{49824BD4-69E7-4735-AC13-8789A491E343}" srcOrd="0" destOrd="0" presId="urn:microsoft.com/office/officeart/2005/8/layout/orgChart1"/>
    <dgm:cxn modelId="{36365971-16EF-46FE-B605-B840332333AC}" srcId="{22DDD1F9-20CA-4EFC-B5C8-29982638295E}" destId="{7FFC9730-D838-48E0-AC13-AA29C26726D4}" srcOrd="1" destOrd="0" parTransId="{216D9B68-A1AA-4C30-A915-DE89779A9529}" sibTransId="{F33B8582-3489-4472-890A-ED69BBF8CBDE}"/>
    <dgm:cxn modelId="{0CA5CA74-8768-46BC-AB89-34D1A3E58631}" type="presOf" srcId="{8F9FB29F-7152-48DA-AF1B-B8B37278DC28}" destId="{52B67686-38CE-4678-BA45-62531A2522FA}" srcOrd="1" destOrd="0" presId="urn:microsoft.com/office/officeart/2005/8/layout/orgChart1"/>
    <dgm:cxn modelId="{34BFA37E-468D-4FF8-8614-062F0C1A27A5}" srcId="{04EC5CC3-EAA8-47C0-80B0-0686C756D116}" destId="{074E9980-BD36-4C1F-ABB2-19CF61C68BD1}" srcOrd="0" destOrd="0" parTransId="{34C09EFA-4982-4758-891D-20A880240B1F}" sibTransId="{64262CD7-308C-47EC-9AF1-4F224053C44F}"/>
    <dgm:cxn modelId="{91BB038F-7076-465F-87C8-982FD84AFA34}" type="presOf" srcId="{005E2E56-2E1A-48C5-8D98-63FEFE7B1302}" destId="{C03D4533-B4B9-4DD0-A51D-88951981D822}" srcOrd="0" destOrd="0" presId="urn:microsoft.com/office/officeart/2005/8/layout/orgChart1"/>
    <dgm:cxn modelId="{93B27B93-5E44-4CCF-AD9C-D1AFF6D90EE3}" type="presOf" srcId="{D92671D7-F829-40D3-8548-2808851A538B}" destId="{71A9647B-8FA5-428C-865C-A134C0879ADF}" srcOrd="0" destOrd="0" presId="urn:microsoft.com/office/officeart/2005/8/layout/orgChart1"/>
    <dgm:cxn modelId="{894CA193-B70C-41B4-B0B8-39019406AD34}" type="presOf" srcId="{5CF23EFF-61FF-4897-BCE5-A93EDBE0E1F3}" destId="{6E241C6E-01ED-44BA-A085-D56EB863604E}" srcOrd="1" destOrd="0" presId="urn:microsoft.com/office/officeart/2005/8/layout/orgChart1"/>
    <dgm:cxn modelId="{985F9697-6F06-4187-B875-E06A882AB1E2}" srcId="{8F9FB29F-7152-48DA-AF1B-B8B37278DC28}" destId="{A25D6476-0E79-4C1D-A418-11FD3D314F1A}" srcOrd="3" destOrd="0" parTransId="{353BBD46-36F5-4D7B-892E-2D7D52533963}" sibTransId="{B541DB6F-9C44-4EB3-AC38-52C3FCA7A3A3}"/>
    <dgm:cxn modelId="{9402519D-E525-4160-86C5-34C9B3816E7A}" type="presOf" srcId="{FD3EA87D-EC5C-47F6-9E2A-61C52F44D96D}" destId="{14E4E96D-50C8-4392-8DD9-0FEDF0C87722}" srcOrd="0" destOrd="0" presId="urn:microsoft.com/office/officeart/2005/8/layout/orgChart1"/>
    <dgm:cxn modelId="{93385E9F-070A-4715-880F-C4EA04757CA4}" type="presOf" srcId="{416ECAB4-39FF-424A-8B60-59081A7E9291}" destId="{737849B4-FF47-42B7-B749-CB77A951E6C1}" srcOrd="1" destOrd="0" presId="urn:microsoft.com/office/officeart/2005/8/layout/orgChart1"/>
    <dgm:cxn modelId="{26A4CAA0-34F5-4BC2-9D2D-0256D8E7FAEE}" type="presOf" srcId="{C69ABC69-FEFD-441A-9BC5-ABE57D28CC10}" destId="{24565F02-A774-41EB-9BB4-CAB3A44E55D3}" srcOrd="1" destOrd="0" presId="urn:microsoft.com/office/officeart/2005/8/layout/orgChart1"/>
    <dgm:cxn modelId="{6D9D38A1-AEA1-4821-82BE-75CEFBD790B7}" type="presOf" srcId="{2E69993F-228D-46DD-9BD0-FE136839205D}" destId="{6125029B-2DED-4FF5-A8A6-43CAFBD9C722}" srcOrd="0" destOrd="0" presId="urn:microsoft.com/office/officeart/2005/8/layout/orgChart1"/>
    <dgm:cxn modelId="{9CE2E1A2-6A8B-4BAD-9430-9EC553A8E851}" type="presOf" srcId="{04EC5CC3-EAA8-47C0-80B0-0686C756D116}" destId="{7728D05C-B89B-4E27-B531-0CBCBD7330B7}" srcOrd="0" destOrd="0" presId="urn:microsoft.com/office/officeart/2005/8/layout/orgChart1"/>
    <dgm:cxn modelId="{520F62A3-EE6F-411E-86C4-F91EEA4BEF0D}" type="presOf" srcId="{03B00E85-CB1D-491E-8A37-B2802E4F8E7D}" destId="{12C683B8-0B44-47D7-9AC0-2B00699DDE7E}" srcOrd="0" destOrd="0" presId="urn:microsoft.com/office/officeart/2005/8/layout/orgChart1"/>
    <dgm:cxn modelId="{26B848A7-086E-40EF-8C38-F67A1F00C965}" srcId="{04EC5CC3-EAA8-47C0-80B0-0686C756D116}" destId="{9BE50CB4-B5D7-4CD8-A7CA-45F377192A33}" srcOrd="1" destOrd="0" parTransId="{982C12DD-9B96-47AD-8AD0-600328D03162}" sibTransId="{FC368D29-FCA4-4E83-A253-7D0A5929EE1C}"/>
    <dgm:cxn modelId="{F00D71AB-91D8-4D1A-8F60-868C8333FB04}" type="presOf" srcId="{F3C460F0-2821-440C-AA05-B866B0DA9AE4}" destId="{B2D3A35C-23A1-4E58-8B62-6E6F00E3A4A5}" srcOrd="1" destOrd="0" presId="urn:microsoft.com/office/officeart/2005/8/layout/orgChart1"/>
    <dgm:cxn modelId="{D1398EAC-26B5-481E-951C-F2721692A1E8}" srcId="{4E4CA586-BA39-4E74-8174-777EF34499C0}" destId="{2E69993F-228D-46DD-9BD0-FE136839205D}" srcOrd="0" destOrd="0" parTransId="{E9CCB299-3521-4073-AA47-3DE4E57AA726}" sibTransId="{83C48FBF-EA9F-4D7E-9963-4FC83104A797}"/>
    <dgm:cxn modelId="{98FC4FAF-9596-4433-BB26-D81E803F4A1B}" type="presOf" srcId="{4441DFB5-C57A-4832-9A1B-1B77EDF34D98}" destId="{DA6DE023-26EE-4EA4-AEDA-2C063FE4DB15}" srcOrd="0" destOrd="0" presId="urn:microsoft.com/office/officeart/2005/8/layout/orgChart1"/>
    <dgm:cxn modelId="{00280DB2-458E-415D-92B6-DAB2A04E4C10}" type="presOf" srcId="{216D9B68-A1AA-4C30-A915-DE89779A9529}" destId="{8DB47220-9669-4552-9EE7-D3B03139FD48}" srcOrd="0" destOrd="0" presId="urn:microsoft.com/office/officeart/2005/8/layout/orgChart1"/>
    <dgm:cxn modelId="{8238ECB3-741B-4147-A691-1EFE73B79160}" srcId="{8F9FB29F-7152-48DA-AF1B-B8B37278DC28}" destId="{22DDD1F9-20CA-4EFC-B5C8-29982638295E}" srcOrd="2" destOrd="0" parTransId="{C936E1C3-B9E5-483B-92B3-69E04E9CF0BC}" sibTransId="{47409BAD-16D7-405B-AEF2-66CEBE2C5B17}"/>
    <dgm:cxn modelId="{686300B5-431A-44B8-8B46-609C004EA663}" type="presOf" srcId="{727A89C6-8306-436E-AA71-CDCA2980F00D}" destId="{46B60A61-94A3-4348-AA4B-F0464FC9CC29}" srcOrd="0" destOrd="0" presId="urn:microsoft.com/office/officeart/2005/8/layout/orgChart1"/>
    <dgm:cxn modelId="{E9F85DC3-0D99-4692-B290-77347C5F5325}" srcId="{8F9FB29F-7152-48DA-AF1B-B8B37278DC28}" destId="{04EC5CC3-EAA8-47C0-80B0-0686C756D116}" srcOrd="4" destOrd="0" parTransId="{727A89C6-8306-436E-AA71-CDCA2980F00D}" sibTransId="{C339D515-E472-4CBE-AE0E-BDF099FC34A7}"/>
    <dgm:cxn modelId="{592FC9D8-040D-4692-AC3B-6745049161A9}" type="presOf" srcId="{4E4CA586-BA39-4E74-8174-777EF34499C0}" destId="{A9DC8489-C9CD-46C5-8826-CE96B3E92D2B}" srcOrd="0" destOrd="0" presId="urn:microsoft.com/office/officeart/2005/8/layout/orgChart1"/>
    <dgm:cxn modelId="{D95679DA-DCE0-4DA9-84A7-C21F416A0DEC}" type="presOf" srcId="{982C12DD-9B96-47AD-8AD0-600328D03162}" destId="{3C43034A-F208-409D-9C21-ECCC037B86F6}" srcOrd="0" destOrd="0" presId="urn:microsoft.com/office/officeart/2005/8/layout/orgChart1"/>
    <dgm:cxn modelId="{802425DC-CAF6-40D9-ADF3-9B142C318F5A}" type="presOf" srcId="{C69ABC69-FEFD-441A-9BC5-ABE57D28CC10}" destId="{D42A8FB6-00EE-48B0-8BA9-354CF46CA6BD}" srcOrd="0" destOrd="0" presId="urn:microsoft.com/office/officeart/2005/8/layout/orgChart1"/>
    <dgm:cxn modelId="{55D774DE-4267-4275-827D-1F45A11FC173}" type="presOf" srcId="{8F9FB29F-7152-48DA-AF1B-B8B37278DC28}" destId="{29C99FBA-ECAD-40AE-822A-25F4AE54AF5B}" srcOrd="0" destOrd="0" presId="urn:microsoft.com/office/officeart/2005/8/layout/orgChart1"/>
    <dgm:cxn modelId="{57502ADF-D336-4C86-8FF3-3DDE3EF6282D}" type="presOf" srcId="{416ECAB4-39FF-424A-8B60-59081A7E9291}" destId="{6EEEA550-8178-4005-9CC2-50217B8B7832}" srcOrd="0" destOrd="0" presId="urn:microsoft.com/office/officeart/2005/8/layout/orgChart1"/>
    <dgm:cxn modelId="{87091CE0-2910-4C7C-A5A7-6AEA264C9E6C}" srcId="{22DDD1F9-20CA-4EFC-B5C8-29982638295E}" destId="{5CF23EFF-61FF-4897-BCE5-A93EDBE0E1F3}" srcOrd="0" destOrd="0" parTransId="{C643DD10-00AA-4FC6-98FA-78ECD233A92B}" sibTransId="{172C9E9C-FF58-43CB-B297-3AD9596CACBD}"/>
    <dgm:cxn modelId="{4EF238E1-214F-4E01-B1E1-73975F098D06}" type="presOf" srcId="{2D2D9D65-51A7-4754-BBD8-430D5C3726C7}" destId="{21462555-F90E-4B08-B843-5E4458E2C969}" srcOrd="0" destOrd="0" presId="urn:microsoft.com/office/officeart/2005/8/layout/orgChart1"/>
    <dgm:cxn modelId="{F169D1F4-3E47-4479-977F-95BC5A56466F}" srcId="{04EC5CC3-EAA8-47C0-80B0-0686C756D116}" destId="{761387A8-61C4-4830-9063-C4C14BFA1A00}" srcOrd="2" destOrd="0" parTransId="{FD3EA87D-EC5C-47F6-9E2A-61C52F44D96D}" sibTransId="{7E3079A7-D822-4E1D-8F97-3B5A817D14DA}"/>
    <dgm:cxn modelId="{D89109F8-1DA7-4CC3-B5E7-9A71B5F1A097}" type="presOf" srcId="{9BE50CB4-B5D7-4CD8-A7CA-45F377192A33}" destId="{619C75C6-662D-4154-BD89-97595C140A1B}" srcOrd="1" destOrd="0" presId="urn:microsoft.com/office/officeart/2005/8/layout/orgChart1"/>
    <dgm:cxn modelId="{E303CCFB-3A64-42E1-863E-BBF1BCC73F0E}" type="presOf" srcId="{353BBD46-36F5-4D7B-892E-2D7D52533963}" destId="{90E8B8F8-4A3C-4665-8A07-974AB2F560D8}" srcOrd="0" destOrd="0" presId="urn:microsoft.com/office/officeart/2005/8/layout/orgChart1"/>
    <dgm:cxn modelId="{6D88DEFB-6AC6-41CB-8EA0-9033B18AB09F}" type="presOf" srcId="{C936E1C3-B9E5-483B-92B3-69E04E9CF0BC}" destId="{B20D4CAA-FBEB-4551-B171-3E332F9885D2}" srcOrd="0" destOrd="0" presId="urn:microsoft.com/office/officeart/2005/8/layout/orgChart1"/>
    <dgm:cxn modelId="{C1269173-B265-42F0-886E-3D5D52480ED5}" type="presParOf" srcId="{12C683B8-0B44-47D7-9AC0-2B00699DDE7E}" destId="{66217266-3FCD-4BCF-8F97-8829B9C3DED4}" srcOrd="0" destOrd="0" presId="urn:microsoft.com/office/officeart/2005/8/layout/orgChart1"/>
    <dgm:cxn modelId="{FE86A3D9-C3FC-4DD6-8C7B-D35E725CE9D5}" type="presParOf" srcId="{66217266-3FCD-4BCF-8F97-8829B9C3DED4}" destId="{3D52B4FA-0EB0-473C-B80C-AC57C68CEC5F}" srcOrd="0" destOrd="0" presId="urn:microsoft.com/office/officeart/2005/8/layout/orgChart1"/>
    <dgm:cxn modelId="{E3E533C2-2D00-4713-9530-1E0E91172067}" type="presParOf" srcId="{3D52B4FA-0EB0-473C-B80C-AC57C68CEC5F}" destId="{29C99FBA-ECAD-40AE-822A-25F4AE54AF5B}" srcOrd="0" destOrd="0" presId="urn:microsoft.com/office/officeart/2005/8/layout/orgChart1"/>
    <dgm:cxn modelId="{435E197F-E9F4-45AD-8B44-6361A5131E5A}" type="presParOf" srcId="{3D52B4FA-0EB0-473C-B80C-AC57C68CEC5F}" destId="{52B67686-38CE-4678-BA45-62531A2522FA}" srcOrd="1" destOrd="0" presId="urn:microsoft.com/office/officeart/2005/8/layout/orgChart1"/>
    <dgm:cxn modelId="{6319953F-562D-4A3B-93E7-B3E4BBDD86F9}" type="presParOf" srcId="{66217266-3FCD-4BCF-8F97-8829B9C3DED4}" destId="{B578EFE5-D76E-42B1-A26C-A0A91D90426D}" srcOrd="1" destOrd="0" presId="urn:microsoft.com/office/officeart/2005/8/layout/orgChart1"/>
    <dgm:cxn modelId="{21A72135-0D95-4855-BCB9-1410F61EE012}" type="presParOf" srcId="{B578EFE5-D76E-42B1-A26C-A0A91D90426D}" destId="{DA6DE023-26EE-4EA4-AEDA-2C063FE4DB15}" srcOrd="0" destOrd="0" presId="urn:microsoft.com/office/officeart/2005/8/layout/orgChart1"/>
    <dgm:cxn modelId="{B3E489A7-FDBD-4A1C-9B04-2A190DC1B14C}" type="presParOf" srcId="{B578EFE5-D76E-42B1-A26C-A0A91D90426D}" destId="{6E466A74-1A2A-478A-A7FF-413F7A488DAC}" srcOrd="1" destOrd="0" presId="urn:microsoft.com/office/officeart/2005/8/layout/orgChart1"/>
    <dgm:cxn modelId="{7A147B49-199E-467C-B55E-7FF5CD4C7F7C}" type="presParOf" srcId="{6E466A74-1A2A-478A-A7FF-413F7A488DAC}" destId="{138BC21F-9EB6-48EA-B5A4-9DAB31007700}" srcOrd="0" destOrd="0" presId="urn:microsoft.com/office/officeart/2005/8/layout/orgChart1"/>
    <dgm:cxn modelId="{026AB94C-D47E-4691-B653-B27D561F07D8}" type="presParOf" srcId="{138BC21F-9EB6-48EA-B5A4-9DAB31007700}" destId="{A9DC8489-C9CD-46C5-8826-CE96B3E92D2B}" srcOrd="0" destOrd="0" presId="urn:microsoft.com/office/officeart/2005/8/layout/orgChart1"/>
    <dgm:cxn modelId="{CE4AE2AE-DC3E-411A-9DBC-60B6078605E2}" type="presParOf" srcId="{138BC21F-9EB6-48EA-B5A4-9DAB31007700}" destId="{54A5DDC4-B79B-4AC0-A84A-8F50712C8CD0}" srcOrd="1" destOrd="0" presId="urn:microsoft.com/office/officeart/2005/8/layout/orgChart1"/>
    <dgm:cxn modelId="{D64D4E4F-DC86-4D4D-8229-8AC661E0E93E}" type="presParOf" srcId="{6E466A74-1A2A-478A-A7FF-413F7A488DAC}" destId="{92870C75-838D-4533-8D8D-C3E7C9E16BCE}" srcOrd="1" destOrd="0" presId="urn:microsoft.com/office/officeart/2005/8/layout/orgChart1"/>
    <dgm:cxn modelId="{3D437B52-A864-4E2B-8183-2CAC21967C73}" type="presParOf" srcId="{92870C75-838D-4533-8D8D-C3E7C9E16BCE}" destId="{44DC04E9-6D00-438F-BCA2-90281CA154BA}" srcOrd="0" destOrd="0" presId="urn:microsoft.com/office/officeart/2005/8/layout/orgChart1"/>
    <dgm:cxn modelId="{D49FF82F-D977-45BC-B356-1C2CCDDAA2BB}" type="presParOf" srcId="{92870C75-838D-4533-8D8D-C3E7C9E16BCE}" destId="{284588E2-ED40-4273-8A09-26549F51718E}" srcOrd="1" destOrd="0" presId="urn:microsoft.com/office/officeart/2005/8/layout/orgChart1"/>
    <dgm:cxn modelId="{9D6B197F-FD91-4EF8-B8F7-176A394E0A1E}" type="presParOf" srcId="{284588E2-ED40-4273-8A09-26549F51718E}" destId="{084C3AB0-3B15-4EF1-812D-C23AE022A579}" srcOrd="0" destOrd="0" presId="urn:microsoft.com/office/officeart/2005/8/layout/orgChart1"/>
    <dgm:cxn modelId="{BAEE36CD-0FF4-4A96-BFBF-C406AF97CAFD}" type="presParOf" srcId="{084C3AB0-3B15-4EF1-812D-C23AE022A579}" destId="{6125029B-2DED-4FF5-A8A6-43CAFBD9C722}" srcOrd="0" destOrd="0" presId="urn:microsoft.com/office/officeart/2005/8/layout/orgChart1"/>
    <dgm:cxn modelId="{5D267415-82AE-4AEF-968B-2063F1A1E7FA}" type="presParOf" srcId="{084C3AB0-3B15-4EF1-812D-C23AE022A579}" destId="{3817AC17-9089-4C31-BD63-D718F38B0C1C}" srcOrd="1" destOrd="0" presId="urn:microsoft.com/office/officeart/2005/8/layout/orgChart1"/>
    <dgm:cxn modelId="{665CBDF0-F494-4653-B00C-83CE82D9A043}" type="presParOf" srcId="{284588E2-ED40-4273-8A09-26549F51718E}" destId="{D0A0575E-D9E8-4EB7-A503-7E34AB39F562}" srcOrd="1" destOrd="0" presId="urn:microsoft.com/office/officeart/2005/8/layout/orgChart1"/>
    <dgm:cxn modelId="{95579854-2A2B-46B9-80F6-3BAB6DFEEC72}" type="presParOf" srcId="{284588E2-ED40-4273-8A09-26549F51718E}" destId="{3D674494-9854-4821-AC51-1C37799E9F8E}" srcOrd="2" destOrd="0" presId="urn:microsoft.com/office/officeart/2005/8/layout/orgChart1"/>
    <dgm:cxn modelId="{F6908680-5107-45FD-BFCC-B3A086015E95}" type="presParOf" srcId="{92870C75-838D-4533-8D8D-C3E7C9E16BCE}" destId="{C8FABBCC-83AE-4D37-9D87-A30B9D9C8960}" srcOrd="2" destOrd="0" presId="urn:microsoft.com/office/officeart/2005/8/layout/orgChart1"/>
    <dgm:cxn modelId="{1B054D33-77DE-493F-88C0-943E5E90251C}" type="presParOf" srcId="{92870C75-838D-4533-8D8D-C3E7C9E16BCE}" destId="{56AA5992-C16C-4E4A-A4E4-C8A0720570AC}" srcOrd="3" destOrd="0" presId="urn:microsoft.com/office/officeart/2005/8/layout/orgChart1"/>
    <dgm:cxn modelId="{C0379D19-5941-4D91-A870-EA7318D43C82}" type="presParOf" srcId="{56AA5992-C16C-4E4A-A4E4-C8A0720570AC}" destId="{10ECB0F6-A988-4FFB-B6C3-9F0F1EFCDE92}" srcOrd="0" destOrd="0" presId="urn:microsoft.com/office/officeart/2005/8/layout/orgChart1"/>
    <dgm:cxn modelId="{1F4E5DD2-1991-4D1A-B658-120EA8A241B2}" type="presParOf" srcId="{10ECB0F6-A988-4FFB-B6C3-9F0F1EFCDE92}" destId="{746DDA6B-7509-47F5-B22E-C70AD6CDDFB2}" srcOrd="0" destOrd="0" presId="urn:microsoft.com/office/officeart/2005/8/layout/orgChart1"/>
    <dgm:cxn modelId="{3CB61162-E9B4-4C0F-89FD-B72FF6B3703E}" type="presParOf" srcId="{10ECB0F6-A988-4FFB-B6C3-9F0F1EFCDE92}" destId="{B2D3A35C-23A1-4E58-8B62-6E6F00E3A4A5}" srcOrd="1" destOrd="0" presId="urn:microsoft.com/office/officeart/2005/8/layout/orgChart1"/>
    <dgm:cxn modelId="{E60586FB-7084-4907-BCF8-9754D2FD74B3}" type="presParOf" srcId="{56AA5992-C16C-4E4A-A4E4-C8A0720570AC}" destId="{31FA9CA9-9FA1-4B34-BECA-D8AADA54B426}" srcOrd="1" destOrd="0" presId="urn:microsoft.com/office/officeart/2005/8/layout/orgChart1"/>
    <dgm:cxn modelId="{94140CFF-01E2-443E-9205-ACD060C8805F}" type="presParOf" srcId="{56AA5992-C16C-4E4A-A4E4-C8A0720570AC}" destId="{B0EA3FA6-F248-4919-A27E-B545F54D6E97}" srcOrd="2" destOrd="0" presId="urn:microsoft.com/office/officeart/2005/8/layout/orgChart1"/>
    <dgm:cxn modelId="{C9B9552A-4039-4E8D-B00E-693EB6C3FE48}" type="presParOf" srcId="{6E466A74-1A2A-478A-A7FF-413F7A488DAC}" destId="{CC2328F6-C3E1-479F-818D-71CDF98DBA0A}" srcOrd="2" destOrd="0" presId="urn:microsoft.com/office/officeart/2005/8/layout/orgChart1"/>
    <dgm:cxn modelId="{B758D598-A28B-43E3-931D-FE3A7B5028DF}" type="presParOf" srcId="{B578EFE5-D76E-42B1-A26C-A0A91D90426D}" destId="{B20D4CAA-FBEB-4551-B171-3E332F9885D2}" srcOrd="2" destOrd="0" presId="urn:microsoft.com/office/officeart/2005/8/layout/orgChart1"/>
    <dgm:cxn modelId="{04FC66DE-57FB-4AB3-A584-D7DB3D4D12A6}" type="presParOf" srcId="{B578EFE5-D76E-42B1-A26C-A0A91D90426D}" destId="{C3246B87-5042-4281-96FF-36F4276C86D9}" srcOrd="3" destOrd="0" presId="urn:microsoft.com/office/officeart/2005/8/layout/orgChart1"/>
    <dgm:cxn modelId="{C595CFF9-8A71-47E9-BDEF-064527BCA310}" type="presParOf" srcId="{C3246B87-5042-4281-96FF-36F4276C86D9}" destId="{2924D4CE-79F7-4875-8D5F-3241D939CE07}" srcOrd="0" destOrd="0" presId="urn:microsoft.com/office/officeart/2005/8/layout/orgChart1"/>
    <dgm:cxn modelId="{1F8D0A73-E569-452B-A3A6-80F55C7CCC20}" type="presParOf" srcId="{2924D4CE-79F7-4875-8D5F-3241D939CE07}" destId="{FC6F8034-8D76-4363-8C19-0194AF322594}" srcOrd="0" destOrd="0" presId="urn:microsoft.com/office/officeart/2005/8/layout/orgChart1"/>
    <dgm:cxn modelId="{CA0E5780-8B19-4BD3-B8E5-0211BABD949A}" type="presParOf" srcId="{2924D4CE-79F7-4875-8D5F-3241D939CE07}" destId="{2C1C3D52-1068-4FF4-90B6-A0A887C3D62D}" srcOrd="1" destOrd="0" presId="urn:microsoft.com/office/officeart/2005/8/layout/orgChart1"/>
    <dgm:cxn modelId="{35CD00A6-9FE2-47AB-8652-56D8E31DD9B9}" type="presParOf" srcId="{C3246B87-5042-4281-96FF-36F4276C86D9}" destId="{13EF412A-39C6-4363-8085-BBDB1513D592}" srcOrd="1" destOrd="0" presId="urn:microsoft.com/office/officeart/2005/8/layout/orgChart1"/>
    <dgm:cxn modelId="{D7C08E0F-7C74-4101-9998-ACA23724113F}" type="presParOf" srcId="{13EF412A-39C6-4363-8085-BBDB1513D592}" destId="{C4F01518-E35B-48E2-B97F-ECE9F269BED5}" srcOrd="0" destOrd="0" presId="urn:microsoft.com/office/officeart/2005/8/layout/orgChart1"/>
    <dgm:cxn modelId="{FB8E2831-2B2A-4B14-8A36-10E296B63F8A}" type="presParOf" srcId="{13EF412A-39C6-4363-8085-BBDB1513D592}" destId="{7B5BECE1-89D0-4F43-94D9-3F774C92E9E6}" srcOrd="1" destOrd="0" presId="urn:microsoft.com/office/officeart/2005/8/layout/orgChart1"/>
    <dgm:cxn modelId="{9D6DAF0B-23A7-4593-904D-03341FB05065}" type="presParOf" srcId="{7B5BECE1-89D0-4F43-94D9-3F774C92E9E6}" destId="{74EB1E03-7A98-42D7-850E-D34FD67FD6F4}" srcOrd="0" destOrd="0" presId="urn:microsoft.com/office/officeart/2005/8/layout/orgChart1"/>
    <dgm:cxn modelId="{EA33AE27-891C-4EFC-9C54-372A97395639}" type="presParOf" srcId="{74EB1E03-7A98-42D7-850E-D34FD67FD6F4}" destId="{D627C13D-F6FA-46F9-BD94-5833E17C2013}" srcOrd="0" destOrd="0" presId="urn:microsoft.com/office/officeart/2005/8/layout/orgChart1"/>
    <dgm:cxn modelId="{16E226FA-5D90-4718-AF4D-58E71D325C4C}" type="presParOf" srcId="{74EB1E03-7A98-42D7-850E-D34FD67FD6F4}" destId="{6E241C6E-01ED-44BA-A085-D56EB863604E}" srcOrd="1" destOrd="0" presId="urn:microsoft.com/office/officeart/2005/8/layout/orgChart1"/>
    <dgm:cxn modelId="{65F8A2A5-561E-4F7C-9C30-3084760D3F8A}" type="presParOf" srcId="{7B5BECE1-89D0-4F43-94D9-3F774C92E9E6}" destId="{36438A5F-FB6B-489B-9DFE-ED3A45C882E1}" srcOrd="1" destOrd="0" presId="urn:microsoft.com/office/officeart/2005/8/layout/orgChart1"/>
    <dgm:cxn modelId="{805586AB-26F7-4788-8C5F-9BAC75747ACD}" type="presParOf" srcId="{7B5BECE1-89D0-4F43-94D9-3F774C92E9E6}" destId="{2F6E29A6-1B3C-44EB-A8AF-5BE8BE3BCDF4}" srcOrd="2" destOrd="0" presId="urn:microsoft.com/office/officeart/2005/8/layout/orgChart1"/>
    <dgm:cxn modelId="{C88C82B3-9FE9-4115-A76D-C8CE8EB51784}" type="presParOf" srcId="{13EF412A-39C6-4363-8085-BBDB1513D592}" destId="{8DB47220-9669-4552-9EE7-D3B03139FD48}" srcOrd="2" destOrd="0" presId="urn:microsoft.com/office/officeart/2005/8/layout/orgChart1"/>
    <dgm:cxn modelId="{DCC541AF-97DF-48A3-96D2-69ABDD07527A}" type="presParOf" srcId="{13EF412A-39C6-4363-8085-BBDB1513D592}" destId="{57C01B77-BD5B-41B5-99CE-C455091495EF}" srcOrd="3" destOrd="0" presId="urn:microsoft.com/office/officeart/2005/8/layout/orgChart1"/>
    <dgm:cxn modelId="{EDF16D54-E0F8-4DAD-8621-52998D2555B2}" type="presParOf" srcId="{57C01B77-BD5B-41B5-99CE-C455091495EF}" destId="{D18E0314-00CC-4C8F-B797-A72A44F716E5}" srcOrd="0" destOrd="0" presId="urn:microsoft.com/office/officeart/2005/8/layout/orgChart1"/>
    <dgm:cxn modelId="{98E758EC-618D-452D-945E-859C583C6D9F}" type="presParOf" srcId="{D18E0314-00CC-4C8F-B797-A72A44F716E5}" destId="{9970F52F-BD9D-4397-9925-5EB38BADAD7A}" srcOrd="0" destOrd="0" presId="urn:microsoft.com/office/officeart/2005/8/layout/orgChart1"/>
    <dgm:cxn modelId="{651C36CB-D269-4F84-91CB-7E1C32BAD2F1}" type="presParOf" srcId="{D18E0314-00CC-4C8F-B797-A72A44F716E5}" destId="{FFF4E6FD-88D7-482C-BFD8-73D40975AFA7}" srcOrd="1" destOrd="0" presId="urn:microsoft.com/office/officeart/2005/8/layout/orgChart1"/>
    <dgm:cxn modelId="{2F9460A2-527E-4F0F-BB52-93D5FA1A3172}" type="presParOf" srcId="{57C01B77-BD5B-41B5-99CE-C455091495EF}" destId="{9AEA9564-FACD-4C87-BD84-AC054C523AA8}" srcOrd="1" destOrd="0" presId="urn:microsoft.com/office/officeart/2005/8/layout/orgChart1"/>
    <dgm:cxn modelId="{2E9BFC51-A5DC-4BE1-ADA0-B9C8A98DB39A}" type="presParOf" srcId="{57C01B77-BD5B-41B5-99CE-C455091495EF}" destId="{7C59A42C-A5B2-4BF7-A2ED-50BB53EF58F3}" srcOrd="2" destOrd="0" presId="urn:microsoft.com/office/officeart/2005/8/layout/orgChart1"/>
    <dgm:cxn modelId="{B67285B2-4F0D-4EE3-B8CB-428A9CE2CC56}" type="presParOf" srcId="{C3246B87-5042-4281-96FF-36F4276C86D9}" destId="{9E97599E-ACDD-49D8-B31C-3F3763D3BC52}" srcOrd="2" destOrd="0" presId="urn:microsoft.com/office/officeart/2005/8/layout/orgChart1"/>
    <dgm:cxn modelId="{4FA5A430-BD57-4857-BF21-262F2D08240A}" type="presParOf" srcId="{B578EFE5-D76E-42B1-A26C-A0A91D90426D}" destId="{90E8B8F8-4A3C-4665-8A07-974AB2F560D8}" srcOrd="4" destOrd="0" presId="urn:microsoft.com/office/officeart/2005/8/layout/orgChart1"/>
    <dgm:cxn modelId="{A3983374-4F73-4AE5-964A-319ABA7EBFE2}" type="presParOf" srcId="{B578EFE5-D76E-42B1-A26C-A0A91D90426D}" destId="{E13E7F5F-834E-4560-B154-A295BE5C0290}" srcOrd="5" destOrd="0" presId="urn:microsoft.com/office/officeart/2005/8/layout/orgChart1"/>
    <dgm:cxn modelId="{0905D5B6-489A-48A7-8314-73B6F6F4B97C}" type="presParOf" srcId="{E13E7F5F-834E-4560-B154-A295BE5C0290}" destId="{1ECB7C96-CEF6-4386-9073-4EDF62B585E1}" srcOrd="0" destOrd="0" presId="urn:microsoft.com/office/officeart/2005/8/layout/orgChart1"/>
    <dgm:cxn modelId="{D1BAA6D1-2FBC-4067-9522-548BB9A8601A}" type="presParOf" srcId="{1ECB7C96-CEF6-4386-9073-4EDF62B585E1}" destId="{49824BD4-69E7-4735-AC13-8789A491E343}" srcOrd="0" destOrd="0" presId="urn:microsoft.com/office/officeart/2005/8/layout/orgChart1"/>
    <dgm:cxn modelId="{050B2AA3-3ADB-4FC6-B081-8BB87BE4C4AC}" type="presParOf" srcId="{1ECB7C96-CEF6-4386-9073-4EDF62B585E1}" destId="{2ABAA48C-5435-4A54-846D-053F1D937B60}" srcOrd="1" destOrd="0" presId="urn:microsoft.com/office/officeart/2005/8/layout/orgChart1"/>
    <dgm:cxn modelId="{8C687B25-103E-438C-B724-E78312524D4B}" type="presParOf" srcId="{E13E7F5F-834E-4560-B154-A295BE5C0290}" destId="{FC633009-066D-4C63-85E8-2180ADE81693}" srcOrd="1" destOrd="0" presId="urn:microsoft.com/office/officeart/2005/8/layout/orgChart1"/>
    <dgm:cxn modelId="{1311FAE1-841C-4631-BF76-2F98FAB1664F}" type="presParOf" srcId="{FC633009-066D-4C63-85E8-2180ADE81693}" destId="{59FD880C-7236-416A-88EE-944A7615D0D0}" srcOrd="0" destOrd="0" presId="urn:microsoft.com/office/officeart/2005/8/layout/orgChart1"/>
    <dgm:cxn modelId="{96BD993D-83E9-4B56-B177-9B235F05945F}" type="presParOf" srcId="{FC633009-066D-4C63-85E8-2180ADE81693}" destId="{2A047AA8-31B7-40D6-AC5F-3C3E29EDE3C6}" srcOrd="1" destOrd="0" presId="urn:microsoft.com/office/officeart/2005/8/layout/orgChart1"/>
    <dgm:cxn modelId="{00C28048-4386-4E9C-BA4C-64DF26CB2583}" type="presParOf" srcId="{2A047AA8-31B7-40D6-AC5F-3C3E29EDE3C6}" destId="{4AFCC5FC-6467-430B-8948-6511BD3FB833}" srcOrd="0" destOrd="0" presId="urn:microsoft.com/office/officeart/2005/8/layout/orgChart1"/>
    <dgm:cxn modelId="{25A3553F-A923-4541-B0D8-F16D0D38B15B}" type="presParOf" srcId="{4AFCC5FC-6467-430B-8948-6511BD3FB833}" destId="{D42A8FB6-00EE-48B0-8BA9-354CF46CA6BD}" srcOrd="0" destOrd="0" presId="urn:microsoft.com/office/officeart/2005/8/layout/orgChart1"/>
    <dgm:cxn modelId="{0B639E29-B68B-4A5C-96A0-4A0D0BC695CC}" type="presParOf" srcId="{4AFCC5FC-6467-430B-8948-6511BD3FB833}" destId="{24565F02-A774-41EB-9BB4-CAB3A44E55D3}" srcOrd="1" destOrd="0" presId="urn:microsoft.com/office/officeart/2005/8/layout/orgChart1"/>
    <dgm:cxn modelId="{1B31C027-5DCE-4ADB-A051-BF7AFA2E5C86}" type="presParOf" srcId="{2A047AA8-31B7-40D6-AC5F-3C3E29EDE3C6}" destId="{5C465E8C-8C22-47E6-9EDA-5D1329D12EDA}" srcOrd="1" destOrd="0" presId="urn:microsoft.com/office/officeart/2005/8/layout/orgChart1"/>
    <dgm:cxn modelId="{A415BE6A-1F2D-49B8-BFEB-9D136E4DA0D4}" type="presParOf" srcId="{2A047AA8-31B7-40D6-AC5F-3C3E29EDE3C6}" destId="{630D4BBF-5A1A-4B90-A62D-2D488AF325C0}" srcOrd="2" destOrd="0" presId="urn:microsoft.com/office/officeart/2005/8/layout/orgChart1"/>
    <dgm:cxn modelId="{05512563-89DB-4890-826D-778BAD0E328E}" type="presParOf" srcId="{FC633009-066D-4C63-85E8-2180ADE81693}" destId="{751C48FE-EB9E-4D11-854A-517498C747DB}" srcOrd="2" destOrd="0" presId="urn:microsoft.com/office/officeart/2005/8/layout/orgChart1"/>
    <dgm:cxn modelId="{C7F68C89-067D-4CB3-AD2E-C83A520C6218}" type="presParOf" srcId="{FC633009-066D-4C63-85E8-2180ADE81693}" destId="{1677A15D-A6F5-49B3-9ABC-7808E78FDD8E}" srcOrd="3" destOrd="0" presId="urn:microsoft.com/office/officeart/2005/8/layout/orgChart1"/>
    <dgm:cxn modelId="{F84E3247-1832-4E30-8A9F-3583431C62D5}" type="presParOf" srcId="{1677A15D-A6F5-49B3-9ABC-7808E78FDD8E}" destId="{EBD7252D-E60E-4243-82BC-605E77151605}" srcOrd="0" destOrd="0" presId="urn:microsoft.com/office/officeart/2005/8/layout/orgChart1"/>
    <dgm:cxn modelId="{BCC344D9-B717-48AB-A86F-63FF188A86E4}" type="presParOf" srcId="{EBD7252D-E60E-4243-82BC-605E77151605}" destId="{6EEEA550-8178-4005-9CC2-50217B8B7832}" srcOrd="0" destOrd="0" presId="urn:microsoft.com/office/officeart/2005/8/layout/orgChart1"/>
    <dgm:cxn modelId="{8D9FC067-5261-4C51-A340-BE5D8A0414C8}" type="presParOf" srcId="{EBD7252D-E60E-4243-82BC-605E77151605}" destId="{737849B4-FF47-42B7-B749-CB77A951E6C1}" srcOrd="1" destOrd="0" presId="urn:microsoft.com/office/officeart/2005/8/layout/orgChart1"/>
    <dgm:cxn modelId="{AF5B9C65-503B-4CA0-9E02-0B626B1F8992}" type="presParOf" srcId="{1677A15D-A6F5-49B3-9ABC-7808E78FDD8E}" destId="{CDA5121A-4C24-4EB7-B9FC-F9B66C2B31C0}" srcOrd="1" destOrd="0" presId="urn:microsoft.com/office/officeart/2005/8/layout/orgChart1"/>
    <dgm:cxn modelId="{2B5ED4C5-3320-4D92-B758-520FD42CF866}" type="presParOf" srcId="{1677A15D-A6F5-49B3-9ABC-7808E78FDD8E}" destId="{4C759A7F-BED3-4DD5-9379-912FFD3289A4}" srcOrd="2" destOrd="0" presId="urn:microsoft.com/office/officeart/2005/8/layout/orgChart1"/>
    <dgm:cxn modelId="{A39928A8-40CA-425A-970B-F8F4B2709B73}" type="presParOf" srcId="{FC633009-066D-4C63-85E8-2180ADE81693}" destId="{FDCB34E0-21B9-42D3-A31D-2C1F3B6BBBAE}" srcOrd="4" destOrd="0" presId="urn:microsoft.com/office/officeart/2005/8/layout/orgChart1"/>
    <dgm:cxn modelId="{B562686E-18A8-4C6A-9FA5-FBC32023DC5D}" type="presParOf" srcId="{FC633009-066D-4C63-85E8-2180ADE81693}" destId="{E9DC8804-2769-4F8D-9A73-7EDE09E8EDD8}" srcOrd="5" destOrd="0" presId="urn:microsoft.com/office/officeart/2005/8/layout/orgChart1"/>
    <dgm:cxn modelId="{CE9D1BDF-88F0-47B4-A30C-A0EFD48C0DE6}" type="presParOf" srcId="{E9DC8804-2769-4F8D-9A73-7EDE09E8EDD8}" destId="{D08FA66B-9CC1-4B01-92B7-D47A26FA4270}" srcOrd="0" destOrd="0" presId="urn:microsoft.com/office/officeart/2005/8/layout/orgChart1"/>
    <dgm:cxn modelId="{5F090CF9-1474-498D-A0C3-EF35B58FC0C2}" type="presParOf" srcId="{D08FA66B-9CC1-4B01-92B7-D47A26FA4270}" destId="{E2377631-7583-4AC0-BC7C-388D431DF582}" srcOrd="0" destOrd="0" presId="urn:microsoft.com/office/officeart/2005/8/layout/orgChart1"/>
    <dgm:cxn modelId="{4B417F6F-4539-4550-ADE4-2F9893F73FB4}" type="presParOf" srcId="{D08FA66B-9CC1-4B01-92B7-D47A26FA4270}" destId="{71922D1D-093C-473E-BA59-D147EFE69A97}" srcOrd="1" destOrd="0" presId="urn:microsoft.com/office/officeart/2005/8/layout/orgChart1"/>
    <dgm:cxn modelId="{1B2B4E2A-B8AB-4138-B8C2-37539126A85B}" type="presParOf" srcId="{E9DC8804-2769-4F8D-9A73-7EDE09E8EDD8}" destId="{697E4F44-8E97-4918-93A3-3B2BF27AF44D}" srcOrd="1" destOrd="0" presId="urn:microsoft.com/office/officeart/2005/8/layout/orgChart1"/>
    <dgm:cxn modelId="{EB2D7695-7F7B-4790-8A7E-B6D9897705F2}" type="presParOf" srcId="{E9DC8804-2769-4F8D-9A73-7EDE09E8EDD8}" destId="{DE949421-7702-48BC-B8C0-E7883ED2E5B0}" srcOrd="2" destOrd="0" presId="urn:microsoft.com/office/officeart/2005/8/layout/orgChart1"/>
    <dgm:cxn modelId="{02BA6813-9119-4A88-8E2C-6074937D8117}" type="presParOf" srcId="{E13E7F5F-834E-4560-B154-A295BE5C0290}" destId="{75EFE1E6-D1E1-4B34-BD48-A88E578FB749}" srcOrd="2" destOrd="0" presId="urn:microsoft.com/office/officeart/2005/8/layout/orgChart1"/>
    <dgm:cxn modelId="{E1908A54-AD34-4A91-B32C-52D005F9066C}" type="presParOf" srcId="{B578EFE5-D76E-42B1-A26C-A0A91D90426D}" destId="{46B60A61-94A3-4348-AA4B-F0464FC9CC29}" srcOrd="6" destOrd="0" presId="urn:microsoft.com/office/officeart/2005/8/layout/orgChart1"/>
    <dgm:cxn modelId="{1C45EE57-8B74-4A12-A25B-25547E49E31C}" type="presParOf" srcId="{B578EFE5-D76E-42B1-A26C-A0A91D90426D}" destId="{2F5901B7-7A06-4A73-A013-C78C46B558C4}" srcOrd="7" destOrd="0" presId="urn:microsoft.com/office/officeart/2005/8/layout/orgChart1"/>
    <dgm:cxn modelId="{D2837146-B7E5-4B47-B1F8-2005ED0F2D7F}" type="presParOf" srcId="{2F5901B7-7A06-4A73-A013-C78C46B558C4}" destId="{86B90B24-D352-463E-A30A-85734C9E5B57}" srcOrd="0" destOrd="0" presId="urn:microsoft.com/office/officeart/2005/8/layout/orgChart1"/>
    <dgm:cxn modelId="{557756B5-BB04-4F14-BB94-8F16E9A41442}" type="presParOf" srcId="{86B90B24-D352-463E-A30A-85734C9E5B57}" destId="{7728D05C-B89B-4E27-B531-0CBCBD7330B7}" srcOrd="0" destOrd="0" presId="urn:microsoft.com/office/officeart/2005/8/layout/orgChart1"/>
    <dgm:cxn modelId="{F59FD11E-38F4-4571-A22A-D584E72204FD}" type="presParOf" srcId="{86B90B24-D352-463E-A30A-85734C9E5B57}" destId="{DAE66AC9-E46A-494D-9169-E38597DEFB2E}" srcOrd="1" destOrd="0" presId="urn:microsoft.com/office/officeart/2005/8/layout/orgChart1"/>
    <dgm:cxn modelId="{2B4FE7AE-5B77-4C63-B595-7FC0BB00B119}" type="presParOf" srcId="{2F5901B7-7A06-4A73-A013-C78C46B558C4}" destId="{C5F9F6DB-DDD9-4B70-B5DA-C7792A49CB52}" srcOrd="1" destOrd="0" presId="urn:microsoft.com/office/officeart/2005/8/layout/orgChart1"/>
    <dgm:cxn modelId="{DBC0F651-EC24-4E6D-A460-FFBE7979B861}" type="presParOf" srcId="{C5F9F6DB-DDD9-4B70-B5DA-C7792A49CB52}" destId="{0DBAC5DC-BD1C-4F71-8D54-E21D28CAEF6F}" srcOrd="0" destOrd="0" presId="urn:microsoft.com/office/officeart/2005/8/layout/orgChart1"/>
    <dgm:cxn modelId="{C13FA864-39E8-40DD-9F59-667B68A31EA4}" type="presParOf" srcId="{C5F9F6DB-DDD9-4B70-B5DA-C7792A49CB52}" destId="{8A006A05-9619-4249-B10A-CC3727D5F075}" srcOrd="1" destOrd="0" presId="urn:microsoft.com/office/officeart/2005/8/layout/orgChart1"/>
    <dgm:cxn modelId="{CB7644A1-9AF4-4104-A238-4CDCB9A17A90}" type="presParOf" srcId="{8A006A05-9619-4249-B10A-CC3727D5F075}" destId="{61258ED3-7289-4273-9E44-7012261880F0}" srcOrd="0" destOrd="0" presId="urn:microsoft.com/office/officeart/2005/8/layout/orgChart1"/>
    <dgm:cxn modelId="{C7567A9D-C4D7-460F-820A-67F8ADF5C624}" type="presParOf" srcId="{61258ED3-7289-4273-9E44-7012261880F0}" destId="{4391D233-20D2-49BA-9124-EA14AEAC572B}" srcOrd="0" destOrd="0" presId="urn:microsoft.com/office/officeart/2005/8/layout/orgChart1"/>
    <dgm:cxn modelId="{5B93FFDB-AF05-4104-BB7D-47AAE6042B52}" type="presParOf" srcId="{61258ED3-7289-4273-9E44-7012261880F0}" destId="{457A822A-1424-4B1D-ACDC-1BE390D5C37E}" srcOrd="1" destOrd="0" presId="urn:microsoft.com/office/officeart/2005/8/layout/orgChart1"/>
    <dgm:cxn modelId="{D99930B8-E670-47EF-BCA7-7CAA1BAD0D3A}" type="presParOf" srcId="{8A006A05-9619-4249-B10A-CC3727D5F075}" destId="{2AA2FBDD-C3BC-416B-8F2C-1C08D00BD3F1}" srcOrd="1" destOrd="0" presId="urn:microsoft.com/office/officeart/2005/8/layout/orgChart1"/>
    <dgm:cxn modelId="{737D6E6B-794E-4D45-906B-08E4EBF59E15}" type="presParOf" srcId="{8A006A05-9619-4249-B10A-CC3727D5F075}" destId="{8E9C19CE-2B09-4B24-8CBA-E9F53DBAAB4A}" srcOrd="2" destOrd="0" presId="urn:microsoft.com/office/officeart/2005/8/layout/orgChart1"/>
    <dgm:cxn modelId="{E41AFDD5-DD8A-4EF6-9D35-158FB7F5C594}" type="presParOf" srcId="{C5F9F6DB-DDD9-4B70-B5DA-C7792A49CB52}" destId="{3C43034A-F208-409D-9C21-ECCC037B86F6}" srcOrd="2" destOrd="0" presId="urn:microsoft.com/office/officeart/2005/8/layout/orgChart1"/>
    <dgm:cxn modelId="{1D499DEC-BE1B-401C-B46A-27E732993944}" type="presParOf" srcId="{C5F9F6DB-DDD9-4B70-B5DA-C7792A49CB52}" destId="{5F8B8B4C-305B-4D3A-AF3E-1B91DDE06261}" srcOrd="3" destOrd="0" presId="urn:microsoft.com/office/officeart/2005/8/layout/orgChart1"/>
    <dgm:cxn modelId="{634EE233-441E-4364-9B15-BA6FD607BA4A}" type="presParOf" srcId="{5F8B8B4C-305B-4D3A-AF3E-1B91DDE06261}" destId="{23674823-1DA6-458D-A13B-0B68E89A6EAD}" srcOrd="0" destOrd="0" presId="urn:microsoft.com/office/officeart/2005/8/layout/orgChart1"/>
    <dgm:cxn modelId="{0583493A-27BB-4A7B-91F8-B580255A281F}" type="presParOf" srcId="{23674823-1DA6-458D-A13B-0B68E89A6EAD}" destId="{6EEB8022-FAF9-4555-A6FA-0C6553C84305}" srcOrd="0" destOrd="0" presId="urn:microsoft.com/office/officeart/2005/8/layout/orgChart1"/>
    <dgm:cxn modelId="{89EA8F3D-0E68-4D97-A184-E3BBDC4434B7}" type="presParOf" srcId="{23674823-1DA6-458D-A13B-0B68E89A6EAD}" destId="{619C75C6-662D-4154-BD89-97595C140A1B}" srcOrd="1" destOrd="0" presId="urn:microsoft.com/office/officeart/2005/8/layout/orgChart1"/>
    <dgm:cxn modelId="{8165A2AC-1C4B-4564-95F7-32B62A0C7992}" type="presParOf" srcId="{5F8B8B4C-305B-4D3A-AF3E-1B91DDE06261}" destId="{24EA894F-B798-4EDA-B094-0BED2B500276}" srcOrd="1" destOrd="0" presId="urn:microsoft.com/office/officeart/2005/8/layout/orgChart1"/>
    <dgm:cxn modelId="{9D9A1C13-9455-4E06-9E8A-13DDC15E78A6}" type="presParOf" srcId="{5F8B8B4C-305B-4D3A-AF3E-1B91DDE06261}" destId="{0A6DA64D-DAA7-44D5-9511-65BB78923427}" srcOrd="2" destOrd="0" presId="urn:microsoft.com/office/officeart/2005/8/layout/orgChart1"/>
    <dgm:cxn modelId="{2200280B-A40A-4406-943A-2BBF0CEDB589}" type="presParOf" srcId="{C5F9F6DB-DDD9-4B70-B5DA-C7792A49CB52}" destId="{14E4E96D-50C8-4392-8DD9-0FEDF0C87722}" srcOrd="4" destOrd="0" presId="urn:microsoft.com/office/officeart/2005/8/layout/orgChart1"/>
    <dgm:cxn modelId="{1EFA2A93-0DE8-4B39-AD7C-8D99A40943C4}" type="presParOf" srcId="{C5F9F6DB-DDD9-4B70-B5DA-C7792A49CB52}" destId="{1266EA0D-A5FC-44BE-9D87-731B90A90587}" srcOrd="5" destOrd="0" presId="urn:microsoft.com/office/officeart/2005/8/layout/orgChart1"/>
    <dgm:cxn modelId="{2CD907C6-9686-4C15-B4ED-2BE07FAAD2C3}" type="presParOf" srcId="{1266EA0D-A5FC-44BE-9D87-731B90A90587}" destId="{6EB7F48F-AB46-49BB-A66C-839D967F0F4F}" srcOrd="0" destOrd="0" presId="urn:microsoft.com/office/officeart/2005/8/layout/orgChart1"/>
    <dgm:cxn modelId="{3834CC48-E54F-466D-9874-295179B6CB51}" type="presParOf" srcId="{6EB7F48F-AB46-49BB-A66C-839D967F0F4F}" destId="{B48EAF1B-C1F5-4500-BBC3-0CF76359A4F8}" srcOrd="0" destOrd="0" presId="urn:microsoft.com/office/officeart/2005/8/layout/orgChart1"/>
    <dgm:cxn modelId="{E2F2C0FF-ECDD-425C-A8E1-2A930FE4F75A}" type="presParOf" srcId="{6EB7F48F-AB46-49BB-A66C-839D967F0F4F}" destId="{FA19336F-5422-4A2D-8B52-E3CA1B53B614}" srcOrd="1" destOrd="0" presId="urn:microsoft.com/office/officeart/2005/8/layout/orgChart1"/>
    <dgm:cxn modelId="{60B750A0-4D49-4BD7-AFEC-43DC1F4E74F8}" type="presParOf" srcId="{1266EA0D-A5FC-44BE-9D87-731B90A90587}" destId="{71E62B26-FF4C-40A7-B911-B7929B93AB65}" srcOrd="1" destOrd="0" presId="urn:microsoft.com/office/officeart/2005/8/layout/orgChart1"/>
    <dgm:cxn modelId="{69EE8765-BBC0-41FD-ADC6-FB73D4482161}" type="presParOf" srcId="{1266EA0D-A5FC-44BE-9D87-731B90A90587}" destId="{A8AE5821-E188-4FF6-8B84-45FB2F615B0E}" srcOrd="2" destOrd="0" presId="urn:microsoft.com/office/officeart/2005/8/layout/orgChart1"/>
    <dgm:cxn modelId="{BFDADFB4-3B88-444C-96BD-80C8A00281E3}" type="presParOf" srcId="{C5F9F6DB-DDD9-4B70-B5DA-C7792A49CB52}" destId="{21462555-F90E-4B08-B843-5E4458E2C969}" srcOrd="6" destOrd="0" presId="urn:microsoft.com/office/officeart/2005/8/layout/orgChart1"/>
    <dgm:cxn modelId="{92C9922B-17FB-4ACB-A91F-8481C5441B93}" type="presParOf" srcId="{C5F9F6DB-DDD9-4B70-B5DA-C7792A49CB52}" destId="{F9477C9E-962B-41B4-8DA1-7DA49FD085CE}" srcOrd="7" destOrd="0" presId="urn:microsoft.com/office/officeart/2005/8/layout/orgChart1"/>
    <dgm:cxn modelId="{C1285177-6B40-4296-8793-91A233BF48A8}" type="presParOf" srcId="{F9477C9E-962B-41B4-8DA1-7DA49FD085CE}" destId="{0321FF96-CAB5-416C-AE1E-B47A14CE0D74}" srcOrd="0" destOrd="0" presId="urn:microsoft.com/office/officeart/2005/8/layout/orgChart1"/>
    <dgm:cxn modelId="{93F002FC-1E0E-4099-A887-F945D0943BC3}" type="presParOf" srcId="{0321FF96-CAB5-416C-AE1E-B47A14CE0D74}" destId="{71A9647B-8FA5-428C-865C-A134C0879ADF}" srcOrd="0" destOrd="0" presId="urn:microsoft.com/office/officeart/2005/8/layout/orgChart1"/>
    <dgm:cxn modelId="{768E369E-EEB8-4C95-82A3-FA33860210D6}" type="presParOf" srcId="{0321FF96-CAB5-416C-AE1E-B47A14CE0D74}" destId="{3A8820BF-E56E-4853-A6F1-483C48661702}" srcOrd="1" destOrd="0" presId="urn:microsoft.com/office/officeart/2005/8/layout/orgChart1"/>
    <dgm:cxn modelId="{23CB53C1-AC08-48D5-978F-A2C73AB0CA74}" type="presParOf" srcId="{F9477C9E-962B-41B4-8DA1-7DA49FD085CE}" destId="{8CCD89E1-03D9-4F03-876D-714CCD313D7C}" srcOrd="1" destOrd="0" presId="urn:microsoft.com/office/officeart/2005/8/layout/orgChart1"/>
    <dgm:cxn modelId="{E07A90DA-B023-47EC-9119-4EC66C827F68}" type="presParOf" srcId="{F9477C9E-962B-41B4-8DA1-7DA49FD085CE}" destId="{22AB5A35-6417-41EC-8ED1-B981B4606437}" srcOrd="2" destOrd="0" presId="urn:microsoft.com/office/officeart/2005/8/layout/orgChart1"/>
    <dgm:cxn modelId="{B416B0C3-5E14-4496-96FE-A32C5D1903C1}" type="presParOf" srcId="{2F5901B7-7A06-4A73-A013-C78C46B558C4}" destId="{6325A59D-62FC-4045-8F9A-2C1615B696FE}" srcOrd="2" destOrd="0" presId="urn:microsoft.com/office/officeart/2005/8/layout/orgChart1"/>
    <dgm:cxn modelId="{26C08586-49BF-45B7-B6D0-60FA555EE4AF}" type="presParOf" srcId="{66217266-3FCD-4BCF-8F97-8829B9C3DED4}" destId="{C1ECEDD0-718D-45E9-8DB8-6A8062779DEE}" srcOrd="2" destOrd="0" presId="urn:microsoft.com/office/officeart/2005/8/layout/orgChart1"/>
    <dgm:cxn modelId="{2D69C699-A772-4E47-B1BC-7C351437FDE8}" type="presParOf" srcId="{C1ECEDD0-718D-45E9-8DB8-6A8062779DEE}" destId="{84BCEDC1-7E84-4C85-B15B-E14BB58ED55F}" srcOrd="0" destOrd="0" presId="urn:microsoft.com/office/officeart/2005/8/layout/orgChart1"/>
    <dgm:cxn modelId="{08A7E997-FD81-4BF8-8B30-DC523F5F70FA}" type="presParOf" srcId="{C1ECEDD0-718D-45E9-8DB8-6A8062779DEE}" destId="{2BF235A1-D790-4C1C-8BB7-28F7EFC4CDB9}" srcOrd="1" destOrd="0" presId="urn:microsoft.com/office/officeart/2005/8/layout/orgChart1"/>
    <dgm:cxn modelId="{26DAC9D5-AC4A-485D-94EC-9295069B70D0}" type="presParOf" srcId="{2BF235A1-D790-4C1C-8BB7-28F7EFC4CDB9}" destId="{C08A26AC-98E6-45C4-8997-146F22351E2F}" srcOrd="0" destOrd="0" presId="urn:microsoft.com/office/officeart/2005/8/layout/orgChart1"/>
    <dgm:cxn modelId="{4BBEA7EE-E6EA-438D-94C8-0EA7D82249B9}" type="presParOf" srcId="{C08A26AC-98E6-45C4-8997-146F22351E2F}" destId="{C03D4533-B4B9-4DD0-A51D-88951981D822}" srcOrd="0" destOrd="0" presId="urn:microsoft.com/office/officeart/2005/8/layout/orgChart1"/>
    <dgm:cxn modelId="{45F63F2D-94D3-48EA-AD43-CEDC12B0C3AF}" type="presParOf" srcId="{C08A26AC-98E6-45C4-8997-146F22351E2F}" destId="{FD33DD75-2F90-45DE-AF92-009FFDB3150F}" srcOrd="1" destOrd="0" presId="urn:microsoft.com/office/officeart/2005/8/layout/orgChart1"/>
    <dgm:cxn modelId="{D579A071-F662-4F0C-9579-3648F4D968B3}" type="presParOf" srcId="{2BF235A1-D790-4C1C-8BB7-28F7EFC4CDB9}" destId="{F7AC7BEA-8E33-4A7F-A9BA-C216FCDC9CFD}" srcOrd="1" destOrd="0" presId="urn:microsoft.com/office/officeart/2005/8/layout/orgChart1"/>
    <dgm:cxn modelId="{1DD5DC90-1A21-4261-8F92-EB2202FBE893}" type="presParOf" srcId="{2BF235A1-D790-4C1C-8BB7-28F7EFC4CDB9}" destId="{64201224-F22A-45F8-B29C-AEB08129DBEE}"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4BCEDC1-7E84-4C85-B15B-E14BB58ED55F}">
      <dsp:nvSpPr>
        <dsp:cNvPr id="0" name=""/>
        <dsp:cNvSpPr/>
      </dsp:nvSpPr>
      <dsp:spPr>
        <a:xfrm>
          <a:off x="2846014" y="457080"/>
          <a:ext cx="192912" cy="220553"/>
        </a:xfrm>
        <a:custGeom>
          <a:avLst/>
          <a:gdLst/>
          <a:ahLst/>
          <a:cxnLst/>
          <a:rect l="0" t="0" r="0" b="0"/>
          <a:pathLst>
            <a:path>
              <a:moveTo>
                <a:pt x="192912" y="0"/>
              </a:moveTo>
              <a:lnTo>
                <a:pt x="192912" y="220553"/>
              </a:lnTo>
              <a:lnTo>
                <a:pt x="0" y="220553"/>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1462555-F90E-4B08-B843-5E4458E2C969}">
      <dsp:nvSpPr>
        <dsp:cNvPr id="0" name=""/>
        <dsp:cNvSpPr/>
      </dsp:nvSpPr>
      <dsp:spPr>
        <a:xfrm>
          <a:off x="4273650" y="1369609"/>
          <a:ext cx="140549" cy="1682559"/>
        </a:xfrm>
        <a:custGeom>
          <a:avLst/>
          <a:gdLst/>
          <a:ahLst/>
          <a:cxnLst/>
          <a:rect l="0" t="0" r="0" b="0"/>
          <a:pathLst>
            <a:path>
              <a:moveTo>
                <a:pt x="0" y="0"/>
              </a:moveTo>
              <a:lnTo>
                <a:pt x="0" y="1682559"/>
              </a:lnTo>
              <a:lnTo>
                <a:pt x="140549" y="168255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4E4E96D-50C8-4392-8DD9-0FEDF0C87722}">
      <dsp:nvSpPr>
        <dsp:cNvPr id="0" name=""/>
        <dsp:cNvSpPr/>
      </dsp:nvSpPr>
      <dsp:spPr>
        <a:xfrm>
          <a:off x="4273650" y="1369609"/>
          <a:ext cx="183685" cy="1143238"/>
        </a:xfrm>
        <a:custGeom>
          <a:avLst/>
          <a:gdLst/>
          <a:ahLst/>
          <a:cxnLst/>
          <a:rect l="0" t="0" r="0" b="0"/>
          <a:pathLst>
            <a:path>
              <a:moveTo>
                <a:pt x="0" y="0"/>
              </a:moveTo>
              <a:lnTo>
                <a:pt x="0" y="1143238"/>
              </a:lnTo>
              <a:lnTo>
                <a:pt x="183685" y="1143238"/>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43034A-F208-409D-9C21-ECCC037B86F6}">
      <dsp:nvSpPr>
        <dsp:cNvPr id="0" name=""/>
        <dsp:cNvSpPr/>
      </dsp:nvSpPr>
      <dsp:spPr>
        <a:xfrm>
          <a:off x="4273650" y="1369609"/>
          <a:ext cx="177799" cy="668272"/>
        </a:xfrm>
        <a:custGeom>
          <a:avLst/>
          <a:gdLst/>
          <a:ahLst/>
          <a:cxnLst/>
          <a:rect l="0" t="0" r="0" b="0"/>
          <a:pathLst>
            <a:path>
              <a:moveTo>
                <a:pt x="0" y="0"/>
              </a:moveTo>
              <a:lnTo>
                <a:pt x="0" y="668272"/>
              </a:lnTo>
              <a:lnTo>
                <a:pt x="177799" y="668272"/>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DBAC5DC-BD1C-4F71-8D54-E21D28CAEF6F}">
      <dsp:nvSpPr>
        <dsp:cNvPr id="0" name=""/>
        <dsp:cNvSpPr/>
      </dsp:nvSpPr>
      <dsp:spPr>
        <a:xfrm>
          <a:off x="4273650" y="1369609"/>
          <a:ext cx="148163" cy="247503"/>
        </a:xfrm>
        <a:custGeom>
          <a:avLst/>
          <a:gdLst/>
          <a:ahLst/>
          <a:cxnLst/>
          <a:rect l="0" t="0" r="0" b="0"/>
          <a:pathLst>
            <a:path>
              <a:moveTo>
                <a:pt x="0" y="0"/>
              </a:moveTo>
              <a:lnTo>
                <a:pt x="0" y="247503"/>
              </a:lnTo>
              <a:lnTo>
                <a:pt x="148163" y="247503"/>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6B60A61-94A3-4348-AA4B-F0464FC9CC29}">
      <dsp:nvSpPr>
        <dsp:cNvPr id="0" name=""/>
        <dsp:cNvSpPr/>
      </dsp:nvSpPr>
      <dsp:spPr>
        <a:xfrm>
          <a:off x="3038927" y="457080"/>
          <a:ext cx="1582147" cy="462814"/>
        </a:xfrm>
        <a:custGeom>
          <a:avLst/>
          <a:gdLst/>
          <a:ahLst/>
          <a:cxnLst/>
          <a:rect l="0" t="0" r="0" b="0"/>
          <a:pathLst>
            <a:path>
              <a:moveTo>
                <a:pt x="0" y="0"/>
              </a:moveTo>
              <a:lnTo>
                <a:pt x="0" y="407484"/>
              </a:lnTo>
              <a:lnTo>
                <a:pt x="1582147" y="407484"/>
              </a:lnTo>
              <a:lnTo>
                <a:pt x="1582147" y="462814"/>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DCB34E0-21B9-42D3-A31D-2C1F3B6BBBAE}">
      <dsp:nvSpPr>
        <dsp:cNvPr id="0" name=""/>
        <dsp:cNvSpPr/>
      </dsp:nvSpPr>
      <dsp:spPr>
        <a:xfrm>
          <a:off x="3228898" y="1403247"/>
          <a:ext cx="105850" cy="1472838"/>
        </a:xfrm>
        <a:custGeom>
          <a:avLst/>
          <a:gdLst/>
          <a:ahLst/>
          <a:cxnLst/>
          <a:rect l="0" t="0" r="0" b="0"/>
          <a:pathLst>
            <a:path>
              <a:moveTo>
                <a:pt x="0" y="0"/>
              </a:moveTo>
              <a:lnTo>
                <a:pt x="0" y="1472838"/>
              </a:lnTo>
              <a:lnTo>
                <a:pt x="105850" y="1472838"/>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51C48FE-EB9E-4D11-854A-517498C747DB}">
      <dsp:nvSpPr>
        <dsp:cNvPr id="0" name=""/>
        <dsp:cNvSpPr/>
      </dsp:nvSpPr>
      <dsp:spPr>
        <a:xfrm>
          <a:off x="3228898" y="1403247"/>
          <a:ext cx="112373" cy="806318"/>
        </a:xfrm>
        <a:custGeom>
          <a:avLst/>
          <a:gdLst/>
          <a:ahLst/>
          <a:cxnLst/>
          <a:rect l="0" t="0" r="0" b="0"/>
          <a:pathLst>
            <a:path>
              <a:moveTo>
                <a:pt x="0" y="0"/>
              </a:moveTo>
              <a:lnTo>
                <a:pt x="0" y="806318"/>
              </a:lnTo>
              <a:lnTo>
                <a:pt x="112373" y="806318"/>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9FD880C-7236-416A-88EE-944A7615D0D0}">
      <dsp:nvSpPr>
        <dsp:cNvPr id="0" name=""/>
        <dsp:cNvSpPr/>
      </dsp:nvSpPr>
      <dsp:spPr>
        <a:xfrm>
          <a:off x="3228898" y="1403247"/>
          <a:ext cx="153887" cy="343981"/>
        </a:xfrm>
        <a:custGeom>
          <a:avLst/>
          <a:gdLst/>
          <a:ahLst/>
          <a:cxnLst/>
          <a:rect l="0" t="0" r="0" b="0"/>
          <a:pathLst>
            <a:path>
              <a:moveTo>
                <a:pt x="0" y="0"/>
              </a:moveTo>
              <a:lnTo>
                <a:pt x="0" y="343981"/>
              </a:lnTo>
              <a:lnTo>
                <a:pt x="153887" y="343981"/>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0E8B8F8-4A3C-4665-8A07-974AB2F560D8}">
      <dsp:nvSpPr>
        <dsp:cNvPr id="0" name=""/>
        <dsp:cNvSpPr/>
      </dsp:nvSpPr>
      <dsp:spPr>
        <a:xfrm>
          <a:off x="3038927" y="457080"/>
          <a:ext cx="549075" cy="467457"/>
        </a:xfrm>
        <a:custGeom>
          <a:avLst/>
          <a:gdLst/>
          <a:ahLst/>
          <a:cxnLst/>
          <a:rect l="0" t="0" r="0" b="0"/>
          <a:pathLst>
            <a:path>
              <a:moveTo>
                <a:pt x="0" y="0"/>
              </a:moveTo>
              <a:lnTo>
                <a:pt x="0" y="412127"/>
              </a:lnTo>
              <a:lnTo>
                <a:pt x="549075" y="412127"/>
              </a:lnTo>
              <a:lnTo>
                <a:pt x="549075" y="467457"/>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B47220-9669-4552-9EE7-D3B03139FD48}">
      <dsp:nvSpPr>
        <dsp:cNvPr id="0" name=""/>
        <dsp:cNvSpPr/>
      </dsp:nvSpPr>
      <dsp:spPr>
        <a:xfrm>
          <a:off x="2327546" y="1353558"/>
          <a:ext cx="141657" cy="871831"/>
        </a:xfrm>
        <a:custGeom>
          <a:avLst/>
          <a:gdLst/>
          <a:ahLst/>
          <a:cxnLst/>
          <a:rect l="0" t="0" r="0" b="0"/>
          <a:pathLst>
            <a:path>
              <a:moveTo>
                <a:pt x="0" y="0"/>
              </a:moveTo>
              <a:lnTo>
                <a:pt x="0" y="871831"/>
              </a:lnTo>
              <a:lnTo>
                <a:pt x="141657" y="871831"/>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4F01518-E35B-48E2-B97F-ECE9F269BED5}">
      <dsp:nvSpPr>
        <dsp:cNvPr id="0" name=""/>
        <dsp:cNvSpPr/>
      </dsp:nvSpPr>
      <dsp:spPr>
        <a:xfrm>
          <a:off x="2281826" y="1353558"/>
          <a:ext cx="91440" cy="324502"/>
        </a:xfrm>
        <a:custGeom>
          <a:avLst/>
          <a:gdLst/>
          <a:ahLst/>
          <a:cxnLst/>
          <a:rect l="0" t="0" r="0" b="0"/>
          <a:pathLst>
            <a:path>
              <a:moveTo>
                <a:pt x="45720" y="0"/>
              </a:moveTo>
              <a:lnTo>
                <a:pt x="45720" y="324502"/>
              </a:lnTo>
              <a:lnTo>
                <a:pt x="130534" y="324502"/>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20D4CAA-FBEB-4551-B171-3E332F9885D2}">
      <dsp:nvSpPr>
        <dsp:cNvPr id="0" name=""/>
        <dsp:cNvSpPr/>
      </dsp:nvSpPr>
      <dsp:spPr>
        <a:xfrm>
          <a:off x="2604236" y="457080"/>
          <a:ext cx="434690" cy="464287"/>
        </a:xfrm>
        <a:custGeom>
          <a:avLst/>
          <a:gdLst/>
          <a:ahLst/>
          <a:cxnLst/>
          <a:rect l="0" t="0" r="0" b="0"/>
          <a:pathLst>
            <a:path>
              <a:moveTo>
                <a:pt x="434690" y="0"/>
              </a:moveTo>
              <a:lnTo>
                <a:pt x="434690" y="408957"/>
              </a:lnTo>
              <a:lnTo>
                <a:pt x="0" y="408957"/>
              </a:lnTo>
              <a:lnTo>
                <a:pt x="0" y="464287"/>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8FABBCC-83AE-4D37-9D87-A30B9D9C8960}">
      <dsp:nvSpPr>
        <dsp:cNvPr id="0" name=""/>
        <dsp:cNvSpPr/>
      </dsp:nvSpPr>
      <dsp:spPr>
        <a:xfrm>
          <a:off x="861489" y="1338474"/>
          <a:ext cx="351026" cy="804497"/>
        </a:xfrm>
        <a:custGeom>
          <a:avLst/>
          <a:gdLst/>
          <a:ahLst/>
          <a:cxnLst/>
          <a:rect l="0" t="0" r="0" b="0"/>
          <a:pathLst>
            <a:path>
              <a:moveTo>
                <a:pt x="0" y="0"/>
              </a:moveTo>
              <a:lnTo>
                <a:pt x="0" y="804497"/>
              </a:lnTo>
              <a:lnTo>
                <a:pt x="351026" y="804497"/>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4DC04E9-6D00-438F-BCA2-90281CA154BA}">
      <dsp:nvSpPr>
        <dsp:cNvPr id="0" name=""/>
        <dsp:cNvSpPr/>
      </dsp:nvSpPr>
      <dsp:spPr>
        <a:xfrm>
          <a:off x="861489" y="1338474"/>
          <a:ext cx="326701" cy="304979"/>
        </a:xfrm>
        <a:custGeom>
          <a:avLst/>
          <a:gdLst/>
          <a:ahLst/>
          <a:cxnLst/>
          <a:rect l="0" t="0" r="0" b="0"/>
          <a:pathLst>
            <a:path>
              <a:moveTo>
                <a:pt x="0" y="0"/>
              </a:moveTo>
              <a:lnTo>
                <a:pt x="0" y="304979"/>
              </a:lnTo>
              <a:lnTo>
                <a:pt x="326701" y="30497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A6DE023-26EE-4EA4-AEDA-2C063FE4DB15}">
      <dsp:nvSpPr>
        <dsp:cNvPr id="0" name=""/>
        <dsp:cNvSpPr/>
      </dsp:nvSpPr>
      <dsp:spPr>
        <a:xfrm>
          <a:off x="1171468" y="457080"/>
          <a:ext cx="1867458" cy="468031"/>
        </a:xfrm>
        <a:custGeom>
          <a:avLst/>
          <a:gdLst/>
          <a:ahLst/>
          <a:cxnLst/>
          <a:rect l="0" t="0" r="0" b="0"/>
          <a:pathLst>
            <a:path>
              <a:moveTo>
                <a:pt x="1867458" y="0"/>
              </a:moveTo>
              <a:lnTo>
                <a:pt x="1867458" y="412701"/>
              </a:lnTo>
              <a:lnTo>
                <a:pt x="0" y="412701"/>
              </a:lnTo>
              <a:lnTo>
                <a:pt x="0" y="468031"/>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9C99FBA-ECAD-40AE-822A-25F4AE54AF5B}">
      <dsp:nvSpPr>
        <dsp:cNvPr id="0" name=""/>
        <dsp:cNvSpPr/>
      </dsp:nvSpPr>
      <dsp:spPr>
        <a:xfrm>
          <a:off x="2706045" y="19703"/>
          <a:ext cx="665762" cy="437376"/>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da-DK" sz="1100" kern="1200"/>
            <a:t>Direktør</a:t>
          </a:r>
        </a:p>
      </dsp:txBody>
      <dsp:txXfrm>
        <a:off x="2706045" y="19703"/>
        <a:ext cx="665762" cy="437376"/>
      </dsp:txXfrm>
    </dsp:sp>
    <dsp:sp modelId="{A9DC8489-C9CD-46C5-8826-CE96B3E92D2B}">
      <dsp:nvSpPr>
        <dsp:cNvPr id="0" name=""/>
        <dsp:cNvSpPr/>
      </dsp:nvSpPr>
      <dsp:spPr>
        <a:xfrm>
          <a:off x="783994" y="925111"/>
          <a:ext cx="774947" cy="413362"/>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Økonomi</a:t>
          </a:r>
        </a:p>
      </dsp:txBody>
      <dsp:txXfrm>
        <a:off x="783994" y="925111"/>
        <a:ext cx="774947" cy="413362"/>
      </dsp:txXfrm>
    </dsp:sp>
    <dsp:sp modelId="{6125029B-2DED-4FF5-A8A6-43CAFBD9C722}">
      <dsp:nvSpPr>
        <dsp:cNvPr id="0" name=""/>
        <dsp:cNvSpPr/>
      </dsp:nvSpPr>
      <dsp:spPr>
        <a:xfrm>
          <a:off x="1188191" y="1456693"/>
          <a:ext cx="709937" cy="373520"/>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Bogholderi</a:t>
          </a:r>
        </a:p>
      </dsp:txBody>
      <dsp:txXfrm>
        <a:off x="1188191" y="1456693"/>
        <a:ext cx="709937" cy="373520"/>
      </dsp:txXfrm>
    </dsp:sp>
    <dsp:sp modelId="{746DDA6B-7509-47F5-B22E-C70AD6CDDFB2}">
      <dsp:nvSpPr>
        <dsp:cNvPr id="0" name=""/>
        <dsp:cNvSpPr/>
      </dsp:nvSpPr>
      <dsp:spPr>
        <a:xfrm>
          <a:off x="1212515" y="1930451"/>
          <a:ext cx="936574" cy="425042"/>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Indkøbsstyring</a:t>
          </a:r>
        </a:p>
      </dsp:txBody>
      <dsp:txXfrm>
        <a:off x="1212515" y="1930451"/>
        <a:ext cx="936574" cy="425042"/>
      </dsp:txXfrm>
    </dsp:sp>
    <dsp:sp modelId="{FC6F8034-8D76-4363-8C19-0194AF322594}">
      <dsp:nvSpPr>
        <dsp:cNvPr id="0" name=""/>
        <dsp:cNvSpPr/>
      </dsp:nvSpPr>
      <dsp:spPr>
        <a:xfrm>
          <a:off x="2258373" y="921367"/>
          <a:ext cx="691725" cy="432191"/>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Leverandør</a:t>
          </a:r>
        </a:p>
      </dsp:txBody>
      <dsp:txXfrm>
        <a:off x="2258373" y="921367"/>
        <a:ext cx="691725" cy="432191"/>
      </dsp:txXfrm>
    </dsp:sp>
    <dsp:sp modelId="{D627C13D-F6FA-46F9-BD94-5833E17C2013}">
      <dsp:nvSpPr>
        <dsp:cNvPr id="0" name=""/>
        <dsp:cNvSpPr/>
      </dsp:nvSpPr>
      <dsp:spPr>
        <a:xfrm>
          <a:off x="2412360" y="1510137"/>
          <a:ext cx="641781" cy="335848"/>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Logistik</a:t>
          </a:r>
        </a:p>
      </dsp:txBody>
      <dsp:txXfrm>
        <a:off x="2412360" y="1510137"/>
        <a:ext cx="641781" cy="335848"/>
      </dsp:txXfrm>
    </dsp:sp>
    <dsp:sp modelId="{9970F52F-BD9D-4397-9925-5EB38BADAD7A}">
      <dsp:nvSpPr>
        <dsp:cNvPr id="0" name=""/>
        <dsp:cNvSpPr/>
      </dsp:nvSpPr>
      <dsp:spPr>
        <a:xfrm>
          <a:off x="2469203" y="2026872"/>
          <a:ext cx="663391" cy="397035"/>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Lager</a:t>
          </a:r>
        </a:p>
      </dsp:txBody>
      <dsp:txXfrm>
        <a:off x="2469203" y="2026872"/>
        <a:ext cx="663391" cy="397035"/>
      </dsp:txXfrm>
    </dsp:sp>
    <dsp:sp modelId="{49824BD4-69E7-4735-AC13-8789A491E343}">
      <dsp:nvSpPr>
        <dsp:cNvPr id="0" name=""/>
        <dsp:cNvSpPr/>
      </dsp:nvSpPr>
      <dsp:spPr>
        <a:xfrm>
          <a:off x="3139122" y="924537"/>
          <a:ext cx="897759" cy="478710"/>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da-DK" sz="1000" kern="1200"/>
            <a:t>Produktudvikling</a:t>
          </a:r>
        </a:p>
      </dsp:txBody>
      <dsp:txXfrm>
        <a:off x="3139122" y="924537"/>
        <a:ext cx="897759" cy="478710"/>
      </dsp:txXfrm>
    </dsp:sp>
    <dsp:sp modelId="{D42A8FB6-00EE-48B0-8BA9-354CF46CA6BD}">
      <dsp:nvSpPr>
        <dsp:cNvPr id="0" name=""/>
        <dsp:cNvSpPr/>
      </dsp:nvSpPr>
      <dsp:spPr>
        <a:xfrm>
          <a:off x="3382785" y="1571174"/>
          <a:ext cx="649321" cy="352109"/>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Design</a:t>
          </a:r>
        </a:p>
      </dsp:txBody>
      <dsp:txXfrm>
        <a:off x="3382785" y="1571174"/>
        <a:ext cx="649321" cy="352109"/>
      </dsp:txXfrm>
    </dsp:sp>
    <dsp:sp modelId="{6EEEA550-8178-4005-9CC2-50217B8B7832}">
      <dsp:nvSpPr>
        <dsp:cNvPr id="0" name=""/>
        <dsp:cNvSpPr/>
      </dsp:nvSpPr>
      <dsp:spPr>
        <a:xfrm>
          <a:off x="3341272" y="2014442"/>
          <a:ext cx="702280" cy="390248"/>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da-DK" sz="1100" kern="1200"/>
            <a:t>Test &amp; Prototyping</a:t>
          </a:r>
        </a:p>
      </dsp:txBody>
      <dsp:txXfrm>
        <a:off x="3341272" y="2014442"/>
        <a:ext cx="702280" cy="390248"/>
      </dsp:txXfrm>
    </dsp:sp>
    <dsp:sp modelId="{E2377631-7583-4AC0-BC7C-388D431DF582}">
      <dsp:nvSpPr>
        <dsp:cNvPr id="0" name=""/>
        <dsp:cNvSpPr/>
      </dsp:nvSpPr>
      <dsp:spPr>
        <a:xfrm>
          <a:off x="3334748" y="2679912"/>
          <a:ext cx="720797" cy="392348"/>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da-DK" sz="1100" kern="1200"/>
            <a:t>CAD/CAE</a:t>
          </a:r>
        </a:p>
      </dsp:txBody>
      <dsp:txXfrm>
        <a:off x="3334748" y="2679912"/>
        <a:ext cx="720797" cy="392348"/>
      </dsp:txXfrm>
    </dsp:sp>
    <dsp:sp modelId="{7728D05C-B89B-4E27-B531-0CBCBD7330B7}">
      <dsp:nvSpPr>
        <dsp:cNvPr id="0" name=""/>
        <dsp:cNvSpPr/>
      </dsp:nvSpPr>
      <dsp:spPr>
        <a:xfrm>
          <a:off x="4186794" y="919894"/>
          <a:ext cx="868560" cy="449714"/>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Produktion</a:t>
          </a:r>
        </a:p>
      </dsp:txBody>
      <dsp:txXfrm>
        <a:off x="4186794" y="919894"/>
        <a:ext cx="868560" cy="449714"/>
      </dsp:txXfrm>
    </dsp:sp>
    <dsp:sp modelId="{4391D233-20D2-49BA-9124-EA14AEAC572B}">
      <dsp:nvSpPr>
        <dsp:cNvPr id="0" name=""/>
        <dsp:cNvSpPr/>
      </dsp:nvSpPr>
      <dsp:spPr>
        <a:xfrm>
          <a:off x="4421814" y="1440110"/>
          <a:ext cx="640073" cy="354004"/>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Montage</a:t>
          </a:r>
        </a:p>
      </dsp:txBody>
      <dsp:txXfrm>
        <a:off x="4421814" y="1440110"/>
        <a:ext cx="640073" cy="354004"/>
      </dsp:txXfrm>
    </dsp:sp>
    <dsp:sp modelId="{6EEB8022-FAF9-4555-A6FA-0C6553C84305}">
      <dsp:nvSpPr>
        <dsp:cNvPr id="0" name=""/>
        <dsp:cNvSpPr/>
      </dsp:nvSpPr>
      <dsp:spPr>
        <a:xfrm>
          <a:off x="4451450" y="1864940"/>
          <a:ext cx="621398" cy="345884"/>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Lager</a:t>
          </a:r>
        </a:p>
      </dsp:txBody>
      <dsp:txXfrm>
        <a:off x="4451450" y="1864940"/>
        <a:ext cx="621398" cy="345884"/>
      </dsp:txXfrm>
    </dsp:sp>
    <dsp:sp modelId="{B48EAF1B-C1F5-4500-BBC3-0CF76359A4F8}">
      <dsp:nvSpPr>
        <dsp:cNvPr id="0" name=""/>
        <dsp:cNvSpPr/>
      </dsp:nvSpPr>
      <dsp:spPr>
        <a:xfrm>
          <a:off x="4457336" y="2312829"/>
          <a:ext cx="893401" cy="400038"/>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da-DK" sz="1050" kern="1200"/>
            <a:t>Kvalitetssikring</a:t>
          </a:r>
        </a:p>
      </dsp:txBody>
      <dsp:txXfrm>
        <a:off x="4457336" y="2312829"/>
        <a:ext cx="893401" cy="400038"/>
      </dsp:txXfrm>
    </dsp:sp>
    <dsp:sp modelId="{71A9647B-8FA5-428C-865C-A134C0879ADF}">
      <dsp:nvSpPr>
        <dsp:cNvPr id="0" name=""/>
        <dsp:cNvSpPr/>
      </dsp:nvSpPr>
      <dsp:spPr>
        <a:xfrm>
          <a:off x="4414199" y="2838514"/>
          <a:ext cx="702059" cy="427308"/>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da-DK" sz="1100" kern="1200"/>
            <a:t>Fremstilling</a:t>
          </a:r>
        </a:p>
      </dsp:txBody>
      <dsp:txXfrm>
        <a:off x="4414199" y="2838514"/>
        <a:ext cx="702059" cy="427308"/>
      </dsp:txXfrm>
    </dsp:sp>
    <dsp:sp modelId="{C03D4533-B4B9-4DD0-A51D-88951981D822}">
      <dsp:nvSpPr>
        <dsp:cNvPr id="0" name=""/>
        <dsp:cNvSpPr/>
      </dsp:nvSpPr>
      <dsp:spPr>
        <a:xfrm flipV="1">
          <a:off x="2725553" y="662718"/>
          <a:ext cx="120461" cy="29830"/>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endParaRPr lang="da-DK" sz="500" kern="1200"/>
        </a:p>
      </dsp:txBody>
      <dsp:txXfrm rot="10800000">
        <a:off x="2725553" y="662718"/>
        <a:ext cx="120461" cy="29830"/>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1">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4.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90.png"/><Relationship Id="rId1" Type="http://schemas.openxmlformats.org/officeDocument/2006/relationships/customXml" Target="../ink/ink1.xml"/><Relationship Id="rId6" Type="http://schemas.openxmlformats.org/officeDocument/2006/relationships/image" Target="../media/image11.png"/><Relationship Id="rId5" Type="http://schemas.openxmlformats.org/officeDocument/2006/relationships/customXml" Target="../ink/ink3.xml"/><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90.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customXml" Target="../ink/ink4.xml"/><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5" Type="http://schemas.openxmlformats.org/officeDocument/2006/relationships/image" Target="../media/image23.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customXml" Target="../ink/ink5.xml"/></Relationships>
</file>

<file path=xl/drawings/_rels/drawing7.xml.rels><?xml version="1.0" encoding="UTF-8" standalone="yes"?>
<Relationships xmlns="http://schemas.openxmlformats.org/package/2006/relationships"><Relationship Id="rId26" Type="http://schemas.openxmlformats.org/officeDocument/2006/relationships/image" Target="../media/image49.png"/><Relationship Id="rId21" Type="http://schemas.openxmlformats.org/officeDocument/2006/relationships/image" Target="../media/image44.png"/><Relationship Id="rId42" Type="http://schemas.openxmlformats.org/officeDocument/2006/relationships/image" Target="../media/image65.png"/><Relationship Id="rId47" Type="http://schemas.openxmlformats.org/officeDocument/2006/relationships/image" Target="../media/image70.svg"/><Relationship Id="rId63" Type="http://schemas.openxmlformats.org/officeDocument/2006/relationships/image" Target="../media/image86.svg"/><Relationship Id="rId68" Type="http://schemas.openxmlformats.org/officeDocument/2006/relationships/image" Target="../media/image91.png"/><Relationship Id="rId84" Type="http://schemas.openxmlformats.org/officeDocument/2006/relationships/image" Target="../media/image107.png"/><Relationship Id="rId16" Type="http://schemas.openxmlformats.org/officeDocument/2006/relationships/image" Target="../media/image39.svg"/><Relationship Id="rId11" Type="http://schemas.openxmlformats.org/officeDocument/2006/relationships/image" Target="../media/image34.png"/><Relationship Id="rId32" Type="http://schemas.openxmlformats.org/officeDocument/2006/relationships/image" Target="../media/image55.png"/><Relationship Id="rId37" Type="http://schemas.openxmlformats.org/officeDocument/2006/relationships/image" Target="../media/image60.svg"/><Relationship Id="rId53" Type="http://schemas.openxmlformats.org/officeDocument/2006/relationships/image" Target="../media/image76.svg"/><Relationship Id="rId58" Type="http://schemas.openxmlformats.org/officeDocument/2006/relationships/image" Target="../media/image81.png"/><Relationship Id="rId74" Type="http://schemas.openxmlformats.org/officeDocument/2006/relationships/image" Target="../media/image97.png"/><Relationship Id="rId79" Type="http://schemas.openxmlformats.org/officeDocument/2006/relationships/image" Target="../media/image102.svg"/><Relationship Id="rId5" Type="http://schemas.openxmlformats.org/officeDocument/2006/relationships/image" Target="../media/image28.png"/><Relationship Id="rId19" Type="http://schemas.openxmlformats.org/officeDocument/2006/relationships/image" Target="../media/image42.png"/><Relationship Id="rId14" Type="http://schemas.openxmlformats.org/officeDocument/2006/relationships/image" Target="../media/image37.svg"/><Relationship Id="rId22" Type="http://schemas.openxmlformats.org/officeDocument/2006/relationships/image" Target="../media/image45.svg"/><Relationship Id="rId27" Type="http://schemas.openxmlformats.org/officeDocument/2006/relationships/image" Target="../media/image50.svg"/><Relationship Id="rId30" Type="http://schemas.openxmlformats.org/officeDocument/2006/relationships/image" Target="../media/image53.png"/><Relationship Id="rId35" Type="http://schemas.openxmlformats.org/officeDocument/2006/relationships/image" Target="../media/image58.svg"/><Relationship Id="rId43" Type="http://schemas.openxmlformats.org/officeDocument/2006/relationships/image" Target="../media/image66.svg"/><Relationship Id="rId48" Type="http://schemas.openxmlformats.org/officeDocument/2006/relationships/image" Target="../media/image71.png"/><Relationship Id="rId56" Type="http://schemas.openxmlformats.org/officeDocument/2006/relationships/image" Target="../media/image79.png"/><Relationship Id="rId64" Type="http://schemas.openxmlformats.org/officeDocument/2006/relationships/image" Target="../media/image87.png"/><Relationship Id="rId69" Type="http://schemas.openxmlformats.org/officeDocument/2006/relationships/image" Target="../media/image92.svg"/><Relationship Id="rId77" Type="http://schemas.openxmlformats.org/officeDocument/2006/relationships/image" Target="../media/image100.svg"/><Relationship Id="rId8" Type="http://schemas.openxmlformats.org/officeDocument/2006/relationships/image" Target="../media/image31.svg"/><Relationship Id="rId51" Type="http://schemas.openxmlformats.org/officeDocument/2006/relationships/image" Target="../media/image74.svg"/><Relationship Id="rId72" Type="http://schemas.openxmlformats.org/officeDocument/2006/relationships/image" Target="../media/image95.png"/><Relationship Id="rId80" Type="http://schemas.openxmlformats.org/officeDocument/2006/relationships/image" Target="../media/image103.png"/><Relationship Id="rId85" Type="http://schemas.openxmlformats.org/officeDocument/2006/relationships/image" Target="../media/image108.svg"/><Relationship Id="rId3" Type="http://schemas.openxmlformats.org/officeDocument/2006/relationships/image" Target="../media/image26.png"/><Relationship Id="rId12" Type="http://schemas.openxmlformats.org/officeDocument/2006/relationships/image" Target="../media/image35.svg"/><Relationship Id="rId17" Type="http://schemas.openxmlformats.org/officeDocument/2006/relationships/image" Target="../media/image40.png"/><Relationship Id="rId25" Type="http://schemas.openxmlformats.org/officeDocument/2006/relationships/image" Target="../media/image48.svg"/><Relationship Id="rId33" Type="http://schemas.openxmlformats.org/officeDocument/2006/relationships/image" Target="../media/image56.svg"/><Relationship Id="rId38" Type="http://schemas.openxmlformats.org/officeDocument/2006/relationships/image" Target="../media/image61.png"/><Relationship Id="rId46" Type="http://schemas.openxmlformats.org/officeDocument/2006/relationships/image" Target="../media/image69.png"/><Relationship Id="rId59" Type="http://schemas.openxmlformats.org/officeDocument/2006/relationships/image" Target="../media/image82.svg"/><Relationship Id="rId67" Type="http://schemas.openxmlformats.org/officeDocument/2006/relationships/image" Target="../media/image90.svg"/><Relationship Id="rId20" Type="http://schemas.openxmlformats.org/officeDocument/2006/relationships/image" Target="../media/image43.svg"/><Relationship Id="rId41" Type="http://schemas.openxmlformats.org/officeDocument/2006/relationships/image" Target="../media/image64.svg"/><Relationship Id="rId54" Type="http://schemas.openxmlformats.org/officeDocument/2006/relationships/image" Target="../media/image77.png"/><Relationship Id="rId62" Type="http://schemas.openxmlformats.org/officeDocument/2006/relationships/image" Target="../media/image85.png"/><Relationship Id="rId70" Type="http://schemas.openxmlformats.org/officeDocument/2006/relationships/image" Target="../media/image93.png"/><Relationship Id="rId75" Type="http://schemas.openxmlformats.org/officeDocument/2006/relationships/image" Target="../media/image98.svg"/><Relationship Id="rId83" Type="http://schemas.openxmlformats.org/officeDocument/2006/relationships/image" Target="../media/image106.svg"/><Relationship Id="rId1" Type="http://schemas.openxmlformats.org/officeDocument/2006/relationships/image" Target="../media/image24.png"/><Relationship Id="rId6" Type="http://schemas.openxmlformats.org/officeDocument/2006/relationships/image" Target="../media/image29.svg"/><Relationship Id="rId15" Type="http://schemas.openxmlformats.org/officeDocument/2006/relationships/image" Target="../media/image38.png"/><Relationship Id="rId23" Type="http://schemas.openxmlformats.org/officeDocument/2006/relationships/image" Target="../media/image46.png"/><Relationship Id="rId28" Type="http://schemas.openxmlformats.org/officeDocument/2006/relationships/image" Target="../media/image51.png"/><Relationship Id="rId36" Type="http://schemas.openxmlformats.org/officeDocument/2006/relationships/image" Target="../media/image59.png"/><Relationship Id="rId49" Type="http://schemas.openxmlformats.org/officeDocument/2006/relationships/image" Target="../media/image72.svg"/><Relationship Id="rId57" Type="http://schemas.openxmlformats.org/officeDocument/2006/relationships/image" Target="../media/image80.svg"/><Relationship Id="rId10" Type="http://schemas.openxmlformats.org/officeDocument/2006/relationships/image" Target="../media/image33.svg"/><Relationship Id="rId31" Type="http://schemas.openxmlformats.org/officeDocument/2006/relationships/image" Target="../media/image54.svg"/><Relationship Id="rId44" Type="http://schemas.openxmlformats.org/officeDocument/2006/relationships/image" Target="../media/image67.png"/><Relationship Id="rId52" Type="http://schemas.openxmlformats.org/officeDocument/2006/relationships/image" Target="../media/image75.png"/><Relationship Id="rId60" Type="http://schemas.openxmlformats.org/officeDocument/2006/relationships/image" Target="../media/image83.png"/><Relationship Id="rId65" Type="http://schemas.openxmlformats.org/officeDocument/2006/relationships/image" Target="../media/image88.svg"/><Relationship Id="rId73" Type="http://schemas.openxmlformats.org/officeDocument/2006/relationships/image" Target="../media/image96.svg"/><Relationship Id="rId78" Type="http://schemas.openxmlformats.org/officeDocument/2006/relationships/image" Target="../media/image101.png"/><Relationship Id="rId81" Type="http://schemas.openxmlformats.org/officeDocument/2006/relationships/image" Target="../media/image104.svg"/><Relationship Id="rId86" Type="http://schemas.openxmlformats.org/officeDocument/2006/relationships/image" Target="../media/image109.png"/><Relationship Id="rId4" Type="http://schemas.openxmlformats.org/officeDocument/2006/relationships/image" Target="../media/image27.svg"/><Relationship Id="rId9" Type="http://schemas.openxmlformats.org/officeDocument/2006/relationships/image" Target="../media/image32.png"/><Relationship Id="rId13" Type="http://schemas.openxmlformats.org/officeDocument/2006/relationships/image" Target="../media/image36.png"/><Relationship Id="rId18" Type="http://schemas.openxmlformats.org/officeDocument/2006/relationships/image" Target="../media/image41.svg"/><Relationship Id="rId39" Type="http://schemas.openxmlformats.org/officeDocument/2006/relationships/image" Target="../media/image62.svg"/><Relationship Id="rId34" Type="http://schemas.openxmlformats.org/officeDocument/2006/relationships/image" Target="../media/image57.png"/><Relationship Id="rId50" Type="http://schemas.openxmlformats.org/officeDocument/2006/relationships/image" Target="../media/image73.png"/><Relationship Id="rId55" Type="http://schemas.openxmlformats.org/officeDocument/2006/relationships/image" Target="../media/image78.svg"/><Relationship Id="rId76" Type="http://schemas.openxmlformats.org/officeDocument/2006/relationships/image" Target="../media/image99.png"/><Relationship Id="rId7" Type="http://schemas.openxmlformats.org/officeDocument/2006/relationships/image" Target="../media/image30.png"/><Relationship Id="rId71" Type="http://schemas.openxmlformats.org/officeDocument/2006/relationships/image" Target="../media/image94.svg"/><Relationship Id="rId2" Type="http://schemas.openxmlformats.org/officeDocument/2006/relationships/image" Target="../media/image25.png"/><Relationship Id="rId29" Type="http://schemas.openxmlformats.org/officeDocument/2006/relationships/image" Target="../media/image52.svg"/><Relationship Id="rId24" Type="http://schemas.openxmlformats.org/officeDocument/2006/relationships/image" Target="../media/image47.png"/><Relationship Id="rId40" Type="http://schemas.openxmlformats.org/officeDocument/2006/relationships/image" Target="../media/image63.png"/><Relationship Id="rId45" Type="http://schemas.openxmlformats.org/officeDocument/2006/relationships/image" Target="../media/image68.svg"/><Relationship Id="rId66" Type="http://schemas.openxmlformats.org/officeDocument/2006/relationships/image" Target="../media/image89.png"/><Relationship Id="rId87" Type="http://schemas.openxmlformats.org/officeDocument/2006/relationships/image" Target="../media/image110.svg"/><Relationship Id="rId61" Type="http://schemas.openxmlformats.org/officeDocument/2006/relationships/image" Target="../media/image84.svg"/><Relationship Id="rId82" Type="http://schemas.openxmlformats.org/officeDocument/2006/relationships/image" Target="../media/image105.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3.png"/><Relationship Id="rId2" Type="http://schemas.openxmlformats.org/officeDocument/2006/relationships/image" Target="../media/image112.png"/><Relationship Id="rId1" Type="http://schemas.openxmlformats.org/officeDocument/2006/relationships/image" Target="../media/image111.png"/><Relationship Id="rId4" Type="http://schemas.openxmlformats.org/officeDocument/2006/relationships/image" Target="../media/image46.png"/></Relationships>
</file>

<file path=xl/drawings/_rels/drawing9.xml.rels><?xml version="1.0" encoding="UTF-8" standalone="yes"?>
<Relationships xmlns="http://schemas.openxmlformats.org/package/2006/relationships"><Relationship Id="rId2" Type="http://schemas.openxmlformats.org/officeDocument/2006/relationships/image" Target="../media/image115.png"/><Relationship Id="rId1" Type="http://schemas.openxmlformats.org/officeDocument/2006/relationships/image" Target="../media/image11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23.png"/><Relationship Id="rId13" Type="http://schemas.openxmlformats.org/officeDocument/2006/relationships/image" Target="../media/image128.png"/><Relationship Id="rId3" Type="http://schemas.openxmlformats.org/officeDocument/2006/relationships/image" Target="../media/image118.png"/><Relationship Id="rId7" Type="http://schemas.openxmlformats.org/officeDocument/2006/relationships/image" Target="../media/image122.png"/><Relationship Id="rId12" Type="http://schemas.openxmlformats.org/officeDocument/2006/relationships/image" Target="../media/image127.png"/><Relationship Id="rId17" Type="http://schemas.openxmlformats.org/officeDocument/2006/relationships/image" Target="../media/image132.png"/><Relationship Id="rId2" Type="http://schemas.openxmlformats.org/officeDocument/2006/relationships/image" Target="../media/image117.png"/><Relationship Id="rId16" Type="http://schemas.openxmlformats.org/officeDocument/2006/relationships/image" Target="../media/image131.png"/><Relationship Id="rId1" Type="http://schemas.openxmlformats.org/officeDocument/2006/relationships/image" Target="../media/image116.png"/><Relationship Id="rId6" Type="http://schemas.openxmlformats.org/officeDocument/2006/relationships/image" Target="../media/image121.png"/><Relationship Id="rId11" Type="http://schemas.openxmlformats.org/officeDocument/2006/relationships/image" Target="../media/image126.png"/><Relationship Id="rId5" Type="http://schemas.openxmlformats.org/officeDocument/2006/relationships/image" Target="../media/image120.png"/><Relationship Id="rId15" Type="http://schemas.openxmlformats.org/officeDocument/2006/relationships/image" Target="../media/image130.png"/><Relationship Id="rId10" Type="http://schemas.openxmlformats.org/officeDocument/2006/relationships/image" Target="../media/image125.png"/><Relationship Id="rId4" Type="http://schemas.openxmlformats.org/officeDocument/2006/relationships/image" Target="../media/image119.png"/><Relationship Id="rId9" Type="http://schemas.openxmlformats.org/officeDocument/2006/relationships/image" Target="../media/image124.png"/><Relationship Id="rId14" Type="http://schemas.openxmlformats.org/officeDocument/2006/relationships/image" Target="../media/image129.png"/></Relationships>
</file>

<file path=xl/drawings/drawing1.xml><?xml version="1.0" encoding="utf-8"?>
<xdr:wsDr xmlns:xdr="http://schemas.openxmlformats.org/drawingml/2006/spreadsheetDrawing" xmlns:a="http://schemas.openxmlformats.org/drawingml/2006/main">
  <xdr:twoCellAnchor editAs="oneCell">
    <xdr:from>
      <xdr:col>5</xdr:col>
      <xdr:colOff>398315</xdr:colOff>
      <xdr:row>0</xdr:row>
      <xdr:rowOff>190500</xdr:rowOff>
    </xdr:from>
    <xdr:to>
      <xdr:col>13</xdr:col>
      <xdr:colOff>34636</xdr:colOff>
      <xdr:row>4</xdr:row>
      <xdr:rowOff>50357</xdr:rowOff>
    </xdr:to>
    <xdr:pic>
      <xdr:nvPicPr>
        <xdr:cNvPr id="2" name="Billede 1">
          <a:extLst>
            <a:ext uri="{FF2B5EF4-FFF2-40B4-BE49-F238E27FC236}">
              <a16:creationId xmlns:a16="http://schemas.microsoft.com/office/drawing/2014/main" id="{9D53D9A4-69AD-5D27-ABE8-29A59233CE61}"/>
            </a:ext>
          </a:extLst>
        </xdr:cNvPr>
        <xdr:cNvPicPr>
          <a:picLocks noChangeAspect="1"/>
        </xdr:cNvPicPr>
      </xdr:nvPicPr>
      <xdr:blipFill>
        <a:blip xmlns:r="http://schemas.openxmlformats.org/officeDocument/2006/relationships" r:embed="rId1"/>
        <a:stretch>
          <a:fillRect/>
        </a:stretch>
      </xdr:blipFill>
      <xdr:spPr>
        <a:xfrm>
          <a:off x="16582157" y="190500"/>
          <a:ext cx="8667752" cy="69516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4</xdr:row>
      <xdr:rowOff>76200</xdr:rowOff>
    </xdr:from>
    <xdr:to>
      <xdr:col>1</xdr:col>
      <xdr:colOff>312420</xdr:colOff>
      <xdr:row>6</xdr:row>
      <xdr:rowOff>251460</xdr:rowOff>
    </xdr:to>
    <xdr:cxnSp macro="">
      <xdr:nvCxnSpPr>
        <xdr:cNvPr id="3" name="Straight Arrow Connector 2">
          <a:extLst>
            <a:ext uri="{FF2B5EF4-FFF2-40B4-BE49-F238E27FC236}">
              <a16:creationId xmlns:a16="http://schemas.microsoft.com/office/drawing/2014/main" id="{5E0A49E3-1710-C7A1-C21B-1AA6D1976C9F}"/>
            </a:ext>
          </a:extLst>
        </xdr:cNvPr>
        <xdr:cNvCxnSpPr/>
      </xdr:nvCxnSpPr>
      <xdr:spPr>
        <a:xfrm flipH="1" flipV="1">
          <a:off x="914400" y="1005840"/>
          <a:ext cx="7620" cy="10591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304800</xdr:colOff>
      <xdr:row>7</xdr:row>
      <xdr:rowOff>198120</xdr:rowOff>
    </xdr:from>
    <xdr:to>
      <xdr:col>1</xdr:col>
      <xdr:colOff>304800</xdr:colOff>
      <xdr:row>10</xdr:row>
      <xdr:rowOff>7620</xdr:rowOff>
    </xdr:to>
    <xdr:cxnSp macro="">
      <xdr:nvCxnSpPr>
        <xdr:cNvPr id="5" name="Straight Arrow Connector 4">
          <a:extLst>
            <a:ext uri="{FF2B5EF4-FFF2-40B4-BE49-F238E27FC236}">
              <a16:creationId xmlns:a16="http://schemas.microsoft.com/office/drawing/2014/main" id="{1DC85B3D-A43D-42D3-A597-EEA81C3A2873}"/>
            </a:ext>
          </a:extLst>
        </xdr:cNvPr>
        <xdr:cNvCxnSpPr/>
      </xdr:nvCxnSpPr>
      <xdr:spPr>
        <a:xfrm>
          <a:off x="914400" y="2476500"/>
          <a:ext cx="0" cy="12649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601980</xdr:colOff>
      <xdr:row>12</xdr:row>
      <xdr:rowOff>7620</xdr:rowOff>
    </xdr:from>
    <xdr:to>
      <xdr:col>5</xdr:col>
      <xdr:colOff>190500</xdr:colOff>
      <xdr:row>12</xdr:row>
      <xdr:rowOff>7620</xdr:rowOff>
    </xdr:to>
    <xdr:cxnSp macro="">
      <xdr:nvCxnSpPr>
        <xdr:cNvPr id="8" name="Straight Arrow Connector 7">
          <a:extLst>
            <a:ext uri="{FF2B5EF4-FFF2-40B4-BE49-F238E27FC236}">
              <a16:creationId xmlns:a16="http://schemas.microsoft.com/office/drawing/2014/main" id="{EECE3FDE-5E11-B451-412F-961684B390AC}"/>
            </a:ext>
          </a:extLst>
        </xdr:cNvPr>
        <xdr:cNvCxnSpPr/>
      </xdr:nvCxnSpPr>
      <xdr:spPr>
        <a:xfrm flipH="1">
          <a:off x="1821180" y="4404360"/>
          <a:ext cx="141732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403860</xdr:colOff>
      <xdr:row>12</xdr:row>
      <xdr:rowOff>0</xdr:rowOff>
    </xdr:from>
    <xdr:to>
      <xdr:col>9</xdr:col>
      <xdr:colOff>68580</xdr:colOff>
      <xdr:row>12</xdr:row>
      <xdr:rowOff>7620</xdr:rowOff>
    </xdr:to>
    <xdr:cxnSp macro="">
      <xdr:nvCxnSpPr>
        <xdr:cNvPr id="11" name="Straight Arrow Connector 10">
          <a:extLst>
            <a:ext uri="{FF2B5EF4-FFF2-40B4-BE49-F238E27FC236}">
              <a16:creationId xmlns:a16="http://schemas.microsoft.com/office/drawing/2014/main" id="{76B13754-3D8A-9104-026F-350DA40ADA91}"/>
            </a:ext>
          </a:extLst>
        </xdr:cNvPr>
        <xdr:cNvCxnSpPr/>
      </xdr:nvCxnSpPr>
      <xdr:spPr>
        <a:xfrm flipV="1">
          <a:off x="4061460" y="4396740"/>
          <a:ext cx="149352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239825</xdr:colOff>
      <xdr:row>5</xdr:row>
      <xdr:rowOff>176214</xdr:rowOff>
    </xdr:from>
    <xdr:to>
      <xdr:col>9</xdr:col>
      <xdr:colOff>266019</xdr:colOff>
      <xdr:row>24</xdr:row>
      <xdr:rowOff>157164</xdr:rowOff>
    </xdr:to>
    <xdr:graphicFrame macro="">
      <xdr:nvGraphicFramePr>
        <xdr:cNvPr id="30" name="Diagram 1">
          <a:extLst>
            <a:ext uri="{FF2B5EF4-FFF2-40B4-BE49-F238E27FC236}">
              <a16:creationId xmlns:a16="http://schemas.microsoft.com/office/drawing/2014/main" id="{7C2D7B11-EA79-5654-AC67-10189D9247B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3</xdr:col>
      <xdr:colOff>580549</xdr:colOff>
      <xdr:row>8</xdr:row>
      <xdr:rowOff>114682</xdr:rowOff>
    </xdr:from>
    <xdr:to>
      <xdr:col>4</xdr:col>
      <xdr:colOff>479701</xdr:colOff>
      <xdr:row>10</xdr:row>
      <xdr:rowOff>117337</xdr:rowOff>
    </xdr:to>
    <xdr:sp macro="" textlink="">
      <xdr:nvSpPr>
        <xdr:cNvPr id="13" name="Oval 337">
          <a:extLst>
            <a:ext uri="{FF2B5EF4-FFF2-40B4-BE49-F238E27FC236}">
              <a16:creationId xmlns:a16="http://schemas.microsoft.com/office/drawing/2014/main" id="{D3DFCBD4-8CBF-5DC7-7EC8-CFB5808363AF}"/>
            </a:ext>
          </a:extLst>
        </xdr:cNvPr>
        <xdr:cNvSpPr/>
      </xdr:nvSpPr>
      <xdr:spPr>
        <a:xfrm>
          <a:off x="2706419" y="1564139"/>
          <a:ext cx="547956" cy="361568"/>
        </a:xfrm>
        <a:prstGeom prst="ellips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da-DK" sz="1050" b="0" cap="none" spc="0">
              <a:ln w="0"/>
              <a:solidFill>
                <a:schemeClr val="tx1"/>
              </a:solidFill>
              <a:effectLst>
                <a:outerShdw blurRad="38100" dist="19050" dir="2700000" algn="tl" rotWithShape="0">
                  <a:schemeClr val="dk1">
                    <a:alpha val="40000"/>
                  </a:schemeClr>
                </a:outerShdw>
              </a:effectLst>
            </a:rPr>
            <a:t>HR</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1720692</xdr:colOff>
      <xdr:row>12</xdr:row>
      <xdr:rowOff>1142923</xdr:rowOff>
    </xdr:from>
    <xdr:to>
      <xdr:col>2</xdr:col>
      <xdr:colOff>1721052</xdr:colOff>
      <xdr:row>12</xdr:row>
      <xdr:rowOff>1143283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13D94B6-7020-B2E4-A44B-F02F394EC820}"/>
                </a:ext>
              </a:extLst>
            </xdr14:cNvPr>
            <xdr14:cNvContentPartPr/>
          </xdr14:nvContentPartPr>
          <xdr14:nvPr macro=""/>
          <xdr14:xfrm>
            <a:off x="3674853" y="14748310"/>
            <a:ext cx="360" cy="360"/>
          </xdr14:xfrm>
        </xdr:contentPart>
      </mc:Choice>
      <mc:Fallback xmlns="">
        <xdr:pic>
          <xdr:nvPicPr>
            <xdr:cNvPr id="2" name="Ink 1">
              <a:extLst>
                <a:ext uri="{FF2B5EF4-FFF2-40B4-BE49-F238E27FC236}">
                  <a16:creationId xmlns:a16="http://schemas.microsoft.com/office/drawing/2014/main" id="{713D94B6-7020-B2E4-A44B-F02F394EC820}"/>
                </a:ext>
              </a:extLst>
            </xdr:cNvPr>
            <xdr:cNvPicPr/>
          </xdr:nvPicPr>
          <xdr:blipFill>
            <a:blip xmlns:r="http://schemas.openxmlformats.org/officeDocument/2006/relationships" r:embed="rId2"/>
            <a:stretch>
              <a:fillRect/>
            </a:stretch>
          </xdr:blipFill>
          <xdr:spPr>
            <a:xfrm>
              <a:off x="3670533" y="14743990"/>
              <a:ext cx="9000" cy="9000"/>
            </a:xfrm>
            <a:prstGeom prst="rect">
              <a:avLst/>
            </a:prstGeom>
          </xdr:spPr>
        </xdr:pic>
      </mc:Fallback>
    </mc:AlternateContent>
    <xdr:clientData/>
  </xdr:twoCellAnchor>
  <xdr:twoCellAnchor editAs="oneCell">
    <xdr:from>
      <xdr:col>2</xdr:col>
      <xdr:colOff>1511559</xdr:colOff>
      <xdr:row>12</xdr:row>
      <xdr:rowOff>773857</xdr:rowOff>
    </xdr:from>
    <xdr:to>
      <xdr:col>2</xdr:col>
      <xdr:colOff>1536039</xdr:colOff>
      <xdr:row>12</xdr:row>
      <xdr:rowOff>921817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4">
              <a:extLst>
                <a:ext uri="{FF2B5EF4-FFF2-40B4-BE49-F238E27FC236}">
                  <a16:creationId xmlns:a16="http://schemas.microsoft.com/office/drawing/2014/main" id="{2B74B48A-1A5F-7C59-FBD5-6809659FB1FB}"/>
                </a:ext>
              </a:extLst>
            </xdr14:cNvPr>
            <xdr14:cNvContentPartPr/>
          </xdr14:nvContentPartPr>
          <xdr14:nvPr macro=""/>
          <xdr14:xfrm>
            <a:off x="3465720" y="14379244"/>
            <a:ext cx="24480" cy="147960"/>
          </xdr14:xfrm>
        </xdr:contentPart>
      </mc:Choice>
      <mc:Fallback xmlns="">
        <xdr:pic>
          <xdr:nvPicPr>
            <xdr:cNvPr id="5" name="Ink 4">
              <a:extLst>
                <a:ext uri="{FF2B5EF4-FFF2-40B4-BE49-F238E27FC236}">
                  <a16:creationId xmlns:a16="http://schemas.microsoft.com/office/drawing/2014/main" id="{2B74B48A-1A5F-7C59-FBD5-6809659FB1FB}"/>
                </a:ext>
              </a:extLst>
            </xdr:cNvPr>
            <xdr:cNvPicPr/>
          </xdr:nvPicPr>
          <xdr:blipFill>
            <a:blip xmlns:r="http://schemas.openxmlformats.org/officeDocument/2006/relationships" r:embed="rId4"/>
            <a:stretch>
              <a:fillRect/>
            </a:stretch>
          </xdr:blipFill>
          <xdr:spPr>
            <a:xfrm>
              <a:off x="3461400" y="14374924"/>
              <a:ext cx="33120" cy="156600"/>
            </a:xfrm>
            <a:prstGeom prst="rect">
              <a:avLst/>
            </a:prstGeom>
          </xdr:spPr>
        </xdr:pic>
      </mc:Fallback>
    </mc:AlternateContent>
    <xdr:clientData/>
  </xdr:twoCellAnchor>
  <xdr:twoCellAnchor editAs="oneCell">
    <xdr:from>
      <xdr:col>2</xdr:col>
      <xdr:colOff>1511559</xdr:colOff>
      <xdr:row>12</xdr:row>
      <xdr:rowOff>909217</xdr:rowOff>
    </xdr:from>
    <xdr:to>
      <xdr:col>2</xdr:col>
      <xdr:colOff>1640799</xdr:colOff>
      <xdr:row>12</xdr:row>
      <xdr:rowOff>914257</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5">
              <a:extLst>
                <a:ext uri="{FF2B5EF4-FFF2-40B4-BE49-F238E27FC236}">
                  <a16:creationId xmlns:a16="http://schemas.microsoft.com/office/drawing/2014/main" id="{C61C02EE-99D7-B999-76EA-F81074091870}"/>
                </a:ext>
              </a:extLst>
            </xdr14:cNvPr>
            <xdr14:cNvContentPartPr/>
          </xdr14:nvContentPartPr>
          <xdr14:nvPr macro=""/>
          <xdr14:xfrm>
            <a:off x="3465720" y="14514604"/>
            <a:ext cx="129240" cy="5040"/>
          </xdr14:xfrm>
        </xdr:contentPart>
      </mc:Choice>
      <mc:Fallback xmlns="">
        <xdr:pic>
          <xdr:nvPicPr>
            <xdr:cNvPr id="6" name="Ink 5">
              <a:extLst>
                <a:ext uri="{FF2B5EF4-FFF2-40B4-BE49-F238E27FC236}">
                  <a16:creationId xmlns:a16="http://schemas.microsoft.com/office/drawing/2014/main" id="{C61C02EE-99D7-B999-76EA-F81074091870}"/>
                </a:ext>
              </a:extLst>
            </xdr:cNvPr>
            <xdr:cNvPicPr/>
          </xdr:nvPicPr>
          <xdr:blipFill>
            <a:blip xmlns:r="http://schemas.openxmlformats.org/officeDocument/2006/relationships" r:embed="rId6"/>
            <a:stretch>
              <a:fillRect/>
            </a:stretch>
          </xdr:blipFill>
          <xdr:spPr>
            <a:xfrm>
              <a:off x="3461400" y="14510284"/>
              <a:ext cx="137880" cy="1368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482599</xdr:colOff>
      <xdr:row>86</xdr:row>
      <xdr:rowOff>69850</xdr:rowOff>
    </xdr:from>
    <xdr:to>
      <xdr:col>6</xdr:col>
      <xdr:colOff>2932</xdr:colOff>
      <xdr:row>95</xdr:row>
      <xdr:rowOff>88375</xdr:rowOff>
    </xdr:to>
    <xdr:pic>
      <xdr:nvPicPr>
        <xdr:cNvPr id="2" name="Billede 5">
          <a:extLst>
            <a:ext uri="{FF2B5EF4-FFF2-40B4-BE49-F238E27FC236}">
              <a16:creationId xmlns:a16="http://schemas.microsoft.com/office/drawing/2014/main" id="{E8FE37EB-550E-CFDC-DD25-CAF6C0C5C7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11114" y="22016571"/>
          <a:ext cx="2963210" cy="3127486"/>
        </a:xfrm>
        <a:prstGeom prst="rect">
          <a:avLst/>
        </a:prstGeom>
      </xdr:spPr>
    </xdr:pic>
    <xdr:clientData/>
  </xdr:twoCellAnchor>
  <xdr:twoCellAnchor editAs="oneCell">
    <xdr:from>
      <xdr:col>4</xdr:col>
      <xdr:colOff>546099</xdr:colOff>
      <xdr:row>72</xdr:row>
      <xdr:rowOff>101601</xdr:rowOff>
    </xdr:from>
    <xdr:to>
      <xdr:col>6</xdr:col>
      <xdr:colOff>690</xdr:colOff>
      <xdr:row>82</xdr:row>
      <xdr:rowOff>153590</xdr:rowOff>
    </xdr:to>
    <xdr:pic>
      <xdr:nvPicPr>
        <xdr:cNvPr id="3" name="Billede 8">
          <a:extLst>
            <a:ext uri="{FF2B5EF4-FFF2-40B4-BE49-F238E27FC236}">
              <a16:creationId xmlns:a16="http://schemas.microsoft.com/office/drawing/2014/main" id="{E66DEE48-C938-32B7-C797-7D237DF640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4614" y="17694836"/>
          <a:ext cx="3297518" cy="3694350"/>
        </a:xfrm>
        <a:prstGeom prst="rect">
          <a:avLst/>
        </a:prstGeom>
      </xdr:spPr>
    </xdr:pic>
    <xdr:clientData/>
  </xdr:twoCellAnchor>
  <xdr:twoCellAnchor editAs="oneCell">
    <xdr:from>
      <xdr:col>4</xdr:col>
      <xdr:colOff>609599</xdr:colOff>
      <xdr:row>101</xdr:row>
      <xdr:rowOff>152400</xdr:rowOff>
    </xdr:from>
    <xdr:to>
      <xdr:col>8</xdr:col>
      <xdr:colOff>879453</xdr:colOff>
      <xdr:row>108</xdr:row>
      <xdr:rowOff>68195</xdr:rowOff>
    </xdr:to>
    <xdr:pic>
      <xdr:nvPicPr>
        <xdr:cNvPr id="4" name="Billede 10">
          <a:extLst>
            <a:ext uri="{FF2B5EF4-FFF2-40B4-BE49-F238E27FC236}">
              <a16:creationId xmlns:a16="http://schemas.microsoft.com/office/drawing/2014/main" id="{D8034258-AECF-DBE0-9976-38E06C6655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38114" y="26267709"/>
          <a:ext cx="6590180" cy="2476115"/>
        </a:xfrm>
        <a:prstGeom prst="rect">
          <a:avLst/>
        </a:prstGeom>
      </xdr:spPr>
    </xdr:pic>
    <xdr:clientData/>
  </xdr:twoCellAnchor>
  <xdr:oneCellAnchor>
    <xdr:from>
      <xdr:col>4</xdr:col>
      <xdr:colOff>495299</xdr:colOff>
      <xdr:row>58</xdr:row>
      <xdr:rowOff>152401</xdr:rowOff>
    </xdr:from>
    <xdr:ext cx="5005606" cy="3305137"/>
    <xdr:pic>
      <xdr:nvPicPr>
        <xdr:cNvPr id="66" name="Billede 12">
          <a:extLst>
            <a:ext uri="{FF2B5EF4-FFF2-40B4-BE49-F238E27FC236}">
              <a16:creationId xmlns:a16="http://schemas.microsoft.com/office/drawing/2014/main" id="{2C773D84-4B00-6700-3724-FF53B40121B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197350" y="8623301"/>
          <a:ext cx="4870687" cy="3282950"/>
        </a:xfrm>
        <a:prstGeom prst="rect">
          <a:avLst/>
        </a:prstGeom>
      </xdr:spPr>
    </xdr:pic>
    <xdr:clientData/>
  </xdr:oneCellAnchor>
  <xdr:twoCellAnchor editAs="oneCell">
    <xdr:from>
      <xdr:col>5</xdr:col>
      <xdr:colOff>0</xdr:colOff>
      <xdr:row>133</xdr:row>
      <xdr:rowOff>0</xdr:rowOff>
    </xdr:from>
    <xdr:to>
      <xdr:col>7</xdr:col>
      <xdr:colOff>785634</xdr:colOff>
      <xdr:row>142</xdr:row>
      <xdr:rowOff>145105</xdr:rowOff>
    </xdr:to>
    <xdr:pic>
      <xdr:nvPicPr>
        <xdr:cNvPr id="43" name="Billede 14">
          <a:extLst>
            <a:ext uri="{FF2B5EF4-FFF2-40B4-BE49-F238E27FC236}">
              <a16:creationId xmlns:a16="http://schemas.microsoft.com/office/drawing/2014/main" id="{978904AF-2391-E5EA-FC87-9E1088CEB89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533900" y="24936451"/>
          <a:ext cx="5797550" cy="3436944"/>
        </a:xfrm>
        <a:prstGeom prst="rect">
          <a:avLst/>
        </a:prstGeom>
      </xdr:spPr>
    </xdr:pic>
    <xdr:clientData/>
  </xdr:twoCellAnchor>
  <xdr:twoCellAnchor editAs="oneCell">
    <xdr:from>
      <xdr:col>5</xdr:col>
      <xdr:colOff>0</xdr:colOff>
      <xdr:row>146</xdr:row>
      <xdr:rowOff>0</xdr:rowOff>
    </xdr:from>
    <xdr:to>
      <xdr:col>7</xdr:col>
      <xdr:colOff>605511</xdr:colOff>
      <xdr:row>155</xdr:row>
      <xdr:rowOff>344283</xdr:rowOff>
    </xdr:to>
    <xdr:pic>
      <xdr:nvPicPr>
        <xdr:cNvPr id="45" name="Billede 16">
          <a:extLst>
            <a:ext uri="{FF2B5EF4-FFF2-40B4-BE49-F238E27FC236}">
              <a16:creationId xmlns:a16="http://schemas.microsoft.com/office/drawing/2014/main" id="{3985DAB7-088D-9FA6-DC01-39240678A36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33900" y="28752800"/>
          <a:ext cx="4114800" cy="3453241"/>
        </a:xfrm>
        <a:prstGeom prst="rect">
          <a:avLst/>
        </a:prstGeom>
      </xdr:spPr>
    </xdr:pic>
    <xdr:clientData/>
  </xdr:twoCellAnchor>
  <xdr:twoCellAnchor editAs="oneCell">
    <xdr:from>
      <xdr:col>4</xdr:col>
      <xdr:colOff>698498</xdr:colOff>
      <xdr:row>160</xdr:row>
      <xdr:rowOff>133350</xdr:rowOff>
    </xdr:from>
    <xdr:to>
      <xdr:col>7</xdr:col>
      <xdr:colOff>1440217</xdr:colOff>
      <xdr:row>168</xdr:row>
      <xdr:rowOff>339989</xdr:rowOff>
    </xdr:to>
    <xdr:pic>
      <xdr:nvPicPr>
        <xdr:cNvPr id="5" name="Billede 18">
          <a:extLst>
            <a:ext uri="{FF2B5EF4-FFF2-40B4-BE49-F238E27FC236}">
              <a16:creationId xmlns:a16="http://schemas.microsoft.com/office/drawing/2014/main" id="{B6FE7470-4D57-AE4D-A450-672A666EE34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727013" y="42743718"/>
          <a:ext cx="5291045" cy="2949839"/>
        </a:xfrm>
        <a:prstGeom prst="rect">
          <a:avLst/>
        </a:prstGeom>
      </xdr:spPr>
    </xdr:pic>
    <xdr:clientData/>
  </xdr:twoCellAnchor>
  <xdr:twoCellAnchor editAs="oneCell">
    <xdr:from>
      <xdr:col>4</xdr:col>
      <xdr:colOff>812799</xdr:colOff>
      <xdr:row>174</xdr:row>
      <xdr:rowOff>95250</xdr:rowOff>
    </xdr:from>
    <xdr:to>
      <xdr:col>7</xdr:col>
      <xdr:colOff>1333762</xdr:colOff>
      <xdr:row>183</xdr:row>
      <xdr:rowOff>147406</xdr:rowOff>
    </xdr:to>
    <xdr:pic>
      <xdr:nvPicPr>
        <xdr:cNvPr id="8" name="Billede 20">
          <a:extLst>
            <a:ext uri="{FF2B5EF4-FFF2-40B4-BE49-F238E27FC236}">
              <a16:creationId xmlns:a16="http://schemas.microsoft.com/office/drawing/2014/main" id="{DCC2F7F0-A59E-3B60-AEF3-0ED62C7A685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841314" y="46694912"/>
          <a:ext cx="5070289" cy="3161116"/>
        </a:xfrm>
        <a:prstGeom prst="rect">
          <a:avLst/>
        </a:prstGeom>
      </xdr:spPr>
    </xdr:pic>
    <xdr:clientData/>
  </xdr:twoCellAnchor>
  <xdr:twoCellAnchor editAs="oneCell">
    <xdr:from>
      <xdr:col>5</xdr:col>
      <xdr:colOff>0</xdr:colOff>
      <xdr:row>115</xdr:row>
      <xdr:rowOff>0</xdr:rowOff>
    </xdr:from>
    <xdr:to>
      <xdr:col>7</xdr:col>
      <xdr:colOff>608051</xdr:colOff>
      <xdr:row>125</xdr:row>
      <xdr:rowOff>97873</xdr:rowOff>
    </xdr:to>
    <xdr:pic>
      <xdr:nvPicPr>
        <xdr:cNvPr id="54" name="Billede 22">
          <a:extLst>
            <a:ext uri="{FF2B5EF4-FFF2-40B4-BE49-F238E27FC236}">
              <a16:creationId xmlns:a16="http://schemas.microsoft.com/office/drawing/2014/main" id="{60B5BE0E-018B-7082-4AE3-71B2BEE2DBC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533900" y="25698451"/>
          <a:ext cx="4597400" cy="3572592"/>
        </a:xfrm>
        <a:prstGeom prst="rect">
          <a:avLst/>
        </a:prstGeom>
      </xdr:spPr>
    </xdr:pic>
    <xdr:clientData/>
  </xdr:twoCellAnchor>
  <xdr:twoCellAnchor editAs="oneCell">
    <xdr:from>
      <xdr:col>5</xdr:col>
      <xdr:colOff>0</xdr:colOff>
      <xdr:row>202</xdr:row>
      <xdr:rowOff>1</xdr:rowOff>
    </xdr:from>
    <xdr:to>
      <xdr:col>7</xdr:col>
      <xdr:colOff>601454</xdr:colOff>
      <xdr:row>212</xdr:row>
      <xdr:rowOff>168275</xdr:rowOff>
    </xdr:to>
    <xdr:pic>
      <xdr:nvPicPr>
        <xdr:cNvPr id="61" name="Billede 4">
          <a:extLst>
            <a:ext uri="{FF2B5EF4-FFF2-40B4-BE49-F238E27FC236}">
              <a16:creationId xmlns:a16="http://schemas.microsoft.com/office/drawing/2014/main" id="{57AA5DF6-FD09-20F8-6596-BEE3F06BCDB2}"/>
            </a:ext>
          </a:extLst>
        </xdr:cNvPr>
        <xdr:cNvPicPr>
          <a:picLocks noChangeAspect="1"/>
        </xdr:cNvPicPr>
      </xdr:nvPicPr>
      <xdr:blipFill>
        <a:blip xmlns:r="http://schemas.openxmlformats.org/officeDocument/2006/relationships" r:embed="rId10"/>
        <a:stretch>
          <a:fillRect/>
        </a:stretch>
      </xdr:blipFill>
      <xdr:spPr>
        <a:xfrm>
          <a:off x="4521574" y="49916605"/>
          <a:ext cx="3283323" cy="3642993"/>
        </a:xfrm>
        <a:prstGeom prst="rect">
          <a:avLst/>
        </a:prstGeom>
      </xdr:spPr>
    </xdr:pic>
    <xdr:clientData/>
  </xdr:twoCellAnchor>
  <xdr:twoCellAnchor editAs="oneCell">
    <xdr:from>
      <xdr:col>5</xdr:col>
      <xdr:colOff>1</xdr:colOff>
      <xdr:row>188</xdr:row>
      <xdr:rowOff>1</xdr:rowOff>
    </xdr:from>
    <xdr:to>
      <xdr:col>7</xdr:col>
      <xdr:colOff>603403</xdr:colOff>
      <xdr:row>198</xdr:row>
      <xdr:rowOff>155986</xdr:rowOff>
    </xdr:to>
    <xdr:pic>
      <xdr:nvPicPr>
        <xdr:cNvPr id="64" name="Billede 5">
          <a:extLst>
            <a:ext uri="{FF2B5EF4-FFF2-40B4-BE49-F238E27FC236}">
              <a16:creationId xmlns:a16="http://schemas.microsoft.com/office/drawing/2014/main" id="{78E0B070-81A8-1AD2-0E56-B682C3D4DE48}"/>
            </a:ext>
          </a:extLst>
        </xdr:cNvPr>
        <xdr:cNvPicPr>
          <a:picLocks noChangeAspect="1"/>
        </xdr:cNvPicPr>
      </xdr:nvPicPr>
      <xdr:blipFill>
        <a:blip xmlns:r="http://schemas.openxmlformats.org/officeDocument/2006/relationships" r:embed="rId11"/>
        <a:stretch>
          <a:fillRect/>
        </a:stretch>
      </xdr:blipFill>
      <xdr:spPr>
        <a:xfrm>
          <a:off x="4521575" y="45927310"/>
          <a:ext cx="3788191" cy="3630705"/>
        </a:xfrm>
        <a:prstGeom prst="rect">
          <a:avLst/>
        </a:prstGeom>
      </xdr:spPr>
    </xdr:pic>
    <xdr:clientData/>
  </xdr:twoCellAnchor>
  <xdr:twoCellAnchor editAs="oneCell">
    <xdr:from>
      <xdr:col>10</xdr:col>
      <xdr:colOff>1720692</xdr:colOff>
      <xdr:row>12</xdr:row>
      <xdr:rowOff>1142923</xdr:rowOff>
    </xdr:from>
    <xdr:to>
      <xdr:col>11</xdr:col>
      <xdr:colOff>4113</xdr:colOff>
      <xdr:row>13</xdr:row>
      <xdr:rowOff>3257</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76" name="Ink 75">
              <a:extLst>
                <a:ext uri="{FF2B5EF4-FFF2-40B4-BE49-F238E27FC236}">
                  <a16:creationId xmlns:a16="http://schemas.microsoft.com/office/drawing/2014/main" id="{8361EED3-53CB-433E-BE9E-D835BF687E39}"/>
                </a:ext>
              </a:extLst>
            </xdr14:cNvPr>
            <xdr14:cNvContentPartPr/>
          </xdr14:nvContentPartPr>
          <xdr14:nvPr macro=""/>
          <xdr14:xfrm>
            <a:off x="3674853" y="14748310"/>
            <a:ext cx="360" cy="360"/>
          </xdr14:xfrm>
        </xdr:contentPart>
      </mc:Choice>
      <mc:Fallback xmlns="">
        <xdr:pic>
          <xdr:nvPicPr>
            <xdr:cNvPr id="2" name="Ink 1">
              <a:extLst>
                <a:ext uri="{FF2B5EF4-FFF2-40B4-BE49-F238E27FC236}">
                  <a16:creationId xmlns:a16="http://schemas.microsoft.com/office/drawing/2014/main" id="{713D94B6-7020-B2E4-A44B-F02F394EC820}"/>
                </a:ext>
              </a:extLst>
            </xdr:cNvPr>
            <xdr:cNvPicPr/>
          </xdr:nvPicPr>
          <xdr:blipFill>
            <a:blip xmlns:r="http://schemas.openxmlformats.org/officeDocument/2006/relationships" r:embed="rId13"/>
            <a:stretch>
              <a:fillRect/>
            </a:stretch>
          </xdr:blipFill>
          <xdr:spPr>
            <a:xfrm>
              <a:off x="3670533" y="14743990"/>
              <a:ext cx="9000" cy="9000"/>
            </a:xfrm>
            <a:prstGeom prst="rect">
              <a:avLst/>
            </a:prstGeom>
          </xdr:spPr>
        </xdr:pic>
      </mc:Fallback>
    </mc:AlternateContent>
    <xdr:clientData/>
  </xdr:twoCellAnchor>
  <xdr:oneCellAnchor>
    <xdr:from>
      <xdr:col>1</xdr:col>
      <xdr:colOff>1720692</xdr:colOff>
      <xdr:row>9</xdr:row>
      <xdr:rowOff>1142923</xdr:rowOff>
    </xdr:from>
    <xdr:ext cx="360" cy="1661"/>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 name="Ink 8">
              <a:extLst>
                <a:ext uri="{FF2B5EF4-FFF2-40B4-BE49-F238E27FC236}">
                  <a16:creationId xmlns:a16="http://schemas.microsoft.com/office/drawing/2014/main" id="{5F1C6C6F-FDD9-4AE4-B277-F8F70063AD00}"/>
                </a:ext>
              </a:extLst>
            </xdr14:cNvPr>
            <xdr14:cNvContentPartPr/>
          </xdr14:nvContentPartPr>
          <xdr14:nvPr macro=""/>
          <xdr14:xfrm>
            <a:off x="3674853" y="14748310"/>
            <a:ext cx="360" cy="360"/>
          </xdr14:xfrm>
        </xdr:contentPart>
      </mc:Choice>
      <mc:Fallback xmlns="">
        <xdr:pic>
          <xdr:nvPicPr>
            <xdr:cNvPr id="2" name="Ink 1">
              <a:extLst>
                <a:ext uri="{FF2B5EF4-FFF2-40B4-BE49-F238E27FC236}">
                  <a16:creationId xmlns:a16="http://schemas.microsoft.com/office/drawing/2014/main" id="{713D94B6-7020-B2E4-A44B-F02F394EC820}"/>
                </a:ext>
              </a:extLst>
            </xdr:cNvPr>
            <xdr:cNvPicPr/>
          </xdr:nvPicPr>
          <xdr:blipFill>
            <a:blip xmlns:r="http://schemas.openxmlformats.org/officeDocument/2006/relationships" r:embed="rId13"/>
            <a:stretch>
              <a:fillRect/>
            </a:stretch>
          </xdr:blipFill>
          <xdr:spPr>
            <a:xfrm>
              <a:off x="3670533" y="14743990"/>
              <a:ext cx="9000" cy="9000"/>
            </a:xfrm>
            <a:prstGeom prst="rect">
              <a:avLst/>
            </a:prstGeom>
          </xdr:spPr>
        </xdr:pic>
      </mc:Fallback>
    </mc:AlternateContent>
    <xdr:clientData/>
  </xdr:oneCellAnchor>
  <xdr:twoCellAnchor>
    <xdr:from>
      <xdr:col>0</xdr:col>
      <xdr:colOff>234756</xdr:colOff>
      <xdr:row>44</xdr:row>
      <xdr:rowOff>16842</xdr:rowOff>
    </xdr:from>
    <xdr:to>
      <xdr:col>0</xdr:col>
      <xdr:colOff>242376</xdr:colOff>
      <xdr:row>46</xdr:row>
      <xdr:rowOff>149356</xdr:rowOff>
    </xdr:to>
    <xdr:cxnSp macro="">
      <xdr:nvCxnSpPr>
        <xdr:cNvPr id="6" name="Straight Arrow Connector 2">
          <a:extLst>
            <a:ext uri="{FF2B5EF4-FFF2-40B4-BE49-F238E27FC236}">
              <a16:creationId xmlns:a16="http://schemas.microsoft.com/office/drawing/2014/main" id="{CDAA97C7-AC46-400B-A2A5-FCA98019DA28}"/>
            </a:ext>
          </a:extLst>
        </xdr:cNvPr>
        <xdr:cNvCxnSpPr/>
      </xdr:nvCxnSpPr>
      <xdr:spPr>
        <a:xfrm flipH="1" flipV="1">
          <a:off x="234756" y="14624940"/>
          <a:ext cx="7620" cy="5506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247650</xdr:colOff>
      <xdr:row>48</xdr:row>
      <xdr:rowOff>957262</xdr:rowOff>
    </xdr:from>
    <xdr:to>
      <xdr:col>0</xdr:col>
      <xdr:colOff>247650</xdr:colOff>
      <xdr:row>51</xdr:row>
      <xdr:rowOff>221933</xdr:rowOff>
    </xdr:to>
    <xdr:cxnSp macro="">
      <xdr:nvCxnSpPr>
        <xdr:cNvPr id="107" name="Straight Arrow Connector 4">
          <a:extLst>
            <a:ext uri="{FF2B5EF4-FFF2-40B4-BE49-F238E27FC236}">
              <a16:creationId xmlns:a16="http://schemas.microsoft.com/office/drawing/2014/main" id="{11D89C7A-B246-463D-8D6B-3074A97318B1}"/>
            </a:ext>
          </a:extLst>
        </xdr:cNvPr>
        <xdr:cNvCxnSpPr/>
      </xdr:nvCxnSpPr>
      <xdr:spPr>
        <a:xfrm>
          <a:off x="247650" y="3209925"/>
          <a:ext cx="0" cy="11649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601980</xdr:colOff>
      <xdr:row>53</xdr:row>
      <xdr:rowOff>7620</xdr:rowOff>
    </xdr:from>
    <xdr:to>
      <xdr:col>3</xdr:col>
      <xdr:colOff>128587</xdr:colOff>
      <xdr:row>53</xdr:row>
      <xdr:rowOff>14288</xdr:rowOff>
    </xdr:to>
    <xdr:cxnSp macro="">
      <xdr:nvCxnSpPr>
        <xdr:cNvPr id="108" name="Straight Arrow Connector 7">
          <a:extLst>
            <a:ext uri="{FF2B5EF4-FFF2-40B4-BE49-F238E27FC236}">
              <a16:creationId xmlns:a16="http://schemas.microsoft.com/office/drawing/2014/main" id="{6EB5184D-EC15-4681-8626-3E5CEF8F8C53}"/>
            </a:ext>
          </a:extLst>
        </xdr:cNvPr>
        <xdr:cNvCxnSpPr/>
      </xdr:nvCxnSpPr>
      <xdr:spPr>
        <a:xfrm flipH="1" flipV="1">
          <a:off x="1540193" y="4874895"/>
          <a:ext cx="1445894" cy="66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137160</xdr:colOff>
      <xdr:row>53</xdr:row>
      <xdr:rowOff>33338</xdr:rowOff>
    </xdr:from>
    <xdr:to>
      <xdr:col>8</xdr:col>
      <xdr:colOff>171451</xdr:colOff>
      <xdr:row>53</xdr:row>
      <xdr:rowOff>36195</xdr:rowOff>
    </xdr:to>
    <xdr:cxnSp macro="">
      <xdr:nvCxnSpPr>
        <xdr:cNvPr id="109" name="Straight Arrow Connector 10">
          <a:extLst>
            <a:ext uri="{FF2B5EF4-FFF2-40B4-BE49-F238E27FC236}">
              <a16:creationId xmlns:a16="http://schemas.microsoft.com/office/drawing/2014/main" id="{B07C3EE2-16CD-401D-9FFB-0589CBCB35F6}"/>
            </a:ext>
          </a:extLst>
        </xdr:cNvPr>
        <xdr:cNvCxnSpPr/>
      </xdr:nvCxnSpPr>
      <xdr:spPr>
        <a:xfrm flipV="1">
          <a:off x="6276023" y="4900613"/>
          <a:ext cx="1329691" cy="28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633064</xdr:colOff>
      <xdr:row>9</xdr:row>
      <xdr:rowOff>104543</xdr:rowOff>
    </xdr:from>
    <xdr:ext cx="246166" cy="331051"/>
    <xdr:pic>
      <xdr:nvPicPr>
        <xdr:cNvPr id="11" name="Billede 6">
          <a:extLst>
            <a:ext uri="{FF2B5EF4-FFF2-40B4-BE49-F238E27FC236}">
              <a16:creationId xmlns:a16="http://schemas.microsoft.com/office/drawing/2014/main" id="{B4ADEA31-E512-1EA3-15B0-788BE85E6F74}"/>
            </a:ext>
          </a:extLst>
        </xdr:cNvPr>
        <xdr:cNvPicPr>
          <a:picLocks noChangeAspect="1"/>
        </xdr:cNvPicPr>
      </xdr:nvPicPr>
      <xdr:blipFill>
        <a:blip xmlns:r="http://schemas.openxmlformats.org/officeDocument/2006/relationships" r:embed="rId15"/>
        <a:stretch>
          <a:fillRect/>
        </a:stretch>
      </xdr:blipFill>
      <xdr:spPr>
        <a:xfrm>
          <a:off x="1829497" y="6591998"/>
          <a:ext cx="246166" cy="331051"/>
        </a:xfrm>
        <a:prstGeom prst="rect">
          <a:avLst/>
        </a:prstGeom>
      </xdr:spPr>
    </xdr:pic>
    <xdr:clientData/>
  </xdr:oneCellAnchor>
  <xdr:oneCellAnchor>
    <xdr:from>
      <xdr:col>1</xdr:col>
      <xdr:colOff>633064</xdr:colOff>
      <xdr:row>228</xdr:row>
      <xdr:rowOff>104543</xdr:rowOff>
    </xdr:from>
    <xdr:ext cx="246166" cy="331051"/>
    <xdr:pic>
      <xdr:nvPicPr>
        <xdr:cNvPr id="14" name="Billede 9">
          <a:extLst>
            <a:ext uri="{FF2B5EF4-FFF2-40B4-BE49-F238E27FC236}">
              <a16:creationId xmlns:a16="http://schemas.microsoft.com/office/drawing/2014/main" id="{0C05AC60-F77E-4D5A-BBAE-83EF4BEF3340}"/>
            </a:ext>
          </a:extLst>
        </xdr:cNvPr>
        <xdr:cNvPicPr>
          <a:picLocks noChangeAspect="1"/>
        </xdr:cNvPicPr>
      </xdr:nvPicPr>
      <xdr:blipFill>
        <a:blip xmlns:r="http://schemas.openxmlformats.org/officeDocument/2006/relationships" r:embed="rId15"/>
        <a:stretch>
          <a:fillRect/>
        </a:stretch>
      </xdr:blipFill>
      <xdr:spPr>
        <a:xfrm>
          <a:off x="1829497" y="6591998"/>
          <a:ext cx="246166" cy="33105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2</xdr:col>
      <xdr:colOff>178779</xdr:colOff>
      <xdr:row>6</xdr:row>
      <xdr:rowOff>106974</xdr:rowOff>
    </xdr:from>
    <xdr:to>
      <xdr:col>3</xdr:col>
      <xdr:colOff>458665</xdr:colOff>
      <xdr:row>11</xdr:row>
      <xdr:rowOff>61548</xdr:rowOff>
    </xdr:to>
    <xdr:sp macro="" textlink="">
      <xdr:nvSpPr>
        <xdr:cNvPr id="25" name="Flowchart: Connector 24">
          <a:extLst>
            <a:ext uri="{FF2B5EF4-FFF2-40B4-BE49-F238E27FC236}">
              <a16:creationId xmlns:a16="http://schemas.microsoft.com/office/drawing/2014/main" id="{A88A6C3D-3944-406F-85B4-E40299515C43}"/>
            </a:ext>
          </a:extLst>
        </xdr:cNvPr>
        <xdr:cNvSpPr/>
      </xdr:nvSpPr>
      <xdr:spPr>
        <a:xfrm>
          <a:off x="178779" y="1022839"/>
          <a:ext cx="888021" cy="87044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CNC Dreje</a:t>
          </a:r>
        </a:p>
      </xdr:txBody>
    </xdr:sp>
    <xdr:clientData/>
  </xdr:twoCellAnchor>
  <xdr:twoCellAnchor>
    <xdr:from>
      <xdr:col>2</xdr:col>
      <xdr:colOff>183174</xdr:colOff>
      <xdr:row>12</xdr:row>
      <xdr:rowOff>65942</xdr:rowOff>
    </xdr:from>
    <xdr:to>
      <xdr:col>3</xdr:col>
      <xdr:colOff>463060</xdr:colOff>
      <xdr:row>17</xdr:row>
      <xdr:rowOff>20517</xdr:rowOff>
    </xdr:to>
    <xdr:sp macro="" textlink="">
      <xdr:nvSpPr>
        <xdr:cNvPr id="26" name="Flowchart: Connector 25">
          <a:extLst>
            <a:ext uri="{FF2B5EF4-FFF2-40B4-BE49-F238E27FC236}">
              <a16:creationId xmlns:a16="http://schemas.microsoft.com/office/drawing/2014/main" id="{E4798084-AD29-480E-A178-6B7A910D538C}"/>
            </a:ext>
          </a:extLst>
        </xdr:cNvPr>
        <xdr:cNvSpPr/>
      </xdr:nvSpPr>
      <xdr:spPr>
        <a:xfrm>
          <a:off x="183174" y="2080846"/>
          <a:ext cx="888021" cy="87044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CNC Skære</a:t>
          </a:r>
        </a:p>
      </xdr:txBody>
    </xdr:sp>
    <xdr:clientData/>
  </xdr:twoCellAnchor>
  <xdr:twoCellAnchor>
    <xdr:from>
      <xdr:col>5</xdr:col>
      <xdr:colOff>212741</xdr:colOff>
      <xdr:row>6</xdr:row>
      <xdr:rowOff>157745</xdr:rowOff>
    </xdr:from>
    <xdr:to>
      <xdr:col>6</xdr:col>
      <xdr:colOff>492629</xdr:colOff>
      <xdr:row>11</xdr:row>
      <xdr:rowOff>112319</xdr:rowOff>
    </xdr:to>
    <xdr:sp macro="" textlink="">
      <xdr:nvSpPr>
        <xdr:cNvPr id="37" name="Flowchart: Connector 36">
          <a:extLst>
            <a:ext uri="{FF2B5EF4-FFF2-40B4-BE49-F238E27FC236}">
              <a16:creationId xmlns:a16="http://schemas.microsoft.com/office/drawing/2014/main" id="{9D7E1BFF-F3FB-471C-92EA-8D04522303F3}"/>
            </a:ext>
          </a:extLst>
        </xdr:cNvPr>
        <xdr:cNvSpPr/>
      </xdr:nvSpPr>
      <xdr:spPr>
        <a:xfrm>
          <a:off x="2633212" y="1054216"/>
          <a:ext cx="885005" cy="8510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Skære</a:t>
          </a:r>
        </a:p>
      </xdr:txBody>
    </xdr:sp>
    <xdr:clientData/>
  </xdr:twoCellAnchor>
  <xdr:twoCellAnchor>
    <xdr:from>
      <xdr:col>5</xdr:col>
      <xdr:colOff>215671</xdr:colOff>
      <xdr:row>12</xdr:row>
      <xdr:rowOff>115247</xdr:rowOff>
    </xdr:from>
    <xdr:to>
      <xdr:col>6</xdr:col>
      <xdr:colOff>495559</xdr:colOff>
      <xdr:row>17</xdr:row>
      <xdr:rowOff>69822</xdr:rowOff>
    </xdr:to>
    <xdr:sp macro="" textlink="">
      <xdr:nvSpPr>
        <xdr:cNvPr id="38" name="Flowchart: Connector 37">
          <a:extLst>
            <a:ext uri="{FF2B5EF4-FFF2-40B4-BE49-F238E27FC236}">
              <a16:creationId xmlns:a16="http://schemas.microsoft.com/office/drawing/2014/main" id="{C0CEDD51-2396-41DD-B021-CB04EBFAF008}"/>
            </a:ext>
          </a:extLst>
        </xdr:cNvPr>
        <xdr:cNvSpPr/>
      </xdr:nvSpPr>
      <xdr:spPr>
        <a:xfrm>
          <a:off x="2636142" y="2087482"/>
          <a:ext cx="885005" cy="851046"/>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Lime</a:t>
          </a:r>
        </a:p>
      </xdr:txBody>
    </xdr:sp>
    <xdr:clientData/>
  </xdr:twoCellAnchor>
  <xdr:twoCellAnchor>
    <xdr:from>
      <xdr:col>5</xdr:col>
      <xdr:colOff>208343</xdr:colOff>
      <xdr:row>18</xdr:row>
      <xdr:rowOff>115247</xdr:rowOff>
    </xdr:from>
    <xdr:to>
      <xdr:col>6</xdr:col>
      <xdr:colOff>488231</xdr:colOff>
      <xdr:row>23</xdr:row>
      <xdr:rowOff>69821</xdr:rowOff>
    </xdr:to>
    <xdr:sp macro="" textlink="">
      <xdr:nvSpPr>
        <xdr:cNvPr id="39" name="Flowchart: Connector 38">
          <a:extLst>
            <a:ext uri="{FF2B5EF4-FFF2-40B4-BE49-F238E27FC236}">
              <a16:creationId xmlns:a16="http://schemas.microsoft.com/office/drawing/2014/main" id="{D035D665-8B34-4AF8-8FB2-A6D6029925A3}"/>
            </a:ext>
          </a:extLst>
        </xdr:cNvPr>
        <xdr:cNvSpPr/>
      </xdr:nvSpPr>
      <xdr:spPr>
        <a:xfrm>
          <a:off x="2628814" y="3163247"/>
          <a:ext cx="885005" cy="851045"/>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Tørre</a:t>
          </a:r>
        </a:p>
      </xdr:txBody>
    </xdr:sp>
    <xdr:clientData/>
  </xdr:twoCellAnchor>
  <xdr:twoCellAnchor>
    <xdr:from>
      <xdr:col>5</xdr:col>
      <xdr:colOff>201016</xdr:colOff>
      <xdr:row>24</xdr:row>
      <xdr:rowOff>166536</xdr:rowOff>
    </xdr:from>
    <xdr:to>
      <xdr:col>6</xdr:col>
      <xdr:colOff>480904</xdr:colOff>
      <xdr:row>29</xdr:row>
      <xdr:rowOff>121111</xdr:rowOff>
    </xdr:to>
    <xdr:sp macro="" textlink="">
      <xdr:nvSpPr>
        <xdr:cNvPr id="40" name="Flowchart: Connector 39">
          <a:extLst>
            <a:ext uri="{FF2B5EF4-FFF2-40B4-BE49-F238E27FC236}">
              <a16:creationId xmlns:a16="http://schemas.microsoft.com/office/drawing/2014/main" id="{5CCCCA1F-19B3-473C-9757-67644E41E255}"/>
            </a:ext>
          </a:extLst>
        </xdr:cNvPr>
        <xdr:cNvSpPr/>
      </xdr:nvSpPr>
      <xdr:spPr>
        <a:xfrm>
          <a:off x="2621487" y="4290301"/>
          <a:ext cx="885005" cy="851045"/>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Presse</a:t>
          </a:r>
        </a:p>
      </xdr:txBody>
    </xdr:sp>
    <xdr:clientData/>
  </xdr:twoCellAnchor>
  <xdr:twoCellAnchor>
    <xdr:from>
      <xdr:col>5</xdr:col>
      <xdr:colOff>215670</xdr:colOff>
      <xdr:row>30</xdr:row>
      <xdr:rowOff>173864</xdr:rowOff>
    </xdr:from>
    <xdr:to>
      <xdr:col>6</xdr:col>
      <xdr:colOff>495558</xdr:colOff>
      <xdr:row>35</xdr:row>
      <xdr:rowOff>128438</xdr:rowOff>
    </xdr:to>
    <xdr:sp macro="" textlink="">
      <xdr:nvSpPr>
        <xdr:cNvPr id="41" name="Flowchart: Connector 40">
          <a:extLst>
            <a:ext uri="{FF2B5EF4-FFF2-40B4-BE49-F238E27FC236}">
              <a16:creationId xmlns:a16="http://schemas.microsoft.com/office/drawing/2014/main" id="{BEBF32C8-5807-4DAB-86A4-CB9DE51C8F8F}"/>
            </a:ext>
          </a:extLst>
        </xdr:cNvPr>
        <xdr:cNvSpPr/>
      </xdr:nvSpPr>
      <xdr:spPr>
        <a:xfrm>
          <a:off x="2636141" y="5373393"/>
          <a:ext cx="885005" cy="851045"/>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Afgrate</a:t>
          </a:r>
        </a:p>
      </xdr:txBody>
    </xdr:sp>
    <xdr:clientData/>
  </xdr:twoCellAnchor>
  <xdr:twoCellAnchor>
    <xdr:from>
      <xdr:col>5</xdr:col>
      <xdr:colOff>215669</xdr:colOff>
      <xdr:row>37</xdr:row>
      <xdr:rowOff>27325</xdr:rowOff>
    </xdr:from>
    <xdr:to>
      <xdr:col>6</xdr:col>
      <xdr:colOff>495557</xdr:colOff>
      <xdr:row>41</xdr:row>
      <xdr:rowOff>165073</xdr:rowOff>
    </xdr:to>
    <xdr:sp macro="" textlink="">
      <xdr:nvSpPr>
        <xdr:cNvPr id="42" name="Flowchart: Connector 41">
          <a:extLst>
            <a:ext uri="{FF2B5EF4-FFF2-40B4-BE49-F238E27FC236}">
              <a16:creationId xmlns:a16="http://schemas.microsoft.com/office/drawing/2014/main" id="{D54995CD-A15C-4D7F-BAA7-8CF3F4DDCBD7}"/>
            </a:ext>
          </a:extLst>
        </xdr:cNvPr>
        <xdr:cNvSpPr/>
      </xdr:nvSpPr>
      <xdr:spPr>
        <a:xfrm>
          <a:off x="2636140" y="6481913"/>
          <a:ext cx="885005" cy="854925"/>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Bore</a:t>
          </a:r>
        </a:p>
      </xdr:txBody>
    </xdr:sp>
    <xdr:clientData/>
  </xdr:twoCellAnchor>
  <xdr:twoCellAnchor>
    <xdr:from>
      <xdr:col>9</xdr:col>
      <xdr:colOff>129815</xdr:colOff>
      <xdr:row>52</xdr:row>
      <xdr:rowOff>11205</xdr:rowOff>
    </xdr:from>
    <xdr:to>
      <xdr:col>10</xdr:col>
      <xdr:colOff>515470</xdr:colOff>
      <xdr:row>57</xdr:row>
      <xdr:rowOff>89648</xdr:rowOff>
    </xdr:to>
    <xdr:sp macro="" textlink="">
      <xdr:nvSpPr>
        <xdr:cNvPr id="47" name="Flowchart: Connector 46">
          <a:extLst>
            <a:ext uri="{FF2B5EF4-FFF2-40B4-BE49-F238E27FC236}">
              <a16:creationId xmlns:a16="http://schemas.microsoft.com/office/drawing/2014/main" id="{0317543D-915A-4772-B00C-CB0BCB61B71B}"/>
            </a:ext>
          </a:extLst>
        </xdr:cNvPr>
        <xdr:cNvSpPr/>
      </xdr:nvSpPr>
      <xdr:spPr>
        <a:xfrm>
          <a:off x="6349080" y="9524999"/>
          <a:ext cx="990772" cy="97491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Montere</a:t>
          </a:r>
        </a:p>
      </xdr:txBody>
    </xdr:sp>
    <xdr:clientData/>
  </xdr:twoCellAnchor>
  <xdr:twoCellAnchor>
    <xdr:from>
      <xdr:col>9</xdr:col>
      <xdr:colOff>174298</xdr:colOff>
      <xdr:row>12</xdr:row>
      <xdr:rowOff>146536</xdr:rowOff>
    </xdr:from>
    <xdr:to>
      <xdr:col>10</xdr:col>
      <xdr:colOff>452722</xdr:colOff>
      <xdr:row>17</xdr:row>
      <xdr:rowOff>95248</xdr:rowOff>
    </xdr:to>
    <xdr:sp macro="" textlink="">
      <xdr:nvSpPr>
        <xdr:cNvPr id="48" name="Flowchart: Connector 47">
          <a:extLst>
            <a:ext uri="{FF2B5EF4-FFF2-40B4-BE49-F238E27FC236}">
              <a16:creationId xmlns:a16="http://schemas.microsoft.com/office/drawing/2014/main" id="{8BBBFCBE-0CA4-44DE-9272-A84DC35EBCBD}"/>
            </a:ext>
          </a:extLst>
        </xdr:cNvPr>
        <xdr:cNvSpPr/>
      </xdr:nvSpPr>
      <xdr:spPr>
        <a:xfrm>
          <a:off x="5620357" y="2118771"/>
          <a:ext cx="883541" cy="845183"/>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Save</a:t>
          </a:r>
        </a:p>
      </xdr:txBody>
    </xdr:sp>
    <xdr:clientData/>
  </xdr:twoCellAnchor>
  <xdr:twoCellAnchor>
    <xdr:from>
      <xdr:col>9</xdr:col>
      <xdr:colOff>180160</xdr:colOff>
      <xdr:row>6</xdr:row>
      <xdr:rowOff>153866</xdr:rowOff>
    </xdr:from>
    <xdr:to>
      <xdr:col>10</xdr:col>
      <xdr:colOff>460048</xdr:colOff>
      <xdr:row>11</xdr:row>
      <xdr:rowOff>108440</xdr:rowOff>
    </xdr:to>
    <xdr:sp macro="" textlink="">
      <xdr:nvSpPr>
        <xdr:cNvPr id="49" name="Flowchart: Connector 48">
          <a:extLst>
            <a:ext uri="{FF2B5EF4-FFF2-40B4-BE49-F238E27FC236}">
              <a16:creationId xmlns:a16="http://schemas.microsoft.com/office/drawing/2014/main" id="{79F1B964-578C-40EC-9570-B67EC353D7DB}"/>
            </a:ext>
          </a:extLst>
        </xdr:cNvPr>
        <xdr:cNvSpPr/>
      </xdr:nvSpPr>
      <xdr:spPr>
        <a:xfrm>
          <a:off x="5626219" y="1050337"/>
          <a:ext cx="885005" cy="8510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Bore</a:t>
          </a:r>
        </a:p>
      </xdr:txBody>
    </xdr:sp>
    <xdr:clientData/>
  </xdr:twoCellAnchor>
  <xdr:twoCellAnchor>
    <xdr:from>
      <xdr:col>9</xdr:col>
      <xdr:colOff>174297</xdr:colOff>
      <xdr:row>19</xdr:row>
      <xdr:rowOff>109903</xdr:rowOff>
    </xdr:from>
    <xdr:to>
      <xdr:col>10</xdr:col>
      <xdr:colOff>482028</xdr:colOff>
      <xdr:row>24</xdr:row>
      <xdr:rowOff>73268</xdr:rowOff>
    </xdr:to>
    <xdr:sp macro="" textlink="">
      <xdr:nvSpPr>
        <xdr:cNvPr id="50" name="Flowchart: Connector 49">
          <a:extLst>
            <a:ext uri="{FF2B5EF4-FFF2-40B4-BE49-F238E27FC236}">
              <a16:creationId xmlns:a16="http://schemas.microsoft.com/office/drawing/2014/main" id="{61E28548-1B09-48C8-8417-2D03478C3BA5}"/>
            </a:ext>
          </a:extLst>
        </xdr:cNvPr>
        <xdr:cNvSpPr/>
      </xdr:nvSpPr>
      <xdr:spPr>
        <a:xfrm>
          <a:off x="5620356" y="3337197"/>
          <a:ext cx="912848" cy="859836"/>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Afgrate</a:t>
          </a:r>
        </a:p>
      </xdr:txBody>
    </xdr:sp>
    <xdr:clientData/>
  </xdr:twoCellAnchor>
  <xdr:twoCellAnchor>
    <xdr:from>
      <xdr:col>9</xdr:col>
      <xdr:colOff>33619</xdr:colOff>
      <xdr:row>25</xdr:row>
      <xdr:rowOff>124558</xdr:rowOff>
    </xdr:from>
    <xdr:to>
      <xdr:col>10</xdr:col>
      <xdr:colOff>547971</xdr:colOff>
      <xdr:row>28</xdr:row>
      <xdr:rowOff>167053</xdr:rowOff>
    </xdr:to>
    <xdr:sp macro="" textlink="">
      <xdr:nvSpPr>
        <xdr:cNvPr id="51" name="Rectangle 50">
          <a:extLst>
            <a:ext uri="{FF2B5EF4-FFF2-40B4-BE49-F238E27FC236}">
              <a16:creationId xmlns:a16="http://schemas.microsoft.com/office/drawing/2014/main" id="{D1F64650-922C-42F8-8813-E52FA256D23C}"/>
            </a:ext>
          </a:extLst>
        </xdr:cNvPr>
        <xdr:cNvSpPr/>
      </xdr:nvSpPr>
      <xdr:spPr>
        <a:xfrm>
          <a:off x="5479678" y="4427617"/>
          <a:ext cx="1119469" cy="5803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Kontrol</a:t>
          </a:r>
        </a:p>
      </xdr:txBody>
    </xdr:sp>
    <xdr:clientData/>
  </xdr:twoCellAnchor>
  <xdr:twoCellAnchor>
    <xdr:from>
      <xdr:col>9</xdr:col>
      <xdr:colOff>165506</xdr:colOff>
      <xdr:row>30</xdr:row>
      <xdr:rowOff>137745</xdr:rowOff>
    </xdr:from>
    <xdr:to>
      <xdr:col>10</xdr:col>
      <xdr:colOff>473237</xdr:colOff>
      <xdr:row>35</xdr:row>
      <xdr:rowOff>101110</xdr:rowOff>
    </xdr:to>
    <xdr:sp macro="" textlink="">
      <xdr:nvSpPr>
        <xdr:cNvPr id="52" name="Flowchart: Connector 51">
          <a:extLst>
            <a:ext uri="{FF2B5EF4-FFF2-40B4-BE49-F238E27FC236}">
              <a16:creationId xmlns:a16="http://schemas.microsoft.com/office/drawing/2014/main" id="{4C06A65E-1A8E-4962-85F3-0BC2B82672BD}"/>
            </a:ext>
          </a:extLst>
        </xdr:cNvPr>
        <xdr:cNvSpPr/>
      </xdr:nvSpPr>
      <xdr:spPr>
        <a:xfrm>
          <a:off x="5611565" y="5337274"/>
          <a:ext cx="912848" cy="859836"/>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Bukke</a:t>
          </a:r>
        </a:p>
      </xdr:txBody>
    </xdr:sp>
    <xdr:clientData/>
  </xdr:twoCellAnchor>
  <xdr:twoCellAnchor>
    <xdr:from>
      <xdr:col>9</xdr:col>
      <xdr:colOff>156713</xdr:colOff>
      <xdr:row>37</xdr:row>
      <xdr:rowOff>70336</xdr:rowOff>
    </xdr:from>
    <xdr:to>
      <xdr:col>10</xdr:col>
      <xdr:colOff>464444</xdr:colOff>
      <xdr:row>42</xdr:row>
      <xdr:rowOff>33702</xdr:rowOff>
    </xdr:to>
    <xdr:sp macro="" textlink="">
      <xdr:nvSpPr>
        <xdr:cNvPr id="53" name="Flowchart: Connector 52">
          <a:extLst>
            <a:ext uri="{FF2B5EF4-FFF2-40B4-BE49-F238E27FC236}">
              <a16:creationId xmlns:a16="http://schemas.microsoft.com/office/drawing/2014/main" id="{443DDFA2-010D-4706-818E-1480471B3D0D}"/>
            </a:ext>
          </a:extLst>
        </xdr:cNvPr>
        <xdr:cNvSpPr/>
      </xdr:nvSpPr>
      <xdr:spPr>
        <a:xfrm>
          <a:off x="5602772" y="6524924"/>
          <a:ext cx="912848" cy="859837"/>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Svejse</a:t>
          </a:r>
        </a:p>
      </xdr:txBody>
    </xdr:sp>
    <xdr:clientData/>
  </xdr:twoCellAnchor>
  <xdr:twoCellAnchor>
    <xdr:from>
      <xdr:col>9</xdr:col>
      <xdr:colOff>76115</xdr:colOff>
      <xdr:row>43</xdr:row>
      <xdr:rowOff>170502</xdr:rowOff>
    </xdr:from>
    <xdr:to>
      <xdr:col>10</xdr:col>
      <xdr:colOff>590467</xdr:colOff>
      <xdr:row>47</xdr:row>
      <xdr:rowOff>33702</xdr:rowOff>
    </xdr:to>
    <xdr:sp macro="" textlink="">
      <xdr:nvSpPr>
        <xdr:cNvPr id="54" name="Rectangle 53">
          <a:extLst>
            <a:ext uri="{FF2B5EF4-FFF2-40B4-BE49-F238E27FC236}">
              <a16:creationId xmlns:a16="http://schemas.microsoft.com/office/drawing/2014/main" id="{174B4B10-90D6-46B4-836A-9EBCA0A99FF6}"/>
            </a:ext>
          </a:extLst>
        </xdr:cNvPr>
        <xdr:cNvSpPr/>
      </xdr:nvSpPr>
      <xdr:spPr>
        <a:xfrm>
          <a:off x="5522174" y="7700855"/>
          <a:ext cx="1119469" cy="5803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kontrol</a:t>
          </a:r>
        </a:p>
      </xdr:txBody>
    </xdr:sp>
    <xdr:clientData/>
  </xdr:twoCellAnchor>
  <xdr:twoCellAnchor>
    <xdr:from>
      <xdr:col>9</xdr:col>
      <xdr:colOff>67776</xdr:colOff>
      <xdr:row>59</xdr:row>
      <xdr:rowOff>6198</xdr:rowOff>
    </xdr:from>
    <xdr:to>
      <xdr:col>10</xdr:col>
      <xdr:colOff>589109</xdr:colOff>
      <xdr:row>62</xdr:row>
      <xdr:rowOff>56774</xdr:rowOff>
    </xdr:to>
    <xdr:sp macro="" textlink="">
      <xdr:nvSpPr>
        <xdr:cNvPr id="56" name="Rectangle 55">
          <a:extLst>
            <a:ext uri="{FF2B5EF4-FFF2-40B4-BE49-F238E27FC236}">
              <a16:creationId xmlns:a16="http://schemas.microsoft.com/office/drawing/2014/main" id="{4299C14D-08EF-4164-A3B8-EBB74194624E}"/>
            </a:ext>
          </a:extLst>
        </xdr:cNvPr>
        <xdr:cNvSpPr/>
      </xdr:nvSpPr>
      <xdr:spPr>
        <a:xfrm>
          <a:off x="6351153" y="11211346"/>
          <a:ext cx="1133431" cy="6127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kontrol</a:t>
          </a:r>
        </a:p>
      </xdr:txBody>
    </xdr:sp>
    <xdr:clientData/>
  </xdr:twoCellAnchor>
  <xdr:twoCellAnchor>
    <xdr:from>
      <xdr:col>8</xdr:col>
      <xdr:colOff>112059</xdr:colOff>
      <xdr:row>48</xdr:row>
      <xdr:rowOff>179294</xdr:rowOff>
    </xdr:from>
    <xdr:to>
      <xdr:col>9</xdr:col>
      <xdr:colOff>11206</xdr:colOff>
      <xdr:row>48</xdr:row>
      <xdr:rowOff>179294</xdr:rowOff>
    </xdr:to>
    <xdr:cxnSp macro="">
      <xdr:nvCxnSpPr>
        <xdr:cNvPr id="63" name="Straight Arrow Connector 62">
          <a:extLst>
            <a:ext uri="{FF2B5EF4-FFF2-40B4-BE49-F238E27FC236}">
              <a16:creationId xmlns:a16="http://schemas.microsoft.com/office/drawing/2014/main" id="{C38157F1-649D-0A9A-7413-94F309574E9E}"/>
            </a:ext>
          </a:extLst>
        </xdr:cNvPr>
        <xdr:cNvCxnSpPr/>
      </xdr:nvCxnSpPr>
      <xdr:spPr>
        <a:xfrm>
          <a:off x="5726206" y="8729382"/>
          <a:ext cx="50426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118782</xdr:colOff>
      <xdr:row>49</xdr:row>
      <xdr:rowOff>174811</xdr:rowOff>
    </xdr:from>
    <xdr:to>
      <xdr:col>9</xdr:col>
      <xdr:colOff>17929</xdr:colOff>
      <xdr:row>49</xdr:row>
      <xdr:rowOff>174811</xdr:rowOff>
    </xdr:to>
    <xdr:cxnSp macro="">
      <xdr:nvCxnSpPr>
        <xdr:cNvPr id="450" name="Straight Arrow Connector 449">
          <a:extLst>
            <a:ext uri="{FF2B5EF4-FFF2-40B4-BE49-F238E27FC236}">
              <a16:creationId xmlns:a16="http://schemas.microsoft.com/office/drawing/2014/main" id="{CC1B99F8-1FA0-41DC-9829-57C1F92FD404}"/>
            </a:ext>
          </a:extLst>
        </xdr:cNvPr>
        <xdr:cNvCxnSpPr/>
      </xdr:nvCxnSpPr>
      <xdr:spPr>
        <a:xfrm>
          <a:off x="5732929" y="9027458"/>
          <a:ext cx="50426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12492</xdr:colOff>
      <xdr:row>51</xdr:row>
      <xdr:rowOff>919</xdr:rowOff>
    </xdr:from>
    <xdr:to>
      <xdr:col>9</xdr:col>
      <xdr:colOff>22412</xdr:colOff>
      <xdr:row>51</xdr:row>
      <xdr:rowOff>12492</xdr:rowOff>
    </xdr:to>
    <xdr:cxnSp macro="">
      <xdr:nvCxnSpPr>
        <xdr:cNvPr id="451" name="Straight Arrow Connector 450">
          <a:extLst>
            <a:ext uri="{FF2B5EF4-FFF2-40B4-BE49-F238E27FC236}">
              <a16:creationId xmlns:a16="http://schemas.microsoft.com/office/drawing/2014/main" id="{26746419-3708-4937-A76E-D5C9BE82A4C9}"/>
            </a:ext>
          </a:extLst>
        </xdr:cNvPr>
        <xdr:cNvCxnSpPr/>
      </xdr:nvCxnSpPr>
      <xdr:spPr>
        <a:xfrm flipV="1">
          <a:off x="5071672" y="9519673"/>
          <a:ext cx="622019" cy="115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171445</xdr:colOff>
      <xdr:row>10</xdr:row>
      <xdr:rowOff>17927</xdr:rowOff>
    </xdr:from>
    <xdr:to>
      <xdr:col>10</xdr:col>
      <xdr:colOff>524656</xdr:colOff>
      <xdr:row>11</xdr:row>
      <xdr:rowOff>162394</xdr:rowOff>
    </xdr:to>
    <xdr:sp macro="" textlink="">
      <xdr:nvSpPr>
        <xdr:cNvPr id="474" name="Flowchart: Connector 473">
          <a:extLst>
            <a:ext uri="{FF2B5EF4-FFF2-40B4-BE49-F238E27FC236}">
              <a16:creationId xmlns:a16="http://schemas.microsoft.com/office/drawing/2014/main" id="{92B9EEC4-8D76-4276-AE23-16A2ACD98EA3}"/>
            </a:ext>
          </a:extLst>
        </xdr:cNvPr>
        <xdr:cNvSpPr/>
      </xdr:nvSpPr>
      <xdr:spPr>
        <a:xfrm>
          <a:off x="7066920" y="1629370"/>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a:t>
          </a:r>
        </a:p>
      </xdr:txBody>
    </xdr:sp>
    <xdr:clientData/>
  </xdr:twoCellAnchor>
  <xdr:twoCellAnchor>
    <xdr:from>
      <xdr:col>10</xdr:col>
      <xdr:colOff>148960</xdr:colOff>
      <xdr:row>15</xdr:row>
      <xdr:rowOff>182819</xdr:rowOff>
    </xdr:from>
    <xdr:to>
      <xdr:col>10</xdr:col>
      <xdr:colOff>502171</xdr:colOff>
      <xdr:row>17</xdr:row>
      <xdr:rowOff>139909</xdr:rowOff>
    </xdr:to>
    <xdr:sp macro="" textlink="">
      <xdr:nvSpPr>
        <xdr:cNvPr id="476" name="Flowchart: Connector 475">
          <a:extLst>
            <a:ext uri="{FF2B5EF4-FFF2-40B4-BE49-F238E27FC236}">
              <a16:creationId xmlns:a16="http://schemas.microsoft.com/office/drawing/2014/main" id="{F156F3C4-76F8-42B5-8F15-39116ED952C8}"/>
            </a:ext>
          </a:extLst>
        </xdr:cNvPr>
        <xdr:cNvSpPr/>
      </xdr:nvSpPr>
      <xdr:spPr>
        <a:xfrm>
          <a:off x="7044435" y="2731147"/>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2</a:t>
          </a:r>
        </a:p>
      </xdr:txBody>
    </xdr:sp>
    <xdr:clientData/>
  </xdr:twoCellAnchor>
  <xdr:twoCellAnchor>
    <xdr:from>
      <xdr:col>10</xdr:col>
      <xdr:colOff>162394</xdr:colOff>
      <xdr:row>22</xdr:row>
      <xdr:rowOff>137410</xdr:rowOff>
    </xdr:from>
    <xdr:to>
      <xdr:col>10</xdr:col>
      <xdr:colOff>515605</xdr:colOff>
      <xdr:row>24</xdr:row>
      <xdr:rowOff>94500</xdr:rowOff>
    </xdr:to>
    <xdr:sp macro="" textlink="">
      <xdr:nvSpPr>
        <xdr:cNvPr id="477" name="Flowchart: Connector 476">
          <a:extLst>
            <a:ext uri="{FF2B5EF4-FFF2-40B4-BE49-F238E27FC236}">
              <a16:creationId xmlns:a16="http://schemas.microsoft.com/office/drawing/2014/main" id="{4C0B9CFB-D6B9-4B87-B2B7-4AF3EBAB97AE}"/>
            </a:ext>
          </a:extLst>
        </xdr:cNvPr>
        <xdr:cNvSpPr/>
      </xdr:nvSpPr>
      <xdr:spPr>
        <a:xfrm>
          <a:off x="7057869" y="3997377"/>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3</a:t>
          </a:r>
        </a:p>
      </xdr:txBody>
    </xdr:sp>
    <xdr:clientData/>
  </xdr:twoCellAnchor>
  <xdr:twoCellAnchor>
    <xdr:from>
      <xdr:col>10</xdr:col>
      <xdr:colOff>149902</xdr:colOff>
      <xdr:row>34</xdr:row>
      <xdr:rowOff>24984</xdr:rowOff>
    </xdr:from>
    <xdr:to>
      <xdr:col>10</xdr:col>
      <xdr:colOff>503113</xdr:colOff>
      <xdr:row>35</xdr:row>
      <xdr:rowOff>169451</xdr:rowOff>
    </xdr:to>
    <xdr:sp macro="" textlink="">
      <xdr:nvSpPr>
        <xdr:cNvPr id="478" name="Flowchart: Connector 477">
          <a:extLst>
            <a:ext uri="{FF2B5EF4-FFF2-40B4-BE49-F238E27FC236}">
              <a16:creationId xmlns:a16="http://schemas.microsoft.com/office/drawing/2014/main" id="{84510981-798B-4378-BB0D-630B88501703}"/>
            </a:ext>
          </a:extLst>
        </xdr:cNvPr>
        <xdr:cNvSpPr/>
      </xdr:nvSpPr>
      <xdr:spPr>
        <a:xfrm>
          <a:off x="7045377" y="6133476"/>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4</a:t>
          </a:r>
        </a:p>
      </xdr:txBody>
    </xdr:sp>
    <xdr:clientData/>
  </xdr:twoCellAnchor>
  <xdr:twoCellAnchor>
    <xdr:from>
      <xdr:col>10</xdr:col>
      <xdr:colOff>139909</xdr:colOff>
      <xdr:row>40</xdr:row>
      <xdr:rowOff>114926</xdr:rowOff>
    </xdr:from>
    <xdr:to>
      <xdr:col>10</xdr:col>
      <xdr:colOff>493120</xdr:colOff>
      <xdr:row>42</xdr:row>
      <xdr:rowOff>72016</xdr:rowOff>
    </xdr:to>
    <xdr:sp macro="" textlink="">
      <xdr:nvSpPr>
        <xdr:cNvPr id="479" name="Flowchart: Connector 478">
          <a:extLst>
            <a:ext uri="{FF2B5EF4-FFF2-40B4-BE49-F238E27FC236}">
              <a16:creationId xmlns:a16="http://schemas.microsoft.com/office/drawing/2014/main" id="{757918D3-89FE-48AE-88A4-E485F2D28865}"/>
            </a:ext>
          </a:extLst>
        </xdr:cNvPr>
        <xdr:cNvSpPr/>
      </xdr:nvSpPr>
      <xdr:spPr>
        <a:xfrm>
          <a:off x="7035384" y="7347680"/>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5</a:t>
          </a:r>
        </a:p>
      </xdr:txBody>
    </xdr:sp>
    <xdr:clientData/>
  </xdr:twoCellAnchor>
  <xdr:twoCellAnchor>
    <xdr:from>
      <xdr:col>10</xdr:col>
      <xdr:colOff>162394</xdr:colOff>
      <xdr:row>55</xdr:row>
      <xdr:rowOff>137409</xdr:rowOff>
    </xdr:from>
    <xdr:to>
      <xdr:col>11</xdr:col>
      <xdr:colOff>24984</xdr:colOff>
      <xdr:row>58</xdr:row>
      <xdr:rowOff>37475</xdr:rowOff>
    </xdr:to>
    <xdr:sp macro="" textlink="">
      <xdr:nvSpPr>
        <xdr:cNvPr id="480" name="Flowchart: Connector 479">
          <a:extLst>
            <a:ext uri="{FF2B5EF4-FFF2-40B4-BE49-F238E27FC236}">
              <a16:creationId xmlns:a16="http://schemas.microsoft.com/office/drawing/2014/main" id="{203E2B41-AA53-468A-85B5-8717EC2E9F06}"/>
            </a:ext>
          </a:extLst>
        </xdr:cNvPr>
        <xdr:cNvSpPr/>
      </xdr:nvSpPr>
      <xdr:spPr>
        <a:xfrm>
          <a:off x="6445771" y="10405671"/>
          <a:ext cx="474688" cy="462197"/>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17</a:t>
          </a:r>
        </a:p>
      </xdr:txBody>
    </xdr:sp>
    <xdr:clientData/>
  </xdr:twoCellAnchor>
  <xdr:twoCellAnchor>
    <xdr:from>
      <xdr:col>6</xdr:col>
      <xdr:colOff>199868</xdr:colOff>
      <xdr:row>10</xdr:row>
      <xdr:rowOff>24983</xdr:rowOff>
    </xdr:from>
    <xdr:to>
      <xdr:col>6</xdr:col>
      <xdr:colOff>553079</xdr:colOff>
      <xdr:row>11</xdr:row>
      <xdr:rowOff>169450</xdr:rowOff>
    </xdr:to>
    <xdr:sp macro="" textlink="">
      <xdr:nvSpPr>
        <xdr:cNvPr id="482" name="Flowchart: Connector 481">
          <a:extLst>
            <a:ext uri="{FF2B5EF4-FFF2-40B4-BE49-F238E27FC236}">
              <a16:creationId xmlns:a16="http://schemas.microsoft.com/office/drawing/2014/main" id="{56469AA2-6E96-43BC-B550-010336861E12}"/>
            </a:ext>
          </a:extLst>
        </xdr:cNvPr>
        <xdr:cNvSpPr/>
      </xdr:nvSpPr>
      <xdr:spPr>
        <a:xfrm>
          <a:off x="4646950" y="1636426"/>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6</a:t>
          </a:r>
        </a:p>
      </xdr:txBody>
    </xdr:sp>
    <xdr:clientData/>
  </xdr:twoCellAnchor>
  <xdr:twoCellAnchor>
    <xdr:from>
      <xdr:col>6</xdr:col>
      <xdr:colOff>187377</xdr:colOff>
      <xdr:row>15</xdr:row>
      <xdr:rowOff>174885</xdr:rowOff>
    </xdr:from>
    <xdr:to>
      <xdr:col>6</xdr:col>
      <xdr:colOff>540588</xdr:colOff>
      <xdr:row>17</xdr:row>
      <xdr:rowOff>131975</xdr:rowOff>
    </xdr:to>
    <xdr:sp macro="" textlink="">
      <xdr:nvSpPr>
        <xdr:cNvPr id="483" name="Flowchart: Connector 482">
          <a:extLst>
            <a:ext uri="{FF2B5EF4-FFF2-40B4-BE49-F238E27FC236}">
              <a16:creationId xmlns:a16="http://schemas.microsoft.com/office/drawing/2014/main" id="{1A03548A-3E7C-4E1B-B7DF-D7E800E147E1}"/>
            </a:ext>
          </a:extLst>
        </xdr:cNvPr>
        <xdr:cNvSpPr/>
      </xdr:nvSpPr>
      <xdr:spPr>
        <a:xfrm>
          <a:off x="4634459" y="2723213"/>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7</a:t>
          </a:r>
        </a:p>
      </xdr:txBody>
    </xdr:sp>
    <xdr:clientData/>
  </xdr:twoCellAnchor>
  <xdr:twoCellAnchor>
    <xdr:from>
      <xdr:col>6</xdr:col>
      <xdr:colOff>137409</xdr:colOff>
      <xdr:row>21</xdr:row>
      <xdr:rowOff>174885</xdr:rowOff>
    </xdr:from>
    <xdr:to>
      <xdr:col>6</xdr:col>
      <xdr:colOff>490620</xdr:colOff>
      <xdr:row>23</xdr:row>
      <xdr:rowOff>131975</xdr:rowOff>
    </xdr:to>
    <xdr:sp macro="" textlink="">
      <xdr:nvSpPr>
        <xdr:cNvPr id="484" name="Flowchart: Connector 483">
          <a:extLst>
            <a:ext uri="{FF2B5EF4-FFF2-40B4-BE49-F238E27FC236}">
              <a16:creationId xmlns:a16="http://schemas.microsoft.com/office/drawing/2014/main" id="{E6038227-18D1-46F9-9505-A6CD17EC22BE}"/>
            </a:ext>
          </a:extLst>
        </xdr:cNvPr>
        <xdr:cNvSpPr/>
      </xdr:nvSpPr>
      <xdr:spPr>
        <a:xfrm>
          <a:off x="4584491" y="3847475"/>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8</a:t>
          </a:r>
        </a:p>
      </xdr:txBody>
    </xdr:sp>
    <xdr:clientData/>
  </xdr:twoCellAnchor>
  <xdr:twoCellAnchor>
    <xdr:from>
      <xdr:col>6</xdr:col>
      <xdr:colOff>137410</xdr:colOff>
      <xdr:row>28</xdr:row>
      <xdr:rowOff>24983</xdr:rowOff>
    </xdr:from>
    <xdr:to>
      <xdr:col>6</xdr:col>
      <xdr:colOff>490621</xdr:colOff>
      <xdr:row>29</xdr:row>
      <xdr:rowOff>169450</xdr:rowOff>
    </xdr:to>
    <xdr:sp macro="" textlink="">
      <xdr:nvSpPr>
        <xdr:cNvPr id="485" name="Flowchart: Connector 484">
          <a:extLst>
            <a:ext uri="{FF2B5EF4-FFF2-40B4-BE49-F238E27FC236}">
              <a16:creationId xmlns:a16="http://schemas.microsoft.com/office/drawing/2014/main" id="{7C2C114D-B713-400B-BE20-60E56CE9B3E6}"/>
            </a:ext>
          </a:extLst>
        </xdr:cNvPr>
        <xdr:cNvSpPr/>
      </xdr:nvSpPr>
      <xdr:spPr>
        <a:xfrm>
          <a:off x="4584492" y="5009213"/>
          <a:ext cx="353211" cy="33184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9</a:t>
          </a:r>
        </a:p>
      </xdr:txBody>
    </xdr:sp>
    <xdr:clientData/>
  </xdr:twoCellAnchor>
  <xdr:twoCellAnchor>
    <xdr:from>
      <xdr:col>6</xdr:col>
      <xdr:colOff>149901</xdr:colOff>
      <xdr:row>34</xdr:row>
      <xdr:rowOff>49966</xdr:rowOff>
    </xdr:from>
    <xdr:to>
      <xdr:col>7</xdr:col>
      <xdr:colOff>0</xdr:colOff>
      <xdr:row>36</xdr:row>
      <xdr:rowOff>99933</xdr:rowOff>
    </xdr:to>
    <xdr:sp macro="" textlink="">
      <xdr:nvSpPr>
        <xdr:cNvPr id="486" name="Flowchart: Connector 485">
          <a:extLst>
            <a:ext uri="{FF2B5EF4-FFF2-40B4-BE49-F238E27FC236}">
              <a16:creationId xmlns:a16="http://schemas.microsoft.com/office/drawing/2014/main" id="{6E1E179F-CC55-45D5-8F1F-958267D8AFBC}"/>
            </a:ext>
          </a:extLst>
        </xdr:cNvPr>
        <xdr:cNvSpPr/>
      </xdr:nvSpPr>
      <xdr:spPr>
        <a:xfrm>
          <a:off x="3984885" y="6158458"/>
          <a:ext cx="462197" cy="424721"/>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10</a:t>
          </a:r>
        </a:p>
      </xdr:txBody>
    </xdr:sp>
    <xdr:clientData/>
  </xdr:twoCellAnchor>
  <xdr:twoCellAnchor>
    <xdr:from>
      <xdr:col>6</xdr:col>
      <xdr:colOff>162393</xdr:colOff>
      <xdr:row>40</xdr:row>
      <xdr:rowOff>62458</xdr:rowOff>
    </xdr:from>
    <xdr:to>
      <xdr:col>7</xdr:col>
      <xdr:colOff>24984</xdr:colOff>
      <xdr:row>42</xdr:row>
      <xdr:rowOff>112425</xdr:rowOff>
    </xdr:to>
    <xdr:sp macro="" textlink="">
      <xdr:nvSpPr>
        <xdr:cNvPr id="487" name="Flowchart: Connector 486">
          <a:extLst>
            <a:ext uri="{FF2B5EF4-FFF2-40B4-BE49-F238E27FC236}">
              <a16:creationId xmlns:a16="http://schemas.microsoft.com/office/drawing/2014/main" id="{30775051-B538-4B34-A059-3222FB7CD495}"/>
            </a:ext>
          </a:extLst>
        </xdr:cNvPr>
        <xdr:cNvSpPr/>
      </xdr:nvSpPr>
      <xdr:spPr>
        <a:xfrm>
          <a:off x="3997377" y="7295212"/>
          <a:ext cx="474689" cy="424721"/>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11</a:t>
          </a:r>
        </a:p>
      </xdr:txBody>
    </xdr:sp>
    <xdr:clientData/>
  </xdr:twoCellAnchor>
  <xdr:twoCellAnchor>
    <xdr:from>
      <xdr:col>3</xdr:col>
      <xdr:colOff>124918</xdr:colOff>
      <xdr:row>9</xdr:row>
      <xdr:rowOff>162392</xdr:rowOff>
    </xdr:from>
    <xdr:to>
      <xdr:col>3</xdr:col>
      <xdr:colOff>612098</xdr:colOff>
      <xdr:row>12</xdr:row>
      <xdr:rowOff>62458</xdr:rowOff>
    </xdr:to>
    <xdr:sp macro="" textlink="">
      <xdr:nvSpPr>
        <xdr:cNvPr id="491" name="Flowchart: Connector 490">
          <a:extLst>
            <a:ext uri="{FF2B5EF4-FFF2-40B4-BE49-F238E27FC236}">
              <a16:creationId xmlns:a16="http://schemas.microsoft.com/office/drawing/2014/main" id="{B14DF594-1776-42BD-9271-286B243CA18C}"/>
            </a:ext>
          </a:extLst>
        </xdr:cNvPr>
        <xdr:cNvSpPr/>
      </xdr:nvSpPr>
      <xdr:spPr>
        <a:xfrm>
          <a:off x="1961213" y="1586458"/>
          <a:ext cx="487180" cy="462197"/>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15</a:t>
          </a:r>
        </a:p>
      </xdr:txBody>
    </xdr:sp>
    <xdr:clientData/>
  </xdr:twoCellAnchor>
  <xdr:twoCellAnchor>
    <xdr:from>
      <xdr:col>3</xdr:col>
      <xdr:colOff>162394</xdr:colOff>
      <xdr:row>15</xdr:row>
      <xdr:rowOff>112427</xdr:rowOff>
    </xdr:from>
    <xdr:to>
      <xdr:col>3</xdr:col>
      <xdr:colOff>624590</xdr:colOff>
      <xdr:row>18</xdr:row>
      <xdr:rowOff>12492</xdr:rowOff>
    </xdr:to>
    <xdr:sp macro="" textlink="">
      <xdr:nvSpPr>
        <xdr:cNvPr id="492" name="Flowchart: Connector 491">
          <a:extLst>
            <a:ext uri="{FF2B5EF4-FFF2-40B4-BE49-F238E27FC236}">
              <a16:creationId xmlns:a16="http://schemas.microsoft.com/office/drawing/2014/main" id="{1FB75AE9-B285-4F43-891C-397499D657AF}"/>
            </a:ext>
          </a:extLst>
        </xdr:cNvPr>
        <xdr:cNvSpPr/>
      </xdr:nvSpPr>
      <xdr:spPr>
        <a:xfrm>
          <a:off x="1998689" y="2660755"/>
          <a:ext cx="462196" cy="462196"/>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16</a:t>
          </a:r>
        </a:p>
      </xdr:txBody>
    </xdr:sp>
    <xdr:clientData/>
  </xdr:twoCellAnchor>
  <xdr:twoCellAnchor>
    <xdr:from>
      <xdr:col>10</xdr:col>
      <xdr:colOff>358039</xdr:colOff>
      <xdr:row>27</xdr:row>
      <xdr:rowOff>130439</xdr:rowOff>
    </xdr:from>
    <xdr:to>
      <xdr:col>11</xdr:col>
      <xdr:colOff>49967</xdr:colOff>
      <xdr:row>29</xdr:row>
      <xdr:rowOff>87444</xdr:rowOff>
    </xdr:to>
    <xdr:sp macro="" textlink="">
      <xdr:nvSpPr>
        <xdr:cNvPr id="493" name="Rectangle 492">
          <a:extLst>
            <a:ext uri="{FF2B5EF4-FFF2-40B4-BE49-F238E27FC236}">
              <a16:creationId xmlns:a16="http://schemas.microsoft.com/office/drawing/2014/main" id="{2FCCF7A4-25B1-4606-8A34-1847A7B1B7F6}"/>
            </a:ext>
          </a:extLst>
        </xdr:cNvPr>
        <xdr:cNvSpPr/>
      </xdr:nvSpPr>
      <xdr:spPr>
        <a:xfrm>
          <a:off x="7253514" y="4927291"/>
          <a:ext cx="304027" cy="331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a:t>
          </a:r>
        </a:p>
      </xdr:txBody>
    </xdr:sp>
    <xdr:clientData/>
  </xdr:twoCellAnchor>
  <xdr:twoCellAnchor>
    <xdr:from>
      <xdr:col>10</xdr:col>
      <xdr:colOff>410505</xdr:colOff>
      <xdr:row>46</xdr:row>
      <xdr:rowOff>20511</xdr:rowOff>
    </xdr:from>
    <xdr:to>
      <xdr:col>11</xdr:col>
      <xdr:colOff>102433</xdr:colOff>
      <xdr:row>47</xdr:row>
      <xdr:rowOff>164894</xdr:rowOff>
    </xdr:to>
    <xdr:sp macro="" textlink="">
      <xdr:nvSpPr>
        <xdr:cNvPr id="495" name="Rectangle 494">
          <a:extLst>
            <a:ext uri="{FF2B5EF4-FFF2-40B4-BE49-F238E27FC236}">
              <a16:creationId xmlns:a16="http://schemas.microsoft.com/office/drawing/2014/main" id="{B6BA6993-6135-4E54-8E22-0DC3B13A5E57}"/>
            </a:ext>
          </a:extLst>
        </xdr:cNvPr>
        <xdr:cNvSpPr/>
      </xdr:nvSpPr>
      <xdr:spPr>
        <a:xfrm>
          <a:off x="7305980" y="8377527"/>
          <a:ext cx="304027" cy="331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2</a:t>
          </a:r>
        </a:p>
      </xdr:txBody>
    </xdr:sp>
    <xdr:clientData/>
  </xdr:twoCellAnchor>
  <xdr:twoCellAnchor>
    <xdr:from>
      <xdr:col>10</xdr:col>
      <xdr:colOff>387246</xdr:colOff>
      <xdr:row>61</xdr:row>
      <xdr:rowOff>87442</xdr:rowOff>
    </xdr:from>
    <xdr:to>
      <xdr:col>11</xdr:col>
      <xdr:colOff>79174</xdr:colOff>
      <xdr:row>63</xdr:row>
      <xdr:rowOff>44448</xdr:rowOff>
    </xdr:to>
    <xdr:sp macro="" textlink="">
      <xdr:nvSpPr>
        <xdr:cNvPr id="496" name="Rectangle 495">
          <a:extLst>
            <a:ext uri="{FF2B5EF4-FFF2-40B4-BE49-F238E27FC236}">
              <a16:creationId xmlns:a16="http://schemas.microsoft.com/office/drawing/2014/main" id="{09EDDA68-40B1-47E8-B600-284ED8AE978B}"/>
            </a:ext>
          </a:extLst>
        </xdr:cNvPr>
        <xdr:cNvSpPr/>
      </xdr:nvSpPr>
      <xdr:spPr>
        <a:xfrm>
          <a:off x="7282721" y="11479967"/>
          <a:ext cx="304027" cy="331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6</a:t>
          </a:r>
        </a:p>
      </xdr:txBody>
    </xdr:sp>
    <xdr:clientData/>
  </xdr:twoCellAnchor>
  <xdr:twoCellAnchor>
    <xdr:from>
      <xdr:col>5</xdr:col>
      <xdr:colOff>215953</xdr:colOff>
      <xdr:row>48</xdr:row>
      <xdr:rowOff>99935</xdr:rowOff>
    </xdr:from>
    <xdr:to>
      <xdr:col>6</xdr:col>
      <xdr:colOff>495841</xdr:colOff>
      <xdr:row>52</xdr:row>
      <xdr:rowOff>17033</xdr:rowOff>
    </xdr:to>
    <xdr:sp macro="" textlink="">
      <xdr:nvSpPr>
        <xdr:cNvPr id="500" name="Flowchart: Connector 499">
          <a:extLst>
            <a:ext uri="{FF2B5EF4-FFF2-40B4-BE49-F238E27FC236}">
              <a16:creationId xmlns:a16="http://schemas.microsoft.com/office/drawing/2014/main" id="{54277C82-EB18-4B4B-8CFA-E08DE0BEE67A}"/>
            </a:ext>
          </a:extLst>
        </xdr:cNvPr>
        <xdr:cNvSpPr/>
      </xdr:nvSpPr>
      <xdr:spPr>
        <a:xfrm>
          <a:off x="3438838" y="8831705"/>
          <a:ext cx="891987" cy="891459"/>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Pudse</a:t>
          </a:r>
        </a:p>
      </xdr:txBody>
    </xdr:sp>
    <xdr:clientData/>
  </xdr:twoCellAnchor>
  <xdr:twoCellAnchor>
    <xdr:from>
      <xdr:col>5</xdr:col>
      <xdr:colOff>227160</xdr:colOff>
      <xdr:row>53</xdr:row>
      <xdr:rowOff>155921</xdr:rowOff>
    </xdr:from>
    <xdr:to>
      <xdr:col>6</xdr:col>
      <xdr:colOff>497222</xdr:colOff>
      <xdr:row>58</xdr:row>
      <xdr:rowOff>114848</xdr:rowOff>
    </xdr:to>
    <xdr:sp macro="" textlink="">
      <xdr:nvSpPr>
        <xdr:cNvPr id="501" name="Flowchart: Connector 500">
          <a:extLst>
            <a:ext uri="{FF2B5EF4-FFF2-40B4-BE49-F238E27FC236}">
              <a16:creationId xmlns:a16="http://schemas.microsoft.com/office/drawing/2014/main" id="{E34FDD25-CE90-42E7-A1E4-46D19FFDC8D9}"/>
            </a:ext>
          </a:extLst>
        </xdr:cNvPr>
        <xdr:cNvSpPr/>
      </xdr:nvSpPr>
      <xdr:spPr>
        <a:xfrm>
          <a:off x="3450045" y="10049429"/>
          <a:ext cx="882161" cy="895812"/>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Male</a:t>
          </a:r>
        </a:p>
      </xdr:txBody>
    </xdr:sp>
    <xdr:clientData/>
  </xdr:twoCellAnchor>
  <xdr:twoCellAnchor>
    <xdr:from>
      <xdr:col>5</xdr:col>
      <xdr:colOff>219832</xdr:colOff>
      <xdr:row>60</xdr:row>
      <xdr:rowOff>98641</xdr:rowOff>
    </xdr:from>
    <xdr:to>
      <xdr:col>6</xdr:col>
      <xdr:colOff>499720</xdr:colOff>
      <xdr:row>65</xdr:row>
      <xdr:rowOff>53216</xdr:rowOff>
    </xdr:to>
    <xdr:sp macro="" textlink="">
      <xdr:nvSpPr>
        <xdr:cNvPr id="502" name="Flowchart: Connector 501">
          <a:extLst>
            <a:ext uri="{FF2B5EF4-FFF2-40B4-BE49-F238E27FC236}">
              <a16:creationId xmlns:a16="http://schemas.microsoft.com/office/drawing/2014/main" id="{060A4C14-3682-4BB3-B3F9-84D076C65381}"/>
            </a:ext>
          </a:extLst>
        </xdr:cNvPr>
        <xdr:cNvSpPr/>
      </xdr:nvSpPr>
      <xdr:spPr>
        <a:xfrm>
          <a:off x="3442717" y="11303789"/>
          <a:ext cx="891987" cy="89146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Tørre</a:t>
          </a:r>
        </a:p>
      </xdr:txBody>
    </xdr:sp>
    <xdr:clientData/>
  </xdr:twoCellAnchor>
  <xdr:twoCellAnchor>
    <xdr:from>
      <xdr:col>5</xdr:col>
      <xdr:colOff>112427</xdr:colOff>
      <xdr:row>66</xdr:row>
      <xdr:rowOff>165964</xdr:rowOff>
    </xdr:from>
    <xdr:to>
      <xdr:col>7</xdr:col>
      <xdr:colOff>14680</xdr:colOff>
      <xdr:row>69</xdr:row>
      <xdr:rowOff>100237</xdr:rowOff>
    </xdr:to>
    <xdr:sp macro="" textlink="">
      <xdr:nvSpPr>
        <xdr:cNvPr id="503" name="Rectangle 502">
          <a:extLst>
            <a:ext uri="{FF2B5EF4-FFF2-40B4-BE49-F238E27FC236}">
              <a16:creationId xmlns:a16="http://schemas.microsoft.com/office/drawing/2014/main" id="{C5E5C667-7BD8-4934-8C5D-2342B8EE00EA}"/>
            </a:ext>
          </a:extLst>
        </xdr:cNvPr>
        <xdr:cNvSpPr/>
      </xdr:nvSpPr>
      <xdr:spPr>
        <a:xfrm>
          <a:off x="3335312" y="12495374"/>
          <a:ext cx="1126450" cy="6088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kontrol</a:t>
          </a:r>
        </a:p>
      </xdr:txBody>
    </xdr:sp>
    <xdr:clientData/>
  </xdr:twoCellAnchor>
  <xdr:twoCellAnchor>
    <xdr:from>
      <xdr:col>6</xdr:col>
      <xdr:colOff>162698</xdr:colOff>
      <xdr:row>50</xdr:row>
      <xdr:rowOff>115215</xdr:rowOff>
    </xdr:from>
    <xdr:to>
      <xdr:col>7</xdr:col>
      <xdr:colOff>49967</xdr:colOff>
      <xdr:row>53</xdr:row>
      <xdr:rowOff>12492</xdr:rowOff>
    </xdr:to>
    <xdr:sp macro="" textlink="">
      <xdr:nvSpPr>
        <xdr:cNvPr id="504" name="Flowchart: Connector 503">
          <a:extLst>
            <a:ext uri="{FF2B5EF4-FFF2-40B4-BE49-F238E27FC236}">
              <a16:creationId xmlns:a16="http://schemas.microsoft.com/office/drawing/2014/main" id="{421D7120-AFF3-4D1F-8465-9E6D537C9275}"/>
            </a:ext>
          </a:extLst>
        </xdr:cNvPr>
        <xdr:cNvSpPr/>
      </xdr:nvSpPr>
      <xdr:spPr>
        <a:xfrm>
          <a:off x="3997682" y="9446592"/>
          <a:ext cx="499367" cy="459408"/>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12</a:t>
          </a:r>
        </a:p>
      </xdr:txBody>
    </xdr:sp>
    <xdr:clientData/>
  </xdr:twoCellAnchor>
  <xdr:twoCellAnchor>
    <xdr:from>
      <xdr:col>6</xdr:col>
      <xdr:colOff>187681</xdr:colOff>
      <xdr:row>57</xdr:row>
      <xdr:rowOff>52755</xdr:rowOff>
    </xdr:from>
    <xdr:to>
      <xdr:col>7</xdr:col>
      <xdr:colOff>49967</xdr:colOff>
      <xdr:row>59</xdr:row>
      <xdr:rowOff>137410</xdr:rowOff>
    </xdr:to>
    <xdr:sp macro="" textlink="">
      <xdr:nvSpPr>
        <xdr:cNvPr id="505" name="Flowchart: Connector 504">
          <a:extLst>
            <a:ext uri="{FF2B5EF4-FFF2-40B4-BE49-F238E27FC236}">
              <a16:creationId xmlns:a16="http://schemas.microsoft.com/office/drawing/2014/main" id="{8D4F5928-B258-499C-84DE-C357C8D7F2A6}"/>
            </a:ext>
          </a:extLst>
        </xdr:cNvPr>
        <xdr:cNvSpPr/>
      </xdr:nvSpPr>
      <xdr:spPr>
        <a:xfrm>
          <a:off x="4022665" y="10695771"/>
          <a:ext cx="474384" cy="459409"/>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13</a:t>
          </a:r>
        </a:p>
      </xdr:txBody>
    </xdr:sp>
    <xdr:clientData/>
  </xdr:twoCellAnchor>
  <xdr:twoCellAnchor>
    <xdr:from>
      <xdr:col>6</xdr:col>
      <xdr:colOff>162698</xdr:colOff>
      <xdr:row>63</xdr:row>
      <xdr:rowOff>165182</xdr:rowOff>
    </xdr:from>
    <xdr:to>
      <xdr:col>7</xdr:col>
      <xdr:colOff>12492</xdr:colOff>
      <xdr:row>66</xdr:row>
      <xdr:rowOff>62459</xdr:rowOff>
    </xdr:to>
    <xdr:sp macro="" textlink="">
      <xdr:nvSpPr>
        <xdr:cNvPr id="506" name="Flowchart: Connector 505">
          <a:extLst>
            <a:ext uri="{FF2B5EF4-FFF2-40B4-BE49-F238E27FC236}">
              <a16:creationId xmlns:a16="http://schemas.microsoft.com/office/drawing/2014/main" id="{8C376B7D-E51B-4D36-9637-7DDE52A1676D}"/>
            </a:ext>
          </a:extLst>
        </xdr:cNvPr>
        <xdr:cNvSpPr/>
      </xdr:nvSpPr>
      <xdr:spPr>
        <a:xfrm>
          <a:off x="3997682" y="11932461"/>
          <a:ext cx="461892" cy="459408"/>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14</a:t>
          </a:r>
        </a:p>
      </xdr:txBody>
    </xdr:sp>
    <xdr:clientData/>
  </xdr:twoCellAnchor>
  <xdr:twoCellAnchor>
    <xdr:from>
      <xdr:col>6</xdr:col>
      <xdr:colOff>437517</xdr:colOff>
      <xdr:row>68</xdr:row>
      <xdr:rowOff>202658</xdr:rowOff>
    </xdr:from>
    <xdr:to>
      <xdr:col>7</xdr:col>
      <xdr:colOff>129446</xdr:colOff>
      <xdr:row>69</xdr:row>
      <xdr:rowOff>234615</xdr:rowOff>
    </xdr:to>
    <xdr:sp macro="" textlink="">
      <xdr:nvSpPr>
        <xdr:cNvPr id="507" name="Rectangle 506">
          <a:extLst>
            <a:ext uri="{FF2B5EF4-FFF2-40B4-BE49-F238E27FC236}">
              <a16:creationId xmlns:a16="http://schemas.microsoft.com/office/drawing/2014/main" id="{36222B6F-C834-404A-B8F2-FDEB42081345}"/>
            </a:ext>
          </a:extLst>
        </xdr:cNvPr>
        <xdr:cNvSpPr/>
      </xdr:nvSpPr>
      <xdr:spPr>
        <a:xfrm>
          <a:off x="4272501" y="12906822"/>
          <a:ext cx="304027" cy="331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4</a:t>
          </a:r>
        </a:p>
      </xdr:txBody>
    </xdr:sp>
    <xdr:clientData/>
  </xdr:twoCellAnchor>
  <xdr:twoCellAnchor>
    <xdr:from>
      <xdr:col>5</xdr:col>
      <xdr:colOff>99934</xdr:colOff>
      <xdr:row>43</xdr:row>
      <xdr:rowOff>162394</xdr:rowOff>
    </xdr:from>
    <xdr:to>
      <xdr:col>7</xdr:col>
      <xdr:colOff>2187</xdr:colOff>
      <xdr:row>47</xdr:row>
      <xdr:rowOff>25594</xdr:rowOff>
    </xdr:to>
    <xdr:sp macro="" textlink="">
      <xdr:nvSpPr>
        <xdr:cNvPr id="510" name="Rectangle 509">
          <a:extLst>
            <a:ext uri="{FF2B5EF4-FFF2-40B4-BE49-F238E27FC236}">
              <a16:creationId xmlns:a16="http://schemas.microsoft.com/office/drawing/2014/main" id="{24D9C0F8-70FE-4762-AFF1-5C43458ABD12}"/>
            </a:ext>
          </a:extLst>
        </xdr:cNvPr>
        <xdr:cNvSpPr/>
      </xdr:nvSpPr>
      <xdr:spPr>
        <a:xfrm>
          <a:off x="3322819" y="7957279"/>
          <a:ext cx="1126450" cy="6127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kontrol</a:t>
          </a:r>
        </a:p>
      </xdr:txBody>
    </xdr:sp>
    <xdr:clientData/>
  </xdr:twoCellAnchor>
  <xdr:twoCellAnchor>
    <xdr:from>
      <xdr:col>6</xdr:col>
      <xdr:colOff>434323</xdr:colOff>
      <xdr:row>46</xdr:row>
      <xdr:rowOff>12403</xdr:rowOff>
    </xdr:from>
    <xdr:to>
      <xdr:col>7</xdr:col>
      <xdr:colOff>126251</xdr:colOff>
      <xdr:row>47</xdr:row>
      <xdr:rowOff>156786</xdr:rowOff>
    </xdr:to>
    <xdr:sp macro="" textlink="">
      <xdr:nvSpPr>
        <xdr:cNvPr id="511" name="Rectangle 510">
          <a:extLst>
            <a:ext uri="{FF2B5EF4-FFF2-40B4-BE49-F238E27FC236}">
              <a16:creationId xmlns:a16="http://schemas.microsoft.com/office/drawing/2014/main" id="{41B53AFC-D259-47A4-8D3B-844D34CEC4F9}"/>
            </a:ext>
          </a:extLst>
        </xdr:cNvPr>
        <xdr:cNvSpPr/>
      </xdr:nvSpPr>
      <xdr:spPr>
        <a:xfrm>
          <a:off x="4269307" y="8369419"/>
          <a:ext cx="304026" cy="331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3</a:t>
          </a:r>
        </a:p>
      </xdr:txBody>
    </xdr:sp>
    <xdr:clientData/>
  </xdr:twoCellAnchor>
  <xdr:twoCellAnchor>
    <xdr:from>
      <xdr:col>9</xdr:col>
      <xdr:colOff>37475</xdr:colOff>
      <xdr:row>73</xdr:row>
      <xdr:rowOff>174885</xdr:rowOff>
    </xdr:from>
    <xdr:to>
      <xdr:col>9</xdr:col>
      <xdr:colOff>548721</xdr:colOff>
      <xdr:row>73</xdr:row>
      <xdr:rowOff>174885</xdr:rowOff>
    </xdr:to>
    <xdr:cxnSp macro="">
      <xdr:nvCxnSpPr>
        <xdr:cNvPr id="523" name="Straight Arrow Connector 522">
          <a:extLst>
            <a:ext uri="{FF2B5EF4-FFF2-40B4-BE49-F238E27FC236}">
              <a16:creationId xmlns:a16="http://schemas.microsoft.com/office/drawing/2014/main" id="{BC61FCE1-EA2E-46CF-B27E-481E4DB0B9AF}"/>
            </a:ext>
          </a:extLst>
        </xdr:cNvPr>
        <xdr:cNvCxnSpPr/>
      </xdr:nvCxnSpPr>
      <xdr:spPr>
        <a:xfrm>
          <a:off x="5708754" y="14153213"/>
          <a:ext cx="51124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39973</xdr:colOff>
      <xdr:row>74</xdr:row>
      <xdr:rowOff>214859</xdr:rowOff>
    </xdr:from>
    <xdr:to>
      <xdr:col>9</xdr:col>
      <xdr:colOff>551219</xdr:colOff>
      <xdr:row>74</xdr:row>
      <xdr:rowOff>214859</xdr:rowOff>
    </xdr:to>
    <xdr:cxnSp macro="">
      <xdr:nvCxnSpPr>
        <xdr:cNvPr id="524" name="Straight Arrow Connector 523">
          <a:extLst>
            <a:ext uri="{FF2B5EF4-FFF2-40B4-BE49-F238E27FC236}">
              <a16:creationId xmlns:a16="http://schemas.microsoft.com/office/drawing/2014/main" id="{07FF4FDC-2500-4166-9E08-515137C1B068}"/>
            </a:ext>
          </a:extLst>
        </xdr:cNvPr>
        <xdr:cNvCxnSpPr/>
      </xdr:nvCxnSpPr>
      <xdr:spPr>
        <a:xfrm>
          <a:off x="5711252" y="14492990"/>
          <a:ext cx="51124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24984</xdr:colOff>
      <xdr:row>75</xdr:row>
      <xdr:rowOff>212360</xdr:rowOff>
    </xdr:from>
    <xdr:to>
      <xdr:col>9</xdr:col>
      <xdr:colOff>536230</xdr:colOff>
      <xdr:row>75</xdr:row>
      <xdr:rowOff>212360</xdr:rowOff>
    </xdr:to>
    <xdr:cxnSp macro="">
      <xdr:nvCxnSpPr>
        <xdr:cNvPr id="525" name="Straight Arrow Connector 524">
          <a:extLst>
            <a:ext uri="{FF2B5EF4-FFF2-40B4-BE49-F238E27FC236}">
              <a16:creationId xmlns:a16="http://schemas.microsoft.com/office/drawing/2014/main" id="{07C4DE67-BF01-4045-8FD9-6FEF9C925A18}"/>
            </a:ext>
          </a:extLst>
        </xdr:cNvPr>
        <xdr:cNvCxnSpPr/>
      </xdr:nvCxnSpPr>
      <xdr:spPr>
        <a:xfrm>
          <a:off x="5696263" y="14790294"/>
          <a:ext cx="51124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118072</xdr:colOff>
      <xdr:row>76</xdr:row>
      <xdr:rowOff>0</xdr:rowOff>
    </xdr:from>
    <xdr:to>
      <xdr:col>10</xdr:col>
      <xdr:colOff>492520</xdr:colOff>
      <xdr:row>81</xdr:row>
      <xdr:rowOff>70458</xdr:rowOff>
    </xdr:to>
    <xdr:sp macro="" textlink="">
      <xdr:nvSpPr>
        <xdr:cNvPr id="526" name="Flowchart: Connector 525">
          <a:extLst>
            <a:ext uri="{FF2B5EF4-FFF2-40B4-BE49-F238E27FC236}">
              <a16:creationId xmlns:a16="http://schemas.microsoft.com/office/drawing/2014/main" id="{4CFE9A22-4772-451C-A226-20E021AA8A15}"/>
            </a:ext>
          </a:extLst>
        </xdr:cNvPr>
        <xdr:cNvSpPr/>
      </xdr:nvSpPr>
      <xdr:spPr>
        <a:xfrm>
          <a:off x="5789351" y="14877738"/>
          <a:ext cx="986546" cy="1007343"/>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Montere</a:t>
          </a:r>
        </a:p>
      </xdr:txBody>
    </xdr:sp>
    <xdr:clientData/>
  </xdr:twoCellAnchor>
  <xdr:twoCellAnchor>
    <xdr:from>
      <xdr:col>9</xdr:col>
      <xdr:colOff>87442</xdr:colOff>
      <xdr:row>82</xdr:row>
      <xdr:rowOff>105120</xdr:rowOff>
    </xdr:from>
    <xdr:to>
      <xdr:col>10</xdr:col>
      <xdr:colOff>601793</xdr:colOff>
      <xdr:row>85</xdr:row>
      <xdr:rowOff>147612</xdr:rowOff>
    </xdr:to>
    <xdr:sp macro="" textlink="">
      <xdr:nvSpPr>
        <xdr:cNvPr id="527" name="Rectangle 526">
          <a:extLst>
            <a:ext uri="{FF2B5EF4-FFF2-40B4-BE49-F238E27FC236}">
              <a16:creationId xmlns:a16="http://schemas.microsoft.com/office/drawing/2014/main" id="{6B5DBF13-CC3A-4BB4-8351-DE8F9D7E37A9}"/>
            </a:ext>
          </a:extLst>
        </xdr:cNvPr>
        <xdr:cNvSpPr/>
      </xdr:nvSpPr>
      <xdr:spPr>
        <a:xfrm>
          <a:off x="5758721" y="16107120"/>
          <a:ext cx="1126449" cy="6046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kontrol</a:t>
          </a:r>
        </a:p>
      </xdr:txBody>
    </xdr:sp>
    <xdr:clientData/>
  </xdr:twoCellAnchor>
  <xdr:twoCellAnchor>
    <xdr:from>
      <xdr:col>10</xdr:col>
      <xdr:colOff>134004</xdr:colOff>
      <xdr:row>79</xdr:row>
      <xdr:rowOff>139593</xdr:rowOff>
    </xdr:from>
    <xdr:to>
      <xdr:col>11</xdr:col>
      <xdr:colOff>0</xdr:colOff>
      <xdr:row>82</xdr:row>
      <xdr:rowOff>12491</xdr:rowOff>
    </xdr:to>
    <xdr:sp macro="" textlink="">
      <xdr:nvSpPr>
        <xdr:cNvPr id="528" name="Flowchart: Connector 527">
          <a:extLst>
            <a:ext uri="{FF2B5EF4-FFF2-40B4-BE49-F238E27FC236}">
              <a16:creationId xmlns:a16="http://schemas.microsoft.com/office/drawing/2014/main" id="{1F109239-78E7-4832-A78D-3FF9A58744E5}"/>
            </a:ext>
          </a:extLst>
        </xdr:cNvPr>
        <xdr:cNvSpPr/>
      </xdr:nvSpPr>
      <xdr:spPr>
        <a:xfrm>
          <a:off x="6417381" y="15579462"/>
          <a:ext cx="478094" cy="435029"/>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18</a:t>
          </a:r>
        </a:p>
      </xdr:txBody>
    </xdr:sp>
    <xdr:clientData/>
  </xdr:twoCellAnchor>
  <xdr:twoCellAnchor>
    <xdr:from>
      <xdr:col>10</xdr:col>
      <xdr:colOff>408825</xdr:colOff>
      <xdr:row>84</xdr:row>
      <xdr:rowOff>177069</xdr:rowOff>
    </xdr:from>
    <xdr:to>
      <xdr:col>11</xdr:col>
      <xdr:colOff>100753</xdr:colOff>
      <xdr:row>86</xdr:row>
      <xdr:rowOff>134075</xdr:rowOff>
    </xdr:to>
    <xdr:sp macro="" textlink="">
      <xdr:nvSpPr>
        <xdr:cNvPr id="529" name="Rectangle 528">
          <a:extLst>
            <a:ext uri="{FF2B5EF4-FFF2-40B4-BE49-F238E27FC236}">
              <a16:creationId xmlns:a16="http://schemas.microsoft.com/office/drawing/2014/main" id="{852B40E5-BDFA-40AB-910B-C58B6FCC6D79}"/>
            </a:ext>
          </a:extLst>
        </xdr:cNvPr>
        <xdr:cNvSpPr/>
      </xdr:nvSpPr>
      <xdr:spPr>
        <a:xfrm>
          <a:off x="6692202" y="16553823"/>
          <a:ext cx="304026" cy="331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7</a:t>
          </a:r>
        </a:p>
      </xdr:txBody>
    </xdr:sp>
    <xdr:clientData/>
  </xdr:twoCellAnchor>
  <xdr:twoCellAnchor>
    <xdr:from>
      <xdr:col>2</xdr:col>
      <xdr:colOff>49967</xdr:colOff>
      <xdr:row>19</xdr:row>
      <xdr:rowOff>12492</xdr:rowOff>
    </xdr:from>
    <xdr:to>
      <xdr:col>3</xdr:col>
      <xdr:colOff>564317</xdr:colOff>
      <xdr:row>22</xdr:row>
      <xdr:rowOff>54986</xdr:rowOff>
    </xdr:to>
    <xdr:sp macro="" textlink="">
      <xdr:nvSpPr>
        <xdr:cNvPr id="530" name="Rectangle 529">
          <a:extLst>
            <a:ext uri="{FF2B5EF4-FFF2-40B4-BE49-F238E27FC236}">
              <a16:creationId xmlns:a16="http://schemas.microsoft.com/office/drawing/2014/main" id="{E0F5BE89-746A-4495-8324-411E3874F842}"/>
            </a:ext>
          </a:extLst>
        </xdr:cNvPr>
        <xdr:cNvSpPr/>
      </xdr:nvSpPr>
      <xdr:spPr>
        <a:xfrm>
          <a:off x="1274164" y="3310328"/>
          <a:ext cx="1126448" cy="604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kontrol</a:t>
          </a:r>
        </a:p>
      </xdr:txBody>
    </xdr:sp>
    <xdr:clientData/>
  </xdr:twoCellAnchor>
  <xdr:twoCellAnchor>
    <xdr:from>
      <xdr:col>3</xdr:col>
      <xdr:colOff>368341</xdr:colOff>
      <xdr:row>21</xdr:row>
      <xdr:rowOff>33079</xdr:rowOff>
    </xdr:from>
    <xdr:to>
      <xdr:col>3</xdr:col>
      <xdr:colOff>672368</xdr:colOff>
      <xdr:row>22</xdr:row>
      <xdr:rowOff>177462</xdr:rowOff>
    </xdr:to>
    <xdr:sp macro="" textlink="">
      <xdr:nvSpPr>
        <xdr:cNvPr id="531" name="Rectangle 530">
          <a:extLst>
            <a:ext uri="{FF2B5EF4-FFF2-40B4-BE49-F238E27FC236}">
              <a16:creationId xmlns:a16="http://schemas.microsoft.com/office/drawing/2014/main" id="{8B0BFD30-5B37-4CFE-87DA-3C8770FF8A7C}"/>
            </a:ext>
          </a:extLst>
        </xdr:cNvPr>
        <xdr:cNvSpPr/>
      </xdr:nvSpPr>
      <xdr:spPr>
        <a:xfrm>
          <a:off x="2204636" y="3705669"/>
          <a:ext cx="304027" cy="331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100"/>
            <a:t>5</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417715</xdr:colOff>
      <xdr:row>28</xdr:row>
      <xdr:rowOff>27393</xdr:rowOff>
    </xdr:from>
    <xdr:ext cx="24708436" cy="7757781"/>
    <xdr:pic>
      <xdr:nvPicPr>
        <xdr:cNvPr id="2321" name="Picture 217">
          <a:extLst>
            <a:ext uri="{FF2B5EF4-FFF2-40B4-BE49-F238E27FC236}">
              <a16:creationId xmlns:a16="http://schemas.microsoft.com/office/drawing/2014/main" id="{AE537C40-F9D1-FB30-6065-96AAF3F85223}"/>
            </a:ext>
          </a:extLst>
        </xdr:cNvPr>
        <xdr:cNvPicPr>
          <a:picLocks noChangeAspect="1"/>
        </xdr:cNvPicPr>
      </xdr:nvPicPr>
      <xdr:blipFill>
        <a:blip xmlns:r="http://schemas.openxmlformats.org/officeDocument/2006/relationships" r:embed="rId1"/>
        <a:stretch>
          <a:fillRect/>
        </a:stretch>
      </xdr:blipFill>
      <xdr:spPr>
        <a:xfrm>
          <a:off x="417715" y="5361393"/>
          <a:ext cx="24708436" cy="7757781"/>
        </a:xfrm>
        <a:prstGeom prst="rect">
          <a:avLst/>
        </a:prstGeom>
      </xdr:spPr>
    </xdr:pic>
    <xdr:clientData/>
  </xdr:oneCellAnchor>
  <xdr:twoCellAnchor editAs="oneCell">
    <xdr:from>
      <xdr:col>12</xdr:col>
      <xdr:colOff>3742</xdr:colOff>
      <xdr:row>0</xdr:row>
      <xdr:rowOff>140094</xdr:rowOff>
    </xdr:from>
    <xdr:to>
      <xdr:col>23</xdr:col>
      <xdr:colOff>199114</xdr:colOff>
      <xdr:row>23</xdr:row>
      <xdr:rowOff>12700</xdr:rowOff>
    </xdr:to>
    <xdr:pic>
      <xdr:nvPicPr>
        <xdr:cNvPr id="2291" name="Picture 2">
          <a:extLst>
            <a:ext uri="{FF2B5EF4-FFF2-40B4-BE49-F238E27FC236}">
              <a16:creationId xmlns:a16="http://schemas.microsoft.com/office/drawing/2014/main" id="{DA371650-991C-B967-5D43-73DE2A6A7C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8942" y="140094"/>
          <a:ext cx="6900972" cy="4184256"/>
        </a:xfrm>
        <a:prstGeom prst="rect">
          <a:avLst/>
        </a:prstGeom>
      </xdr:spPr>
    </xdr:pic>
    <xdr:clientData/>
  </xdr:twoCellAnchor>
  <xdr:twoCellAnchor editAs="oneCell">
    <xdr:from>
      <xdr:col>8</xdr:col>
      <xdr:colOff>449394</xdr:colOff>
      <xdr:row>69</xdr:row>
      <xdr:rowOff>99165</xdr:rowOff>
    </xdr:from>
    <xdr:to>
      <xdr:col>10</xdr:col>
      <xdr:colOff>528360</xdr:colOff>
      <xdr:row>76</xdr:row>
      <xdr:rowOff>75907</xdr:rowOff>
    </xdr:to>
    <xdr:pic>
      <xdr:nvPicPr>
        <xdr:cNvPr id="7" name="Graphic 6" descr="Arrow Right with solid fill">
          <a:extLst>
            <a:ext uri="{FF2B5EF4-FFF2-40B4-BE49-F238E27FC236}">
              <a16:creationId xmlns:a16="http://schemas.microsoft.com/office/drawing/2014/main" id="{35F4A4F1-A7B3-F572-AA95-ED35FD63350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6200000">
          <a:off x="5344649" y="13410267"/>
          <a:ext cx="1310242" cy="1303609"/>
        </a:xfrm>
        <a:prstGeom prst="rect">
          <a:avLst/>
        </a:prstGeom>
      </xdr:spPr>
    </xdr:pic>
    <xdr:clientData/>
  </xdr:twoCellAnchor>
  <xdr:twoCellAnchor editAs="oneCell">
    <xdr:from>
      <xdr:col>27</xdr:col>
      <xdr:colOff>268989</xdr:colOff>
      <xdr:row>41</xdr:row>
      <xdr:rowOff>108896</xdr:rowOff>
    </xdr:from>
    <xdr:to>
      <xdr:col>29</xdr:col>
      <xdr:colOff>335163</xdr:colOff>
      <xdr:row>48</xdr:row>
      <xdr:rowOff>85637</xdr:rowOff>
    </xdr:to>
    <xdr:pic>
      <xdr:nvPicPr>
        <xdr:cNvPr id="15" name="Graphic 14" descr="Arrow Right with solid fill">
          <a:extLst>
            <a:ext uri="{FF2B5EF4-FFF2-40B4-BE49-F238E27FC236}">
              <a16:creationId xmlns:a16="http://schemas.microsoft.com/office/drawing/2014/main" id="{5E3A4FD2-775A-4F17-B75F-BE2EC01EB5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21257142">
          <a:off x="16801668" y="8082682"/>
          <a:ext cx="1290816" cy="1310241"/>
        </a:xfrm>
        <a:prstGeom prst="rect">
          <a:avLst/>
        </a:prstGeom>
      </xdr:spPr>
    </xdr:pic>
    <xdr:clientData/>
  </xdr:twoCellAnchor>
  <xdr:twoCellAnchor editAs="oneCell">
    <xdr:from>
      <xdr:col>41</xdr:col>
      <xdr:colOff>554838</xdr:colOff>
      <xdr:row>43</xdr:row>
      <xdr:rowOff>121118</xdr:rowOff>
    </xdr:from>
    <xdr:to>
      <xdr:col>44</xdr:col>
      <xdr:colOff>10483</xdr:colOff>
      <xdr:row>50</xdr:row>
      <xdr:rowOff>94631</xdr:rowOff>
    </xdr:to>
    <xdr:pic>
      <xdr:nvPicPr>
        <xdr:cNvPr id="17" name="Graphic 16" descr="Arrow Right with solid fill">
          <a:extLst>
            <a:ext uri="{FF2B5EF4-FFF2-40B4-BE49-F238E27FC236}">
              <a16:creationId xmlns:a16="http://schemas.microsoft.com/office/drawing/2014/main" id="{68B1D197-BE79-4E9A-82BA-8F9CE1C683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660017" y="8475904"/>
          <a:ext cx="1292609" cy="1307013"/>
        </a:xfrm>
        <a:prstGeom prst="rect">
          <a:avLst/>
        </a:prstGeom>
      </xdr:spPr>
    </xdr:pic>
    <xdr:clientData/>
  </xdr:twoCellAnchor>
  <xdr:twoCellAnchor editAs="oneCell">
    <xdr:from>
      <xdr:col>14</xdr:col>
      <xdr:colOff>70202</xdr:colOff>
      <xdr:row>32</xdr:row>
      <xdr:rowOff>3491</xdr:rowOff>
    </xdr:from>
    <xdr:to>
      <xdr:col>16</xdr:col>
      <xdr:colOff>138171</xdr:colOff>
      <xdr:row>38</xdr:row>
      <xdr:rowOff>167503</xdr:rowOff>
    </xdr:to>
    <xdr:pic>
      <xdr:nvPicPr>
        <xdr:cNvPr id="18" name="Graphic 17" descr="Arrow Right with solid fill">
          <a:extLst>
            <a:ext uri="{FF2B5EF4-FFF2-40B4-BE49-F238E27FC236}">
              <a16:creationId xmlns:a16="http://schemas.microsoft.com/office/drawing/2014/main" id="{404FA534-C16F-472C-B313-C0ACE0B1F7E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0524797">
          <a:off x="8642702" y="6262777"/>
          <a:ext cx="1292612" cy="1307012"/>
        </a:xfrm>
        <a:prstGeom prst="rect">
          <a:avLst/>
        </a:prstGeom>
      </xdr:spPr>
    </xdr:pic>
    <xdr:clientData/>
  </xdr:twoCellAnchor>
  <xdr:twoCellAnchor editAs="oneCell">
    <xdr:from>
      <xdr:col>17</xdr:col>
      <xdr:colOff>160451</xdr:colOff>
      <xdr:row>32</xdr:row>
      <xdr:rowOff>154454</xdr:rowOff>
    </xdr:from>
    <xdr:to>
      <xdr:col>18</xdr:col>
      <xdr:colOff>481129</xdr:colOff>
      <xdr:row>37</xdr:row>
      <xdr:rowOff>147115</xdr:rowOff>
    </xdr:to>
    <xdr:pic>
      <xdr:nvPicPr>
        <xdr:cNvPr id="19" name="Graphic 18" descr="Arrow Right with solid fill">
          <a:extLst>
            <a:ext uri="{FF2B5EF4-FFF2-40B4-BE49-F238E27FC236}">
              <a16:creationId xmlns:a16="http://schemas.microsoft.com/office/drawing/2014/main" id="{F98A1305-64AD-478B-8D19-6C9204A05C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459693">
          <a:off x="10569915" y="6413740"/>
          <a:ext cx="933000" cy="945161"/>
        </a:xfrm>
        <a:prstGeom prst="rect">
          <a:avLst/>
        </a:prstGeom>
      </xdr:spPr>
    </xdr:pic>
    <xdr:clientData/>
  </xdr:twoCellAnchor>
  <xdr:twoCellAnchor editAs="oneCell">
    <xdr:from>
      <xdr:col>27</xdr:col>
      <xdr:colOff>145789</xdr:colOff>
      <xdr:row>30</xdr:row>
      <xdr:rowOff>107867</xdr:rowOff>
    </xdr:from>
    <xdr:to>
      <xdr:col>28</xdr:col>
      <xdr:colOff>439349</xdr:colOff>
      <xdr:row>35</xdr:row>
      <xdr:rowOff>74638</xdr:rowOff>
    </xdr:to>
    <xdr:pic>
      <xdr:nvPicPr>
        <xdr:cNvPr id="21" name="Graphic 20" descr="Arrow Right with solid fill">
          <a:extLst>
            <a:ext uri="{FF2B5EF4-FFF2-40B4-BE49-F238E27FC236}">
              <a16:creationId xmlns:a16="http://schemas.microsoft.com/office/drawing/2014/main" id="{5ADD3534-50F4-42BA-B5CD-7C4A6BAEB0D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604989" y="5937167"/>
          <a:ext cx="903160" cy="919271"/>
        </a:xfrm>
        <a:prstGeom prst="rect">
          <a:avLst/>
        </a:prstGeom>
      </xdr:spPr>
    </xdr:pic>
    <xdr:clientData/>
  </xdr:twoCellAnchor>
  <xdr:twoCellAnchor editAs="oneCell">
    <xdr:from>
      <xdr:col>33</xdr:col>
      <xdr:colOff>83617</xdr:colOff>
      <xdr:row>30</xdr:row>
      <xdr:rowOff>124887</xdr:rowOff>
    </xdr:from>
    <xdr:to>
      <xdr:col>34</xdr:col>
      <xdr:colOff>357946</xdr:colOff>
      <xdr:row>35</xdr:row>
      <xdr:rowOff>74846</xdr:rowOff>
    </xdr:to>
    <xdr:pic>
      <xdr:nvPicPr>
        <xdr:cNvPr id="22" name="Graphic 21" descr="Arrow Right with solid fill">
          <a:extLst>
            <a:ext uri="{FF2B5EF4-FFF2-40B4-BE49-F238E27FC236}">
              <a16:creationId xmlns:a16="http://schemas.microsoft.com/office/drawing/2014/main" id="{92BBFC0A-33C8-481D-A9B1-936F2E43FD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200417" y="5954187"/>
          <a:ext cx="883929" cy="902459"/>
        </a:xfrm>
        <a:prstGeom prst="rect">
          <a:avLst/>
        </a:prstGeom>
      </xdr:spPr>
    </xdr:pic>
    <xdr:clientData/>
  </xdr:twoCellAnchor>
  <xdr:twoCellAnchor editAs="oneCell">
    <xdr:from>
      <xdr:col>30</xdr:col>
      <xdr:colOff>141803</xdr:colOff>
      <xdr:row>30</xdr:row>
      <xdr:rowOff>121058</xdr:rowOff>
    </xdr:from>
    <xdr:to>
      <xdr:col>31</xdr:col>
      <xdr:colOff>409584</xdr:colOff>
      <xdr:row>35</xdr:row>
      <xdr:rowOff>50743</xdr:rowOff>
    </xdr:to>
    <xdr:pic>
      <xdr:nvPicPr>
        <xdr:cNvPr id="23" name="Graphic 22" descr="Arrow Right with solid fill">
          <a:extLst>
            <a:ext uri="{FF2B5EF4-FFF2-40B4-BE49-F238E27FC236}">
              <a16:creationId xmlns:a16="http://schemas.microsoft.com/office/drawing/2014/main" id="{4FD205DB-0986-4C29-9E73-D7C7FB3C0B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429803" y="5950358"/>
          <a:ext cx="877381" cy="882185"/>
        </a:xfrm>
        <a:prstGeom prst="rect">
          <a:avLst/>
        </a:prstGeom>
      </xdr:spPr>
    </xdr:pic>
    <xdr:clientData/>
  </xdr:twoCellAnchor>
  <xdr:twoCellAnchor editAs="oneCell">
    <xdr:from>
      <xdr:col>10</xdr:col>
      <xdr:colOff>498639</xdr:colOff>
      <xdr:row>34</xdr:row>
      <xdr:rowOff>180220</xdr:rowOff>
    </xdr:from>
    <xdr:to>
      <xdr:col>12</xdr:col>
      <xdr:colOff>571090</xdr:colOff>
      <xdr:row>41</xdr:row>
      <xdr:rowOff>153733</xdr:rowOff>
    </xdr:to>
    <xdr:pic>
      <xdr:nvPicPr>
        <xdr:cNvPr id="24" name="Graphic 23" descr="Arrow Right with solid fill">
          <a:extLst>
            <a:ext uri="{FF2B5EF4-FFF2-40B4-BE49-F238E27FC236}">
              <a16:creationId xmlns:a16="http://schemas.microsoft.com/office/drawing/2014/main" id="{E4B23057-C958-4EE7-8DA6-1747ACFC4C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0686735">
          <a:off x="6621853" y="6820506"/>
          <a:ext cx="1297094" cy="1307013"/>
        </a:xfrm>
        <a:prstGeom prst="rect">
          <a:avLst/>
        </a:prstGeom>
      </xdr:spPr>
    </xdr:pic>
    <xdr:clientData/>
  </xdr:twoCellAnchor>
  <xdr:twoCellAnchor editAs="oneCell">
    <xdr:from>
      <xdr:col>8</xdr:col>
      <xdr:colOff>372860</xdr:colOff>
      <xdr:row>37</xdr:row>
      <xdr:rowOff>120667</xdr:rowOff>
    </xdr:from>
    <xdr:to>
      <xdr:col>10</xdr:col>
      <xdr:colOff>440827</xdr:colOff>
      <xdr:row>44</xdr:row>
      <xdr:rowOff>94178</xdr:rowOff>
    </xdr:to>
    <xdr:pic>
      <xdr:nvPicPr>
        <xdr:cNvPr id="25" name="Graphic 24" descr="Arrow Right with solid fill">
          <a:extLst>
            <a:ext uri="{FF2B5EF4-FFF2-40B4-BE49-F238E27FC236}">
              <a16:creationId xmlns:a16="http://schemas.microsoft.com/office/drawing/2014/main" id="{451703A9-DECD-4AB3-A4A6-827187508C8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0214212">
          <a:off x="5271431" y="7332453"/>
          <a:ext cx="1292610" cy="1307011"/>
        </a:xfrm>
        <a:prstGeom prst="rect">
          <a:avLst/>
        </a:prstGeom>
      </xdr:spPr>
    </xdr:pic>
    <xdr:clientData/>
  </xdr:twoCellAnchor>
  <xdr:twoCellAnchor editAs="oneCell">
    <xdr:from>
      <xdr:col>6</xdr:col>
      <xdr:colOff>538897</xdr:colOff>
      <xdr:row>42</xdr:row>
      <xdr:rowOff>89316</xdr:rowOff>
    </xdr:from>
    <xdr:to>
      <xdr:col>9</xdr:col>
      <xdr:colOff>24122</xdr:colOff>
      <xdr:row>49</xdr:row>
      <xdr:rowOff>4885</xdr:rowOff>
    </xdr:to>
    <xdr:pic>
      <xdr:nvPicPr>
        <xdr:cNvPr id="107" name="Graphic 25" descr="Arrow Right with solid fill">
          <a:extLst>
            <a:ext uri="{FF2B5EF4-FFF2-40B4-BE49-F238E27FC236}">
              <a16:creationId xmlns:a16="http://schemas.microsoft.com/office/drawing/2014/main" id="{2FF6665D-1D2C-4A6C-8899-321C4906612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8519468">
          <a:off x="4249386" y="8217042"/>
          <a:ext cx="1249069" cy="1322189"/>
        </a:xfrm>
        <a:prstGeom prst="rect">
          <a:avLst/>
        </a:prstGeom>
      </xdr:spPr>
    </xdr:pic>
    <xdr:clientData/>
  </xdr:twoCellAnchor>
  <xdr:twoCellAnchor>
    <xdr:from>
      <xdr:col>27</xdr:col>
      <xdr:colOff>600153</xdr:colOff>
      <xdr:row>54</xdr:row>
      <xdr:rowOff>113331</xdr:rowOff>
    </xdr:from>
    <xdr:to>
      <xdr:col>33</xdr:col>
      <xdr:colOff>472406</xdr:colOff>
      <xdr:row>66</xdr:row>
      <xdr:rowOff>135744</xdr:rowOff>
    </xdr:to>
    <xdr:sp macro="" textlink="">
      <xdr:nvSpPr>
        <xdr:cNvPr id="27" name="Rectangle 26">
          <a:extLst>
            <a:ext uri="{FF2B5EF4-FFF2-40B4-BE49-F238E27FC236}">
              <a16:creationId xmlns:a16="http://schemas.microsoft.com/office/drawing/2014/main" id="{E160D490-AADC-97C2-04E1-A1D66716C9E2}"/>
            </a:ext>
          </a:extLst>
        </xdr:cNvPr>
        <xdr:cNvSpPr/>
      </xdr:nvSpPr>
      <xdr:spPr>
        <a:xfrm>
          <a:off x="16938329" y="10534802"/>
          <a:ext cx="3502959" cy="2308413"/>
        </a:xfrm>
        <a:prstGeom prst="rect">
          <a:avLst/>
        </a:prstGeom>
        <a:solidFill>
          <a:schemeClr val="accent4">
            <a:lumMod val="60000"/>
            <a:lumOff val="4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da-DK" sz="1100"/>
        </a:p>
      </xdr:txBody>
    </xdr:sp>
    <xdr:clientData/>
  </xdr:twoCellAnchor>
  <xdr:twoCellAnchor editAs="oneCell">
    <xdr:from>
      <xdr:col>31</xdr:col>
      <xdr:colOff>508329</xdr:colOff>
      <xdr:row>36</xdr:row>
      <xdr:rowOff>100490</xdr:rowOff>
    </xdr:from>
    <xdr:to>
      <xdr:col>33</xdr:col>
      <xdr:colOff>576295</xdr:colOff>
      <xdr:row>43</xdr:row>
      <xdr:rowOff>77232</xdr:rowOff>
    </xdr:to>
    <xdr:pic>
      <xdr:nvPicPr>
        <xdr:cNvPr id="28" name="Graphic 27" descr="Arrow Right with solid fill">
          <a:extLst>
            <a:ext uri="{FF2B5EF4-FFF2-40B4-BE49-F238E27FC236}">
              <a16:creationId xmlns:a16="http://schemas.microsoft.com/office/drawing/2014/main" id="{4B95132E-04A9-44E3-BA4F-EF91B4AB8B5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0287933">
          <a:off x="19490293" y="7121776"/>
          <a:ext cx="1292609" cy="1310242"/>
        </a:xfrm>
        <a:prstGeom prst="rect">
          <a:avLst/>
        </a:prstGeom>
      </xdr:spPr>
    </xdr:pic>
    <xdr:clientData/>
  </xdr:twoCellAnchor>
  <xdr:twoCellAnchor editAs="oneCell">
    <xdr:from>
      <xdr:col>13</xdr:col>
      <xdr:colOff>434893</xdr:colOff>
      <xdr:row>60</xdr:row>
      <xdr:rowOff>26726</xdr:rowOff>
    </xdr:from>
    <xdr:to>
      <xdr:col>14</xdr:col>
      <xdr:colOff>361782</xdr:colOff>
      <xdr:row>62</xdr:row>
      <xdr:rowOff>176846</xdr:rowOff>
    </xdr:to>
    <xdr:pic>
      <xdr:nvPicPr>
        <xdr:cNvPr id="30" name="Graphic 29" descr="Badge 1 with solid fill">
          <a:extLst>
            <a:ext uri="{FF2B5EF4-FFF2-40B4-BE49-F238E27FC236}">
              <a16:creationId xmlns:a16="http://schemas.microsoft.com/office/drawing/2014/main" id="{A9A7E8EC-9DD3-A76A-BC2A-E0CA22E204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301422" y="11591197"/>
          <a:ext cx="532007" cy="531120"/>
        </a:xfrm>
        <a:prstGeom prst="rect">
          <a:avLst/>
        </a:prstGeom>
      </xdr:spPr>
    </xdr:pic>
    <xdr:clientData/>
  </xdr:twoCellAnchor>
  <xdr:twoCellAnchor editAs="oneCell">
    <xdr:from>
      <xdr:col>16</xdr:col>
      <xdr:colOff>282336</xdr:colOff>
      <xdr:row>60</xdr:row>
      <xdr:rowOff>22628</xdr:rowOff>
    </xdr:from>
    <xdr:to>
      <xdr:col>17</xdr:col>
      <xdr:colOff>213079</xdr:colOff>
      <xdr:row>62</xdr:row>
      <xdr:rowOff>176446</xdr:rowOff>
    </xdr:to>
    <xdr:pic>
      <xdr:nvPicPr>
        <xdr:cNvPr id="32" name="Graphic 31" descr="Badge with solid fill">
          <a:extLst>
            <a:ext uri="{FF2B5EF4-FFF2-40B4-BE49-F238E27FC236}">
              <a16:creationId xmlns:a16="http://schemas.microsoft.com/office/drawing/2014/main" id="{4E8AE75E-5D36-419F-3BE7-4CED6393435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964218" y="11587099"/>
          <a:ext cx="535861" cy="534818"/>
        </a:xfrm>
        <a:prstGeom prst="rect">
          <a:avLst/>
        </a:prstGeom>
      </xdr:spPr>
    </xdr:pic>
    <xdr:clientData/>
  </xdr:twoCellAnchor>
  <xdr:twoCellAnchor editAs="oneCell">
    <xdr:from>
      <xdr:col>19</xdr:col>
      <xdr:colOff>333827</xdr:colOff>
      <xdr:row>60</xdr:row>
      <xdr:rowOff>68968</xdr:rowOff>
    </xdr:from>
    <xdr:to>
      <xdr:col>20</xdr:col>
      <xdr:colOff>190709</xdr:colOff>
      <xdr:row>62</xdr:row>
      <xdr:rowOff>149969</xdr:rowOff>
    </xdr:to>
    <xdr:pic>
      <xdr:nvPicPr>
        <xdr:cNvPr id="36" name="Graphic 35" descr="Badge 4 with solid fill">
          <a:extLst>
            <a:ext uri="{FF2B5EF4-FFF2-40B4-BE49-F238E27FC236}">
              <a16:creationId xmlns:a16="http://schemas.microsoft.com/office/drawing/2014/main" id="{557CB894-03B4-CF9E-8B47-522CB8CA01A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831062" y="11633439"/>
          <a:ext cx="462000" cy="462001"/>
        </a:xfrm>
        <a:prstGeom prst="rect">
          <a:avLst/>
        </a:prstGeom>
      </xdr:spPr>
    </xdr:pic>
    <xdr:clientData/>
  </xdr:twoCellAnchor>
  <xdr:twoCellAnchor editAs="oneCell">
    <xdr:from>
      <xdr:col>21</xdr:col>
      <xdr:colOff>341026</xdr:colOff>
      <xdr:row>63</xdr:row>
      <xdr:rowOff>42651</xdr:rowOff>
    </xdr:from>
    <xdr:to>
      <xdr:col>22</xdr:col>
      <xdr:colOff>246186</xdr:colOff>
      <xdr:row>65</xdr:row>
      <xdr:rowOff>172798</xdr:rowOff>
    </xdr:to>
    <xdr:pic>
      <xdr:nvPicPr>
        <xdr:cNvPr id="38" name="Graphic 37" descr="Badge 5 with solid fill">
          <a:extLst>
            <a:ext uri="{FF2B5EF4-FFF2-40B4-BE49-F238E27FC236}">
              <a16:creationId xmlns:a16="http://schemas.microsoft.com/office/drawing/2014/main" id="{73173802-A1E3-372F-DF46-5AF1C588208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212200" y="12143542"/>
          <a:ext cx="518073" cy="511147"/>
        </a:xfrm>
        <a:prstGeom prst="rect">
          <a:avLst/>
        </a:prstGeom>
      </xdr:spPr>
    </xdr:pic>
    <xdr:clientData/>
  </xdr:twoCellAnchor>
  <xdr:twoCellAnchor editAs="oneCell">
    <xdr:from>
      <xdr:col>13</xdr:col>
      <xdr:colOff>75659</xdr:colOff>
      <xdr:row>35</xdr:row>
      <xdr:rowOff>122907</xdr:rowOff>
    </xdr:from>
    <xdr:to>
      <xdr:col>14</xdr:col>
      <xdr:colOff>82076</xdr:colOff>
      <xdr:row>38</xdr:row>
      <xdr:rowOff>167428</xdr:rowOff>
    </xdr:to>
    <xdr:pic>
      <xdr:nvPicPr>
        <xdr:cNvPr id="40" name="Graphic 39" descr="Badge 6 with solid fill">
          <a:extLst>
            <a:ext uri="{FF2B5EF4-FFF2-40B4-BE49-F238E27FC236}">
              <a16:creationId xmlns:a16="http://schemas.microsoft.com/office/drawing/2014/main" id="{5438516F-C7B5-1F67-2596-16B0848A149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035838" y="6953693"/>
          <a:ext cx="618738" cy="616021"/>
        </a:xfrm>
        <a:prstGeom prst="rect">
          <a:avLst/>
        </a:prstGeom>
      </xdr:spPr>
    </xdr:pic>
    <xdr:clientData/>
  </xdr:twoCellAnchor>
  <xdr:twoCellAnchor editAs="oneCell">
    <xdr:from>
      <xdr:col>32</xdr:col>
      <xdr:colOff>61408</xdr:colOff>
      <xdr:row>55</xdr:row>
      <xdr:rowOff>7626</xdr:rowOff>
    </xdr:from>
    <xdr:to>
      <xdr:col>33</xdr:col>
      <xdr:colOff>387115</xdr:colOff>
      <xdr:row>59</xdr:row>
      <xdr:rowOff>171840</xdr:rowOff>
    </xdr:to>
    <xdr:pic>
      <xdr:nvPicPr>
        <xdr:cNvPr id="42" name="Graphic 41" descr="Badge 7 with solid fill">
          <a:extLst>
            <a:ext uri="{FF2B5EF4-FFF2-40B4-BE49-F238E27FC236}">
              <a16:creationId xmlns:a16="http://schemas.microsoft.com/office/drawing/2014/main" id="{B2112912-9474-241A-B3C9-E47CFDCF5E9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9425173" y="10619597"/>
          <a:ext cx="930824" cy="926214"/>
        </a:xfrm>
        <a:prstGeom prst="rect">
          <a:avLst/>
        </a:prstGeom>
      </xdr:spPr>
    </xdr:pic>
    <xdr:clientData/>
  </xdr:twoCellAnchor>
  <xdr:twoCellAnchor editAs="oneCell">
    <xdr:from>
      <xdr:col>19</xdr:col>
      <xdr:colOff>123344</xdr:colOff>
      <xdr:row>35</xdr:row>
      <xdr:rowOff>157915</xdr:rowOff>
    </xdr:from>
    <xdr:to>
      <xdr:col>20</xdr:col>
      <xdr:colOff>56660</xdr:colOff>
      <xdr:row>38</xdr:row>
      <xdr:rowOff>125647</xdr:rowOff>
    </xdr:to>
    <xdr:pic>
      <xdr:nvPicPr>
        <xdr:cNvPr id="44" name="Graphic 43" descr="Badge 8 with solid fill">
          <a:extLst>
            <a:ext uri="{FF2B5EF4-FFF2-40B4-BE49-F238E27FC236}">
              <a16:creationId xmlns:a16="http://schemas.microsoft.com/office/drawing/2014/main" id="{D62C71F8-B45A-7423-EBFF-1CC2681575E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768692" y="6924806"/>
          <a:ext cx="546229" cy="539232"/>
        </a:xfrm>
        <a:prstGeom prst="rect">
          <a:avLst/>
        </a:prstGeom>
      </xdr:spPr>
    </xdr:pic>
    <xdr:clientData/>
  </xdr:twoCellAnchor>
  <xdr:twoCellAnchor editAs="oneCell">
    <xdr:from>
      <xdr:col>26</xdr:col>
      <xdr:colOff>300889</xdr:colOff>
      <xdr:row>65</xdr:row>
      <xdr:rowOff>96943</xdr:rowOff>
    </xdr:from>
    <xdr:to>
      <xdr:col>27</xdr:col>
      <xdr:colOff>86950</xdr:colOff>
      <xdr:row>67</xdr:row>
      <xdr:rowOff>108298</xdr:rowOff>
    </xdr:to>
    <xdr:pic>
      <xdr:nvPicPr>
        <xdr:cNvPr id="45" name="Graphic 44" descr="Badge 5 with solid fill">
          <a:extLst>
            <a:ext uri="{FF2B5EF4-FFF2-40B4-BE49-F238E27FC236}">
              <a16:creationId xmlns:a16="http://schemas.microsoft.com/office/drawing/2014/main" id="{BD4BC5B0-705A-4B39-91ED-D8D67FD659A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236628" y="12578834"/>
          <a:ext cx="398974" cy="392355"/>
        </a:xfrm>
        <a:prstGeom prst="rect">
          <a:avLst/>
        </a:prstGeom>
      </xdr:spPr>
    </xdr:pic>
    <xdr:clientData/>
  </xdr:twoCellAnchor>
  <xdr:twoCellAnchor editAs="oneCell">
    <xdr:from>
      <xdr:col>48</xdr:col>
      <xdr:colOff>413416</xdr:colOff>
      <xdr:row>6</xdr:row>
      <xdr:rowOff>27051</xdr:rowOff>
    </xdr:from>
    <xdr:to>
      <xdr:col>59</xdr:col>
      <xdr:colOff>331789</xdr:colOff>
      <xdr:row>96</xdr:row>
      <xdr:rowOff>134894</xdr:rowOff>
    </xdr:to>
    <xdr:pic>
      <xdr:nvPicPr>
        <xdr:cNvPr id="20" name="Picture 45">
          <a:extLst>
            <a:ext uri="{FF2B5EF4-FFF2-40B4-BE49-F238E27FC236}">
              <a16:creationId xmlns:a16="http://schemas.microsoft.com/office/drawing/2014/main" id="{6DF81748-FC41-CF9B-F8FE-BE35510A2843}"/>
            </a:ext>
          </a:extLst>
        </xdr:cNvPr>
        <xdr:cNvPicPr>
          <a:picLocks noChangeAspect="1"/>
        </xdr:cNvPicPr>
      </xdr:nvPicPr>
      <xdr:blipFill>
        <a:blip xmlns:r="http://schemas.openxmlformats.org/officeDocument/2006/relationships" r:embed="rId23"/>
        <a:stretch>
          <a:fillRect/>
        </a:stretch>
      </xdr:blipFill>
      <xdr:spPr>
        <a:xfrm>
          <a:off x="30131416" y="1170051"/>
          <a:ext cx="6623973" cy="16738493"/>
        </a:xfrm>
        <a:prstGeom prst="rect">
          <a:avLst/>
        </a:prstGeom>
      </xdr:spPr>
    </xdr:pic>
    <xdr:clientData/>
  </xdr:twoCellAnchor>
  <xdr:twoCellAnchor editAs="oneCell">
    <xdr:from>
      <xdr:col>17</xdr:col>
      <xdr:colOff>511269</xdr:colOff>
      <xdr:row>55</xdr:row>
      <xdr:rowOff>113122</xdr:rowOff>
    </xdr:from>
    <xdr:to>
      <xdr:col>18</xdr:col>
      <xdr:colOff>459708</xdr:colOff>
      <xdr:row>58</xdr:row>
      <xdr:rowOff>94073</xdr:rowOff>
    </xdr:to>
    <xdr:pic>
      <xdr:nvPicPr>
        <xdr:cNvPr id="47" name="Graphic 46" descr="Badge 1 with solid fill">
          <a:extLst>
            <a:ext uri="{FF2B5EF4-FFF2-40B4-BE49-F238E27FC236}">
              <a16:creationId xmlns:a16="http://schemas.microsoft.com/office/drawing/2014/main" id="{F8D9861E-4D29-4B82-9DB2-3E97F102431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0920733" y="10753908"/>
          <a:ext cx="560761" cy="552451"/>
        </a:xfrm>
        <a:prstGeom prst="rect">
          <a:avLst/>
        </a:prstGeom>
      </xdr:spPr>
    </xdr:pic>
    <xdr:clientData/>
  </xdr:twoCellAnchor>
  <xdr:twoCellAnchor editAs="oneCell">
    <xdr:from>
      <xdr:col>36</xdr:col>
      <xdr:colOff>89181</xdr:colOff>
      <xdr:row>35</xdr:row>
      <xdr:rowOff>46534</xdr:rowOff>
    </xdr:from>
    <xdr:to>
      <xdr:col>37</xdr:col>
      <xdr:colOff>150726</xdr:colOff>
      <xdr:row>38</xdr:row>
      <xdr:rowOff>139823</xdr:rowOff>
    </xdr:to>
    <xdr:pic>
      <xdr:nvPicPr>
        <xdr:cNvPr id="49" name="Graphic 48" descr="Line arrow: Clockwise curve with solid fill">
          <a:extLst>
            <a:ext uri="{FF2B5EF4-FFF2-40B4-BE49-F238E27FC236}">
              <a16:creationId xmlns:a16="http://schemas.microsoft.com/office/drawing/2014/main" id="{898E7747-EF18-FFB8-0DC5-80AB7464E9A6}"/>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rot="14180543">
          <a:off x="22137291" y="6872781"/>
          <a:ext cx="664789" cy="673867"/>
        </a:xfrm>
        <a:prstGeom prst="rect">
          <a:avLst/>
        </a:prstGeom>
      </xdr:spPr>
    </xdr:pic>
    <xdr:clientData/>
  </xdr:twoCellAnchor>
  <xdr:twoCellAnchor editAs="oneCell">
    <xdr:from>
      <xdr:col>34</xdr:col>
      <xdr:colOff>107353</xdr:colOff>
      <xdr:row>35</xdr:row>
      <xdr:rowOff>78500</xdr:rowOff>
    </xdr:from>
    <xdr:to>
      <xdr:col>36</xdr:col>
      <xdr:colOff>167824</xdr:colOff>
      <xdr:row>42</xdr:row>
      <xdr:rowOff>60978</xdr:rowOff>
    </xdr:to>
    <xdr:pic>
      <xdr:nvPicPr>
        <xdr:cNvPr id="54" name="Graphic 53" descr="Arrow Right with solid fill">
          <a:extLst>
            <a:ext uri="{FF2B5EF4-FFF2-40B4-BE49-F238E27FC236}">
              <a16:creationId xmlns:a16="http://schemas.microsoft.com/office/drawing/2014/main" id="{169953E6-4AC5-4697-97AB-C3C530A67F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0217534">
          <a:off x="20926282" y="6909286"/>
          <a:ext cx="1285113" cy="1315978"/>
        </a:xfrm>
        <a:prstGeom prst="rect">
          <a:avLst/>
        </a:prstGeom>
      </xdr:spPr>
    </xdr:pic>
    <xdr:clientData/>
  </xdr:twoCellAnchor>
  <xdr:twoCellAnchor editAs="oneCell">
    <xdr:from>
      <xdr:col>22</xdr:col>
      <xdr:colOff>56650</xdr:colOff>
      <xdr:row>54</xdr:row>
      <xdr:rowOff>140042</xdr:rowOff>
    </xdr:from>
    <xdr:to>
      <xdr:col>23</xdr:col>
      <xdr:colOff>7542</xdr:colOff>
      <xdr:row>57</xdr:row>
      <xdr:rowOff>123307</xdr:rowOff>
    </xdr:to>
    <xdr:pic>
      <xdr:nvPicPr>
        <xdr:cNvPr id="57" name="Graphic 56" descr="Badge with solid fill">
          <a:extLst>
            <a:ext uri="{FF2B5EF4-FFF2-40B4-BE49-F238E27FC236}">
              <a16:creationId xmlns:a16="http://schemas.microsoft.com/office/drawing/2014/main" id="{6A938E99-6F32-4A76-A33F-0C628BB89B84}"/>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540737" y="10526433"/>
          <a:ext cx="563805" cy="554765"/>
        </a:xfrm>
        <a:prstGeom prst="rect">
          <a:avLst/>
        </a:prstGeom>
      </xdr:spPr>
    </xdr:pic>
    <xdr:clientData/>
  </xdr:twoCellAnchor>
  <xdr:twoCellAnchor editAs="oneCell">
    <xdr:from>
      <xdr:col>31</xdr:col>
      <xdr:colOff>156181</xdr:colOff>
      <xdr:row>55</xdr:row>
      <xdr:rowOff>10474</xdr:rowOff>
    </xdr:from>
    <xdr:to>
      <xdr:col>32</xdr:col>
      <xdr:colOff>483343</xdr:colOff>
      <xdr:row>59</xdr:row>
      <xdr:rowOff>172018</xdr:rowOff>
    </xdr:to>
    <xdr:pic>
      <xdr:nvPicPr>
        <xdr:cNvPr id="58" name="Graphic 57" descr="Badge 1 with solid fill">
          <a:extLst>
            <a:ext uri="{FF2B5EF4-FFF2-40B4-BE49-F238E27FC236}">
              <a16:creationId xmlns:a16="http://schemas.microsoft.com/office/drawing/2014/main" id="{E60A5D01-F31A-4061-B6BF-FC8FDF3028E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914828" y="10622445"/>
          <a:ext cx="932280" cy="923544"/>
        </a:xfrm>
        <a:prstGeom prst="rect">
          <a:avLst/>
        </a:prstGeom>
      </xdr:spPr>
    </xdr:pic>
    <xdr:clientData/>
  </xdr:twoCellAnchor>
  <xdr:twoCellAnchor editAs="oneCell">
    <xdr:from>
      <xdr:col>8</xdr:col>
      <xdr:colOff>463746</xdr:colOff>
      <xdr:row>56</xdr:row>
      <xdr:rowOff>84461</xdr:rowOff>
    </xdr:from>
    <xdr:to>
      <xdr:col>10</xdr:col>
      <xdr:colOff>533028</xdr:colOff>
      <xdr:row>63</xdr:row>
      <xdr:rowOff>69483</xdr:rowOff>
    </xdr:to>
    <xdr:pic>
      <xdr:nvPicPr>
        <xdr:cNvPr id="59" name="Graphic 58" descr="Arrow Right with solid fill">
          <a:extLst>
            <a:ext uri="{FF2B5EF4-FFF2-40B4-BE49-F238E27FC236}">
              <a16:creationId xmlns:a16="http://schemas.microsoft.com/office/drawing/2014/main" id="{B28D8796-4946-41CF-9BE6-F75C400CBC62}"/>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983319">
          <a:off x="5362317" y="10915747"/>
          <a:ext cx="1293925" cy="1318522"/>
        </a:xfrm>
        <a:prstGeom prst="rect">
          <a:avLst/>
        </a:prstGeom>
      </xdr:spPr>
    </xdr:pic>
    <xdr:clientData/>
  </xdr:twoCellAnchor>
  <xdr:twoCellAnchor editAs="oneCell">
    <xdr:from>
      <xdr:col>14</xdr:col>
      <xdr:colOff>425127</xdr:colOff>
      <xdr:row>58</xdr:row>
      <xdr:rowOff>156420</xdr:rowOff>
    </xdr:from>
    <xdr:to>
      <xdr:col>16</xdr:col>
      <xdr:colOff>227903</xdr:colOff>
      <xdr:row>64</xdr:row>
      <xdr:rowOff>52529</xdr:rowOff>
    </xdr:to>
    <xdr:pic>
      <xdr:nvPicPr>
        <xdr:cNvPr id="60" name="Graphic 59" descr="Arrow Right with solid fill">
          <a:extLst>
            <a:ext uri="{FF2B5EF4-FFF2-40B4-BE49-F238E27FC236}">
              <a16:creationId xmlns:a16="http://schemas.microsoft.com/office/drawing/2014/main" id="{2147B30F-6442-4F9D-A48B-0CCE050E0B7F}"/>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8896774" y="11339891"/>
          <a:ext cx="1013011" cy="1039109"/>
        </a:xfrm>
        <a:prstGeom prst="rect">
          <a:avLst/>
        </a:prstGeom>
      </xdr:spPr>
    </xdr:pic>
    <xdr:clientData/>
  </xdr:twoCellAnchor>
  <xdr:twoCellAnchor editAs="oneCell">
    <xdr:from>
      <xdr:col>17</xdr:col>
      <xdr:colOff>151607</xdr:colOff>
      <xdr:row>61</xdr:row>
      <xdr:rowOff>136497</xdr:rowOff>
    </xdr:from>
    <xdr:to>
      <xdr:col>18</xdr:col>
      <xdr:colOff>15709</xdr:colOff>
      <xdr:row>64</xdr:row>
      <xdr:rowOff>39680</xdr:rowOff>
    </xdr:to>
    <xdr:pic>
      <xdr:nvPicPr>
        <xdr:cNvPr id="61" name="Graphic 60" descr="Arrow Right with solid fill">
          <a:extLst>
            <a:ext uri="{FF2B5EF4-FFF2-40B4-BE49-F238E27FC236}">
              <a16:creationId xmlns:a16="http://schemas.microsoft.com/office/drawing/2014/main" id="{9EED6E4D-FD4D-44C1-BD9C-BA8F996B0BAE}"/>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2492871">
          <a:off x="10438607" y="11891468"/>
          <a:ext cx="469220" cy="474683"/>
        </a:xfrm>
        <a:prstGeom prst="rect">
          <a:avLst/>
        </a:prstGeom>
      </xdr:spPr>
    </xdr:pic>
    <xdr:clientData/>
  </xdr:twoCellAnchor>
  <xdr:twoCellAnchor editAs="oneCell">
    <xdr:from>
      <xdr:col>17</xdr:col>
      <xdr:colOff>539508</xdr:colOff>
      <xdr:row>63</xdr:row>
      <xdr:rowOff>92088</xdr:rowOff>
    </xdr:from>
    <xdr:to>
      <xdr:col>18</xdr:col>
      <xdr:colOff>368340</xdr:colOff>
      <xdr:row>65</xdr:row>
      <xdr:rowOff>146352</xdr:rowOff>
    </xdr:to>
    <xdr:pic>
      <xdr:nvPicPr>
        <xdr:cNvPr id="34" name="Graphic 33" descr="Badge 3 with solid fill">
          <a:extLst>
            <a:ext uri="{FF2B5EF4-FFF2-40B4-BE49-F238E27FC236}">
              <a16:creationId xmlns:a16="http://schemas.microsoft.com/office/drawing/2014/main" id="{86245973-3C25-0AE2-8B67-2EC1CBD3307A}"/>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0959030" y="12192979"/>
          <a:ext cx="441745" cy="435264"/>
        </a:xfrm>
        <a:prstGeom prst="rect">
          <a:avLst/>
        </a:prstGeom>
      </xdr:spPr>
    </xdr:pic>
    <xdr:clientData/>
  </xdr:twoCellAnchor>
  <xdr:twoCellAnchor editAs="oneCell">
    <xdr:from>
      <xdr:col>21</xdr:col>
      <xdr:colOff>395591</xdr:colOff>
      <xdr:row>48</xdr:row>
      <xdr:rowOff>35707</xdr:rowOff>
    </xdr:from>
    <xdr:to>
      <xdr:col>23</xdr:col>
      <xdr:colOff>388327</xdr:colOff>
      <xdr:row>54</xdr:row>
      <xdr:rowOff>86243</xdr:rowOff>
    </xdr:to>
    <xdr:pic>
      <xdr:nvPicPr>
        <xdr:cNvPr id="63" name="Graphic 62" descr="Arrow Right with solid fill">
          <a:extLst>
            <a:ext uri="{FF2B5EF4-FFF2-40B4-BE49-F238E27FC236}">
              <a16:creationId xmlns:a16="http://schemas.microsoft.com/office/drawing/2014/main" id="{91FF7868-6115-4DA4-B4D0-D63F2357259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16430113">
          <a:off x="13279278" y="9266585"/>
          <a:ext cx="1193536" cy="1218562"/>
        </a:xfrm>
        <a:prstGeom prst="rect">
          <a:avLst/>
        </a:prstGeom>
      </xdr:spPr>
    </xdr:pic>
    <xdr:clientData/>
  </xdr:twoCellAnchor>
  <xdr:twoCellAnchor editAs="oneCell">
    <xdr:from>
      <xdr:col>22</xdr:col>
      <xdr:colOff>274345</xdr:colOff>
      <xdr:row>42</xdr:row>
      <xdr:rowOff>5522</xdr:rowOff>
    </xdr:from>
    <xdr:to>
      <xdr:col>24</xdr:col>
      <xdr:colOff>234565</xdr:colOff>
      <xdr:row>48</xdr:row>
      <xdr:rowOff>41942</xdr:rowOff>
    </xdr:to>
    <xdr:pic>
      <xdr:nvPicPr>
        <xdr:cNvPr id="64" name="Graphic 63" descr="Line arrow: Clockwise curve with solid fill">
          <a:extLst>
            <a:ext uri="{FF2B5EF4-FFF2-40B4-BE49-F238E27FC236}">
              <a16:creationId xmlns:a16="http://schemas.microsoft.com/office/drawing/2014/main" id="{FE580A5E-B1B8-4A95-A2A4-589471B31744}"/>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rot="4996911">
          <a:off x="13761745" y="8102600"/>
          <a:ext cx="1179420" cy="1186046"/>
        </a:xfrm>
        <a:prstGeom prst="rect">
          <a:avLst/>
        </a:prstGeom>
      </xdr:spPr>
    </xdr:pic>
    <xdr:clientData/>
  </xdr:twoCellAnchor>
  <xdr:twoCellAnchor editAs="oneCell">
    <xdr:from>
      <xdr:col>24</xdr:col>
      <xdr:colOff>317478</xdr:colOff>
      <xdr:row>40</xdr:row>
      <xdr:rowOff>96527</xdr:rowOff>
    </xdr:from>
    <xdr:to>
      <xdr:col>26</xdr:col>
      <xdr:colOff>383448</xdr:colOff>
      <xdr:row>47</xdr:row>
      <xdr:rowOff>70040</xdr:rowOff>
    </xdr:to>
    <xdr:pic>
      <xdr:nvPicPr>
        <xdr:cNvPr id="66" name="Graphic 65" descr="Arrow Right with solid fill">
          <a:extLst>
            <a:ext uri="{FF2B5EF4-FFF2-40B4-BE49-F238E27FC236}">
              <a16:creationId xmlns:a16="http://schemas.microsoft.com/office/drawing/2014/main" id="{0E67DB8B-C18A-4948-A659-48ED735BE971}"/>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5027391" y="7815918"/>
          <a:ext cx="1291796" cy="1307013"/>
        </a:xfrm>
        <a:prstGeom prst="rect">
          <a:avLst/>
        </a:prstGeom>
      </xdr:spPr>
    </xdr:pic>
    <xdr:clientData/>
  </xdr:twoCellAnchor>
  <xdr:twoCellAnchor editAs="oneCell">
    <xdr:from>
      <xdr:col>16</xdr:col>
      <xdr:colOff>111697</xdr:colOff>
      <xdr:row>32</xdr:row>
      <xdr:rowOff>70842</xdr:rowOff>
    </xdr:from>
    <xdr:to>
      <xdr:col>17</xdr:col>
      <xdr:colOff>125552</xdr:colOff>
      <xdr:row>35</xdr:row>
      <xdr:rowOff>112294</xdr:rowOff>
    </xdr:to>
    <xdr:pic>
      <xdr:nvPicPr>
        <xdr:cNvPr id="68" name="Graphic 67" descr="Badge 7 with solid fill">
          <a:extLst>
            <a:ext uri="{FF2B5EF4-FFF2-40B4-BE49-F238E27FC236}">
              <a16:creationId xmlns:a16="http://schemas.microsoft.com/office/drawing/2014/main" id="{9CD3CFE0-A1FA-4FF7-98C0-8D0308FB0EF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918306" y="6266233"/>
          <a:ext cx="626768" cy="612952"/>
        </a:xfrm>
        <a:prstGeom prst="rect">
          <a:avLst/>
        </a:prstGeom>
      </xdr:spPr>
    </xdr:pic>
    <xdr:clientData/>
  </xdr:twoCellAnchor>
  <xdr:twoCellAnchor editAs="oneCell">
    <xdr:from>
      <xdr:col>20</xdr:col>
      <xdr:colOff>163442</xdr:colOff>
      <xdr:row>28</xdr:row>
      <xdr:rowOff>108423</xdr:rowOff>
    </xdr:from>
    <xdr:to>
      <xdr:col>21</xdr:col>
      <xdr:colOff>7017</xdr:colOff>
      <xdr:row>31</xdr:row>
      <xdr:rowOff>2001</xdr:rowOff>
    </xdr:to>
    <xdr:pic>
      <xdr:nvPicPr>
        <xdr:cNvPr id="70" name="Graphic 69" descr="Badge 9 with solid fill">
          <a:extLst>
            <a:ext uri="{FF2B5EF4-FFF2-40B4-BE49-F238E27FC236}">
              <a16:creationId xmlns:a16="http://schemas.microsoft.com/office/drawing/2014/main" id="{BE1801A7-0A5F-E05E-86EA-33ECFA290F00}"/>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421703" y="5541814"/>
          <a:ext cx="456488" cy="453171"/>
        </a:xfrm>
        <a:prstGeom prst="rect">
          <a:avLst/>
        </a:prstGeom>
      </xdr:spPr>
    </xdr:pic>
    <xdr:clientData/>
  </xdr:twoCellAnchor>
  <xdr:twoCellAnchor editAs="oneCell">
    <xdr:from>
      <xdr:col>21</xdr:col>
      <xdr:colOff>314656</xdr:colOff>
      <xdr:row>30</xdr:row>
      <xdr:rowOff>59646</xdr:rowOff>
    </xdr:from>
    <xdr:to>
      <xdr:col>22</xdr:col>
      <xdr:colOff>194141</xdr:colOff>
      <xdr:row>32</xdr:row>
      <xdr:rowOff>164420</xdr:rowOff>
    </xdr:to>
    <xdr:pic>
      <xdr:nvPicPr>
        <xdr:cNvPr id="72" name="Graphic 71" descr="Badge 10 with solid fill">
          <a:extLst>
            <a:ext uri="{FF2B5EF4-FFF2-40B4-BE49-F238E27FC236}">
              <a16:creationId xmlns:a16="http://schemas.microsoft.com/office/drawing/2014/main" id="{1CC3EBF9-9978-A938-8958-690E95B8C6DB}"/>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185830" y="5874037"/>
          <a:ext cx="492398" cy="485774"/>
        </a:xfrm>
        <a:prstGeom prst="rect">
          <a:avLst/>
        </a:prstGeom>
      </xdr:spPr>
    </xdr:pic>
    <xdr:clientData/>
  </xdr:twoCellAnchor>
  <xdr:twoCellAnchor editAs="oneCell">
    <xdr:from>
      <xdr:col>23</xdr:col>
      <xdr:colOff>160917</xdr:colOff>
      <xdr:row>30</xdr:row>
      <xdr:rowOff>8581</xdr:rowOff>
    </xdr:from>
    <xdr:to>
      <xdr:col>23</xdr:col>
      <xdr:colOff>587567</xdr:colOff>
      <xdr:row>32</xdr:row>
      <xdr:rowOff>46681</xdr:rowOff>
    </xdr:to>
    <xdr:pic>
      <xdr:nvPicPr>
        <xdr:cNvPr id="73" name="Graphic 72" descr="Badge 1 with solid fill">
          <a:extLst>
            <a:ext uri="{FF2B5EF4-FFF2-40B4-BE49-F238E27FC236}">
              <a16:creationId xmlns:a16="http://schemas.microsoft.com/office/drawing/2014/main" id="{A96F240A-D5B5-4C00-AEB3-F183C001C59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257917" y="5822972"/>
          <a:ext cx="426650" cy="419100"/>
        </a:xfrm>
        <a:prstGeom prst="rect">
          <a:avLst/>
        </a:prstGeom>
      </xdr:spPr>
    </xdr:pic>
    <xdr:clientData/>
  </xdr:twoCellAnchor>
  <xdr:twoCellAnchor editAs="oneCell">
    <xdr:from>
      <xdr:col>23</xdr:col>
      <xdr:colOff>363953</xdr:colOff>
      <xdr:row>30</xdr:row>
      <xdr:rowOff>5916</xdr:rowOff>
    </xdr:from>
    <xdr:to>
      <xdr:col>24</xdr:col>
      <xdr:colOff>178844</xdr:colOff>
      <xdr:row>32</xdr:row>
      <xdr:rowOff>44016</xdr:rowOff>
    </xdr:to>
    <xdr:pic>
      <xdr:nvPicPr>
        <xdr:cNvPr id="74" name="Graphic 73" descr="Badge 1 with solid fill">
          <a:extLst>
            <a:ext uri="{FF2B5EF4-FFF2-40B4-BE49-F238E27FC236}">
              <a16:creationId xmlns:a16="http://schemas.microsoft.com/office/drawing/2014/main" id="{CFD9B2C4-C067-4C6A-986A-85AEDA1DAF6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460953" y="5820307"/>
          <a:ext cx="427804" cy="419100"/>
        </a:xfrm>
        <a:prstGeom prst="rect">
          <a:avLst/>
        </a:prstGeom>
      </xdr:spPr>
    </xdr:pic>
    <xdr:clientData/>
  </xdr:twoCellAnchor>
  <xdr:twoCellAnchor editAs="oneCell">
    <xdr:from>
      <xdr:col>23</xdr:col>
      <xdr:colOff>264035</xdr:colOff>
      <xdr:row>34</xdr:row>
      <xdr:rowOff>173619</xdr:rowOff>
    </xdr:from>
    <xdr:to>
      <xdr:col>24</xdr:col>
      <xdr:colOff>213047</xdr:colOff>
      <xdr:row>37</xdr:row>
      <xdr:rowOff>155040</xdr:rowOff>
    </xdr:to>
    <xdr:pic>
      <xdr:nvPicPr>
        <xdr:cNvPr id="75" name="Graphic 74" descr="Badge 3 with solid fill">
          <a:extLst>
            <a:ext uri="{FF2B5EF4-FFF2-40B4-BE49-F238E27FC236}">
              <a16:creationId xmlns:a16="http://schemas.microsoft.com/office/drawing/2014/main" id="{987DB5F3-829A-42C3-A131-7F898AD2DE43}"/>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4347428" y="6813905"/>
          <a:ext cx="561333" cy="552921"/>
        </a:xfrm>
        <a:prstGeom prst="rect">
          <a:avLst/>
        </a:prstGeom>
      </xdr:spPr>
    </xdr:pic>
    <xdr:clientData/>
  </xdr:twoCellAnchor>
  <xdr:twoCellAnchor editAs="oneCell">
    <xdr:from>
      <xdr:col>25</xdr:col>
      <xdr:colOff>448584</xdr:colOff>
      <xdr:row>31</xdr:row>
      <xdr:rowOff>100232</xdr:rowOff>
    </xdr:from>
    <xdr:to>
      <xdr:col>26</xdr:col>
      <xdr:colOff>390869</xdr:colOff>
      <xdr:row>34</xdr:row>
      <xdr:rowOff>78321</xdr:rowOff>
    </xdr:to>
    <xdr:pic>
      <xdr:nvPicPr>
        <xdr:cNvPr id="77" name="Graphic 76" descr="Badge 1 with solid fill">
          <a:extLst>
            <a:ext uri="{FF2B5EF4-FFF2-40B4-BE49-F238E27FC236}">
              <a16:creationId xmlns:a16="http://schemas.microsoft.com/office/drawing/2014/main" id="{AA858409-5602-42F6-8CDD-DB8EC6BCDD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688584" y="6120032"/>
          <a:ext cx="551885" cy="549589"/>
        </a:xfrm>
        <a:prstGeom prst="rect">
          <a:avLst/>
        </a:prstGeom>
      </xdr:spPr>
    </xdr:pic>
    <xdr:clientData/>
  </xdr:twoCellAnchor>
  <xdr:twoCellAnchor editAs="oneCell">
    <xdr:from>
      <xdr:col>26</xdr:col>
      <xdr:colOff>130759</xdr:colOff>
      <xdr:row>31</xdr:row>
      <xdr:rowOff>104792</xdr:rowOff>
    </xdr:from>
    <xdr:to>
      <xdr:col>27</xdr:col>
      <xdr:colOff>77095</xdr:colOff>
      <xdr:row>34</xdr:row>
      <xdr:rowOff>83546</xdr:rowOff>
    </xdr:to>
    <xdr:pic>
      <xdr:nvPicPr>
        <xdr:cNvPr id="78" name="Graphic 77" descr="Badge with solid fill">
          <a:extLst>
            <a:ext uri="{FF2B5EF4-FFF2-40B4-BE49-F238E27FC236}">
              <a16:creationId xmlns:a16="http://schemas.microsoft.com/office/drawing/2014/main" id="{211B77B5-C984-470F-AB16-8B9F55C3351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980359" y="6124592"/>
          <a:ext cx="555936" cy="550254"/>
        </a:xfrm>
        <a:prstGeom prst="rect">
          <a:avLst/>
        </a:prstGeom>
      </xdr:spPr>
    </xdr:pic>
    <xdr:clientData/>
  </xdr:twoCellAnchor>
  <xdr:twoCellAnchor editAs="oneCell">
    <xdr:from>
      <xdr:col>28</xdr:col>
      <xdr:colOff>490547</xdr:colOff>
      <xdr:row>31</xdr:row>
      <xdr:rowOff>123488</xdr:rowOff>
    </xdr:from>
    <xdr:to>
      <xdr:col>29</xdr:col>
      <xdr:colOff>432835</xdr:colOff>
      <xdr:row>34</xdr:row>
      <xdr:rowOff>101577</xdr:rowOff>
    </xdr:to>
    <xdr:pic>
      <xdr:nvPicPr>
        <xdr:cNvPr id="79" name="Graphic 78" descr="Badge 1 with solid fill">
          <a:extLst>
            <a:ext uri="{FF2B5EF4-FFF2-40B4-BE49-F238E27FC236}">
              <a16:creationId xmlns:a16="http://schemas.microsoft.com/office/drawing/2014/main" id="{05FFD0DB-084F-420F-8F2C-A5771D48751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559347" y="6143288"/>
          <a:ext cx="551888" cy="549589"/>
        </a:xfrm>
        <a:prstGeom prst="rect">
          <a:avLst/>
        </a:prstGeom>
      </xdr:spPr>
    </xdr:pic>
    <xdr:clientData/>
  </xdr:twoCellAnchor>
  <xdr:twoCellAnchor editAs="oneCell">
    <xdr:from>
      <xdr:col>29</xdr:col>
      <xdr:colOff>189712</xdr:colOff>
      <xdr:row>31</xdr:row>
      <xdr:rowOff>124609</xdr:rowOff>
    </xdr:from>
    <xdr:to>
      <xdr:col>30</xdr:col>
      <xdr:colOff>143211</xdr:colOff>
      <xdr:row>34</xdr:row>
      <xdr:rowOff>109258</xdr:rowOff>
    </xdr:to>
    <xdr:pic>
      <xdr:nvPicPr>
        <xdr:cNvPr id="80" name="Graphic 79" descr="Badge 3 with solid fill">
          <a:extLst>
            <a:ext uri="{FF2B5EF4-FFF2-40B4-BE49-F238E27FC236}">
              <a16:creationId xmlns:a16="http://schemas.microsoft.com/office/drawing/2014/main" id="{85F3C571-4C18-4971-ABAF-076B0F0E8274}"/>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7868112" y="6144409"/>
          <a:ext cx="563099" cy="556149"/>
        </a:xfrm>
        <a:prstGeom prst="rect">
          <a:avLst/>
        </a:prstGeom>
      </xdr:spPr>
    </xdr:pic>
    <xdr:clientData/>
  </xdr:twoCellAnchor>
  <xdr:twoCellAnchor editAs="oneCell">
    <xdr:from>
      <xdr:col>31</xdr:col>
      <xdr:colOff>454126</xdr:colOff>
      <xdr:row>31</xdr:row>
      <xdr:rowOff>104305</xdr:rowOff>
    </xdr:from>
    <xdr:to>
      <xdr:col>32</xdr:col>
      <xdr:colOff>396413</xdr:colOff>
      <xdr:row>34</xdr:row>
      <xdr:rowOff>79165</xdr:rowOff>
    </xdr:to>
    <xdr:pic>
      <xdr:nvPicPr>
        <xdr:cNvPr id="81" name="Graphic 80" descr="Badge 1 with solid fill">
          <a:extLst>
            <a:ext uri="{FF2B5EF4-FFF2-40B4-BE49-F238E27FC236}">
              <a16:creationId xmlns:a16="http://schemas.microsoft.com/office/drawing/2014/main" id="{81122230-06FA-48F1-B3E5-1694A175EF8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351726" y="6124105"/>
          <a:ext cx="551887" cy="546360"/>
        </a:xfrm>
        <a:prstGeom prst="rect">
          <a:avLst/>
        </a:prstGeom>
      </xdr:spPr>
    </xdr:pic>
    <xdr:clientData/>
  </xdr:twoCellAnchor>
  <xdr:twoCellAnchor editAs="oneCell">
    <xdr:from>
      <xdr:col>32</xdr:col>
      <xdr:colOff>168979</xdr:colOff>
      <xdr:row>31</xdr:row>
      <xdr:rowOff>104303</xdr:rowOff>
    </xdr:from>
    <xdr:to>
      <xdr:col>33</xdr:col>
      <xdr:colOff>111622</xdr:colOff>
      <xdr:row>34</xdr:row>
      <xdr:rowOff>87677</xdr:rowOff>
    </xdr:to>
    <xdr:pic>
      <xdr:nvPicPr>
        <xdr:cNvPr id="83" name="Graphic 82" descr="Badge 4 with solid fill">
          <a:extLst>
            <a:ext uri="{FF2B5EF4-FFF2-40B4-BE49-F238E27FC236}">
              <a16:creationId xmlns:a16="http://schemas.microsoft.com/office/drawing/2014/main" id="{B9051515-03BC-4E6E-A46A-B54B3CC0CF6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676179" y="6124103"/>
          <a:ext cx="552243" cy="554874"/>
        </a:xfrm>
        <a:prstGeom prst="rect">
          <a:avLst/>
        </a:prstGeom>
      </xdr:spPr>
    </xdr:pic>
    <xdr:clientData/>
  </xdr:twoCellAnchor>
  <xdr:twoCellAnchor editAs="oneCell">
    <xdr:from>
      <xdr:col>25</xdr:col>
      <xdr:colOff>204201</xdr:colOff>
      <xdr:row>44</xdr:row>
      <xdr:rowOff>115810</xdr:rowOff>
    </xdr:from>
    <xdr:to>
      <xdr:col>27</xdr:col>
      <xdr:colOff>273687</xdr:colOff>
      <xdr:row>51</xdr:row>
      <xdr:rowOff>89324</xdr:rowOff>
    </xdr:to>
    <xdr:pic>
      <xdr:nvPicPr>
        <xdr:cNvPr id="95" name="Graphic 94" descr="Arrow Right with solid fill">
          <a:extLst>
            <a:ext uri="{FF2B5EF4-FFF2-40B4-BE49-F238E27FC236}">
              <a16:creationId xmlns:a16="http://schemas.microsoft.com/office/drawing/2014/main" id="{DB5284CE-3FE7-4B3F-AED4-F9F35BCF66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9201398">
          <a:off x="15512237" y="8661096"/>
          <a:ext cx="1294129" cy="1307014"/>
        </a:xfrm>
        <a:prstGeom prst="rect">
          <a:avLst/>
        </a:prstGeom>
      </xdr:spPr>
    </xdr:pic>
    <xdr:clientData/>
  </xdr:twoCellAnchor>
  <xdr:twoCellAnchor editAs="oneCell">
    <xdr:from>
      <xdr:col>29</xdr:col>
      <xdr:colOff>581011</xdr:colOff>
      <xdr:row>41</xdr:row>
      <xdr:rowOff>16314</xdr:rowOff>
    </xdr:from>
    <xdr:to>
      <xdr:col>32</xdr:col>
      <xdr:colOff>37025</xdr:colOff>
      <xdr:row>48</xdr:row>
      <xdr:rowOff>1733</xdr:rowOff>
    </xdr:to>
    <xdr:pic>
      <xdr:nvPicPr>
        <xdr:cNvPr id="96" name="Graphic 95" descr="Arrow Right with solid fill">
          <a:extLst>
            <a:ext uri="{FF2B5EF4-FFF2-40B4-BE49-F238E27FC236}">
              <a16:creationId xmlns:a16="http://schemas.microsoft.com/office/drawing/2014/main" id="{48A1E09C-05E0-476C-9A84-457128434A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338332" y="7990100"/>
          <a:ext cx="1292979" cy="1307013"/>
        </a:xfrm>
        <a:prstGeom prst="rect">
          <a:avLst/>
        </a:prstGeom>
      </xdr:spPr>
    </xdr:pic>
    <xdr:clientData/>
  </xdr:twoCellAnchor>
  <xdr:twoCellAnchor editAs="oneCell">
    <xdr:from>
      <xdr:col>32</xdr:col>
      <xdr:colOff>384546</xdr:colOff>
      <xdr:row>41</xdr:row>
      <xdr:rowOff>83448</xdr:rowOff>
    </xdr:from>
    <xdr:to>
      <xdr:col>34</xdr:col>
      <xdr:colOff>454033</xdr:colOff>
      <xdr:row>48</xdr:row>
      <xdr:rowOff>60189</xdr:rowOff>
    </xdr:to>
    <xdr:pic>
      <xdr:nvPicPr>
        <xdr:cNvPr id="97" name="Graphic 96" descr="Arrow Right with solid fill">
          <a:extLst>
            <a:ext uri="{FF2B5EF4-FFF2-40B4-BE49-F238E27FC236}">
              <a16:creationId xmlns:a16="http://schemas.microsoft.com/office/drawing/2014/main" id="{461ABA48-B31D-4AA1-A759-7D4EC2E40E6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200244">
          <a:off x="19978832" y="8057234"/>
          <a:ext cx="1294130" cy="1310241"/>
        </a:xfrm>
        <a:prstGeom prst="rect">
          <a:avLst/>
        </a:prstGeom>
      </xdr:spPr>
    </xdr:pic>
    <xdr:clientData/>
  </xdr:twoCellAnchor>
  <xdr:twoCellAnchor editAs="oneCell">
    <xdr:from>
      <xdr:col>28</xdr:col>
      <xdr:colOff>499650</xdr:colOff>
      <xdr:row>62</xdr:row>
      <xdr:rowOff>5587</xdr:rowOff>
    </xdr:from>
    <xdr:to>
      <xdr:col>30</xdr:col>
      <xdr:colOff>177594</xdr:colOff>
      <xdr:row>66</xdr:row>
      <xdr:rowOff>137714</xdr:rowOff>
    </xdr:to>
    <xdr:pic>
      <xdr:nvPicPr>
        <xdr:cNvPr id="98" name="Graphic 97" descr="Badge 8 with solid fill">
          <a:extLst>
            <a:ext uri="{FF2B5EF4-FFF2-40B4-BE49-F238E27FC236}">
              <a16:creationId xmlns:a16="http://schemas.microsoft.com/office/drawing/2014/main" id="{6742F6E5-3338-4B66-BB20-E9011D786F7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442944" y="11951058"/>
          <a:ext cx="888179" cy="894127"/>
        </a:xfrm>
        <a:prstGeom prst="rect">
          <a:avLst/>
        </a:prstGeom>
      </xdr:spPr>
    </xdr:pic>
    <xdr:clientData/>
  </xdr:twoCellAnchor>
  <xdr:twoCellAnchor editAs="oneCell">
    <xdr:from>
      <xdr:col>27</xdr:col>
      <xdr:colOff>554064</xdr:colOff>
      <xdr:row>62</xdr:row>
      <xdr:rowOff>6579</xdr:rowOff>
    </xdr:from>
    <xdr:to>
      <xdr:col>29</xdr:col>
      <xdr:colOff>238838</xdr:colOff>
      <xdr:row>66</xdr:row>
      <xdr:rowOff>140196</xdr:rowOff>
    </xdr:to>
    <xdr:pic>
      <xdr:nvPicPr>
        <xdr:cNvPr id="99" name="Graphic 98" descr="Badge 1 with solid fill">
          <a:extLst>
            <a:ext uri="{FF2B5EF4-FFF2-40B4-BE49-F238E27FC236}">
              <a16:creationId xmlns:a16="http://schemas.microsoft.com/office/drawing/2014/main" id="{FEE52F3B-BDE6-4ED1-B45B-19551C1842C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892240" y="11952050"/>
          <a:ext cx="895010" cy="895617"/>
        </a:xfrm>
        <a:prstGeom prst="rect">
          <a:avLst/>
        </a:prstGeom>
      </xdr:spPr>
    </xdr:pic>
    <xdr:clientData/>
  </xdr:twoCellAnchor>
  <xdr:twoCellAnchor editAs="oneCell">
    <xdr:from>
      <xdr:col>34</xdr:col>
      <xdr:colOff>314049</xdr:colOff>
      <xdr:row>31</xdr:row>
      <xdr:rowOff>59613</xdr:rowOff>
    </xdr:from>
    <xdr:to>
      <xdr:col>35</xdr:col>
      <xdr:colOff>333666</xdr:colOff>
      <xdr:row>34</xdr:row>
      <xdr:rowOff>116073</xdr:rowOff>
    </xdr:to>
    <xdr:pic>
      <xdr:nvPicPr>
        <xdr:cNvPr id="101" name="Graphic 100" descr="Badge 4 with solid fill">
          <a:extLst>
            <a:ext uri="{FF2B5EF4-FFF2-40B4-BE49-F238E27FC236}">
              <a16:creationId xmlns:a16="http://schemas.microsoft.com/office/drawing/2014/main" id="{13432CD8-2EB2-4214-B17F-C969C4910DB9}"/>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21040449" y="6079413"/>
          <a:ext cx="629217" cy="627960"/>
        </a:xfrm>
        <a:prstGeom prst="rect">
          <a:avLst/>
        </a:prstGeom>
      </xdr:spPr>
    </xdr:pic>
    <xdr:clientData/>
  </xdr:twoCellAnchor>
  <xdr:twoCellAnchor editAs="oneCell">
    <xdr:from>
      <xdr:col>26</xdr:col>
      <xdr:colOff>78643</xdr:colOff>
      <xdr:row>65</xdr:row>
      <xdr:rowOff>105907</xdr:rowOff>
    </xdr:from>
    <xdr:to>
      <xdr:col>26</xdr:col>
      <xdr:colOff>471290</xdr:colOff>
      <xdr:row>67</xdr:row>
      <xdr:rowOff>108182</xdr:rowOff>
    </xdr:to>
    <xdr:pic>
      <xdr:nvPicPr>
        <xdr:cNvPr id="103" name="Graphic 102" descr="Badge 1 with solid fill">
          <a:extLst>
            <a:ext uri="{FF2B5EF4-FFF2-40B4-BE49-F238E27FC236}">
              <a16:creationId xmlns:a16="http://schemas.microsoft.com/office/drawing/2014/main" id="{2548B2AB-0909-4830-B02B-27FABD4513D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014382" y="12587798"/>
          <a:ext cx="392647" cy="383275"/>
        </a:xfrm>
        <a:prstGeom prst="rect">
          <a:avLst/>
        </a:prstGeom>
      </xdr:spPr>
    </xdr:pic>
    <xdr:clientData/>
  </xdr:twoCellAnchor>
  <xdr:twoCellAnchor editAs="oneCell">
    <xdr:from>
      <xdr:col>26</xdr:col>
      <xdr:colOff>377301</xdr:colOff>
      <xdr:row>52</xdr:row>
      <xdr:rowOff>183539</xdr:rowOff>
    </xdr:from>
    <xdr:to>
      <xdr:col>27</xdr:col>
      <xdr:colOff>257810</xdr:colOff>
      <xdr:row>55</xdr:row>
      <xdr:rowOff>101865</xdr:rowOff>
    </xdr:to>
    <xdr:pic>
      <xdr:nvPicPr>
        <xdr:cNvPr id="105" name="Graphic 104" descr="Badge 5 with solid fill">
          <a:extLst>
            <a:ext uri="{FF2B5EF4-FFF2-40B4-BE49-F238E27FC236}">
              <a16:creationId xmlns:a16="http://schemas.microsoft.com/office/drawing/2014/main" id="{A8FEE933-2EFA-44BA-8EAB-6406A0924F0B}"/>
            </a:ext>
          </a:extLst>
        </xdr:cNvPr>
        <xdr:cNvPicPr>
          <a:picLocks noChangeAspect="1"/>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297658" y="10252825"/>
          <a:ext cx="492831" cy="489826"/>
        </a:xfrm>
        <a:prstGeom prst="rect">
          <a:avLst/>
        </a:prstGeom>
      </xdr:spPr>
    </xdr:pic>
    <xdr:clientData/>
  </xdr:twoCellAnchor>
  <xdr:twoCellAnchor editAs="oneCell">
    <xdr:from>
      <xdr:col>26</xdr:col>
      <xdr:colOff>106802</xdr:colOff>
      <xdr:row>63</xdr:row>
      <xdr:rowOff>1545</xdr:rowOff>
    </xdr:from>
    <xdr:to>
      <xdr:col>26</xdr:col>
      <xdr:colOff>499449</xdr:colOff>
      <xdr:row>65</xdr:row>
      <xdr:rowOff>3820</xdr:rowOff>
    </xdr:to>
    <xdr:pic>
      <xdr:nvPicPr>
        <xdr:cNvPr id="109" name="Graphic 108" descr="Badge 1 with solid fill">
          <a:extLst>
            <a:ext uri="{FF2B5EF4-FFF2-40B4-BE49-F238E27FC236}">
              <a16:creationId xmlns:a16="http://schemas.microsoft.com/office/drawing/2014/main" id="{4F47765C-B5DE-4EED-AAC6-1026B162389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042541" y="12102436"/>
          <a:ext cx="392647" cy="383275"/>
        </a:xfrm>
        <a:prstGeom prst="rect">
          <a:avLst/>
        </a:prstGeom>
      </xdr:spPr>
    </xdr:pic>
    <xdr:clientData/>
  </xdr:twoCellAnchor>
  <xdr:twoCellAnchor editAs="oneCell">
    <xdr:from>
      <xdr:col>26</xdr:col>
      <xdr:colOff>311844</xdr:colOff>
      <xdr:row>62</xdr:row>
      <xdr:rowOff>182295</xdr:rowOff>
    </xdr:from>
    <xdr:to>
      <xdr:col>27</xdr:col>
      <xdr:colOff>104927</xdr:colOff>
      <xdr:row>65</xdr:row>
      <xdr:rowOff>20232</xdr:rowOff>
    </xdr:to>
    <xdr:pic>
      <xdr:nvPicPr>
        <xdr:cNvPr id="110" name="Graphic 109" descr="Badge 6 with solid fill">
          <a:extLst>
            <a:ext uri="{FF2B5EF4-FFF2-40B4-BE49-F238E27FC236}">
              <a16:creationId xmlns:a16="http://schemas.microsoft.com/office/drawing/2014/main" id="{796AAC57-B505-42EE-BFDB-11451E41E2C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247583" y="12092686"/>
          <a:ext cx="405996" cy="409437"/>
        </a:xfrm>
        <a:prstGeom prst="rect">
          <a:avLst/>
        </a:prstGeom>
      </xdr:spPr>
    </xdr:pic>
    <xdr:clientData/>
  </xdr:twoCellAnchor>
  <xdr:twoCellAnchor editAs="oneCell">
    <xdr:from>
      <xdr:col>31</xdr:col>
      <xdr:colOff>503241</xdr:colOff>
      <xdr:row>62</xdr:row>
      <xdr:rowOff>61372</xdr:rowOff>
    </xdr:from>
    <xdr:to>
      <xdr:col>33</xdr:col>
      <xdr:colOff>110084</xdr:colOff>
      <xdr:row>66</xdr:row>
      <xdr:rowOff>131442</xdr:rowOff>
    </xdr:to>
    <xdr:pic>
      <xdr:nvPicPr>
        <xdr:cNvPr id="111" name="Graphic 110" descr="Badge 6 with solid fill">
          <a:extLst>
            <a:ext uri="{FF2B5EF4-FFF2-40B4-BE49-F238E27FC236}">
              <a16:creationId xmlns:a16="http://schemas.microsoft.com/office/drawing/2014/main" id="{34B52C29-51F9-4206-B225-12FC6D0FED40}"/>
            </a:ext>
          </a:extLst>
        </xdr:cNvPr>
        <xdr:cNvPicPr>
          <a:picLocks noChangeAspect="1"/>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9261888" y="12006843"/>
          <a:ext cx="817078" cy="832070"/>
        </a:xfrm>
        <a:prstGeom prst="rect">
          <a:avLst/>
        </a:prstGeom>
      </xdr:spPr>
    </xdr:pic>
    <xdr:clientData/>
  </xdr:twoCellAnchor>
  <xdr:twoCellAnchor editAs="oneCell">
    <xdr:from>
      <xdr:col>28</xdr:col>
      <xdr:colOff>35421</xdr:colOff>
      <xdr:row>55</xdr:row>
      <xdr:rowOff>92661</xdr:rowOff>
    </xdr:from>
    <xdr:to>
      <xdr:col>29</xdr:col>
      <xdr:colOff>214038</xdr:colOff>
      <xdr:row>59</xdr:row>
      <xdr:rowOff>118554</xdr:rowOff>
    </xdr:to>
    <xdr:pic>
      <xdr:nvPicPr>
        <xdr:cNvPr id="112" name="Graphic 111" descr="Badge 7 with solid fill">
          <a:extLst>
            <a:ext uri="{FF2B5EF4-FFF2-40B4-BE49-F238E27FC236}">
              <a16:creationId xmlns:a16="http://schemas.microsoft.com/office/drawing/2014/main" id="{B540196E-D2C1-437B-9C51-09E7E508CD0E}"/>
            </a:ext>
          </a:extLst>
        </xdr:cNvPr>
        <xdr:cNvPicPr>
          <a:picLocks noChangeAspect="1"/>
        </xdr:cNvPicPr>
      </xdr:nvPicPr>
      <xdr:blipFill>
        <a:blip xmlns:r="http://schemas.openxmlformats.org/officeDocument/2006/relationships" r:embed="rId48">
          <a:extLst>
            <a:ext uri="{96DAC541-7B7A-43D3-8B79-37D633B846F1}">
              <asvg:svgBlip xmlns:asvg="http://schemas.microsoft.com/office/drawing/2016/SVG/main" r:embed="rId49"/>
            </a:ext>
          </a:extLst>
        </a:blip>
        <a:stretch>
          <a:fillRect/>
        </a:stretch>
      </xdr:blipFill>
      <xdr:spPr>
        <a:xfrm>
          <a:off x="16978715" y="10704632"/>
          <a:ext cx="783735" cy="787893"/>
        </a:xfrm>
        <a:prstGeom prst="rect">
          <a:avLst/>
        </a:prstGeom>
      </xdr:spPr>
    </xdr:pic>
    <xdr:clientData/>
  </xdr:twoCellAnchor>
  <xdr:twoCellAnchor editAs="oneCell">
    <xdr:from>
      <xdr:col>25</xdr:col>
      <xdr:colOff>586936</xdr:colOff>
      <xdr:row>56</xdr:row>
      <xdr:rowOff>47289</xdr:rowOff>
    </xdr:from>
    <xdr:to>
      <xdr:col>27</xdr:col>
      <xdr:colOff>438081</xdr:colOff>
      <xdr:row>62</xdr:row>
      <xdr:rowOff>78441</xdr:rowOff>
    </xdr:to>
    <xdr:pic>
      <xdr:nvPicPr>
        <xdr:cNvPr id="106" name="Graphic 105" descr="Arrow Right with solid fill">
          <a:extLst>
            <a:ext uri="{FF2B5EF4-FFF2-40B4-BE49-F238E27FC236}">
              <a16:creationId xmlns:a16="http://schemas.microsoft.com/office/drawing/2014/main" id="{3E35214E-442F-4DF6-9A70-088F2CB972F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6504333">
          <a:off x="15658491" y="10906146"/>
          <a:ext cx="1174152" cy="1061380"/>
        </a:xfrm>
        <a:prstGeom prst="rect">
          <a:avLst/>
        </a:prstGeom>
      </xdr:spPr>
    </xdr:pic>
    <xdr:clientData/>
  </xdr:twoCellAnchor>
  <xdr:twoCellAnchor>
    <xdr:from>
      <xdr:col>35</xdr:col>
      <xdr:colOff>429824</xdr:colOff>
      <xdr:row>41</xdr:row>
      <xdr:rowOff>84062</xdr:rowOff>
    </xdr:from>
    <xdr:to>
      <xdr:col>40</xdr:col>
      <xdr:colOff>159249</xdr:colOff>
      <xdr:row>53</xdr:row>
      <xdr:rowOff>36438</xdr:rowOff>
    </xdr:to>
    <xdr:sp macro="" textlink="">
      <xdr:nvSpPr>
        <xdr:cNvPr id="114" name="Rectangle 113">
          <a:extLst>
            <a:ext uri="{FF2B5EF4-FFF2-40B4-BE49-F238E27FC236}">
              <a16:creationId xmlns:a16="http://schemas.microsoft.com/office/drawing/2014/main" id="{4FBD7344-5D1D-8ED6-E64D-1BED27BE044A}"/>
            </a:ext>
          </a:extLst>
        </xdr:cNvPr>
        <xdr:cNvSpPr/>
      </xdr:nvSpPr>
      <xdr:spPr>
        <a:xfrm>
          <a:off x="21861074" y="8057848"/>
          <a:ext cx="2791032" cy="2238376"/>
        </a:xfrm>
        <a:prstGeom prst="rect">
          <a:avLst/>
        </a:prstGeom>
        <a:solidFill>
          <a:srgbClr val="7030A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a-DK" sz="1100"/>
        </a:p>
      </xdr:txBody>
    </xdr:sp>
    <xdr:clientData/>
  </xdr:twoCellAnchor>
  <xdr:twoCellAnchor editAs="oneCell">
    <xdr:from>
      <xdr:col>36</xdr:col>
      <xdr:colOff>68326</xdr:colOff>
      <xdr:row>43</xdr:row>
      <xdr:rowOff>28012</xdr:rowOff>
    </xdr:from>
    <xdr:to>
      <xdr:col>38</xdr:col>
      <xdr:colOff>349291</xdr:colOff>
      <xdr:row>51</xdr:row>
      <xdr:rowOff>521</xdr:rowOff>
    </xdr:to>
    <xdr:pic>
      <xdr:nvPicPr>
        <xdr:cNvPr id="118" name="Graphic 117" descr="Continuous Improvement with solid fill">
          <a:extLst>
            <a:ext uri="{FF2B5EF4-FFF2-40B4-BE49-F238E27FC236}">
              <a16:creationId xmlns:a16="http://schemas.microsoft.com/office/drawing/2014/main" id="{AF337AB9-7CD0-C694-ECB6-3A3E4CEC0BE7}"/>
            </a:ext>
          </a:extLst>
        </xdr:cNvPr>
        <xdr:cNvPicPr>
          <a:picLocks noChangeAspect="1"/>
        </xdr:cNvPicPr>
      </xdr:nvPicPr>
      <xdr:blipFill>
        <a:blip xmlns:r="http://schemas.openxmlformats.org/officeDocument/2006/relationships" r:embed="rId50">
          <a:extLst>
            <a:ext uri="{96DAC541-7B7A-43D3-8B79-37D633B846F1}">
              <asvg:svgBlip xmlns:asvg="http://schemas.microsoft.com/office/drawing/2016/SVG/main" r:embed="rId51"/>
            </a:ext>
          </a:extLst>
        </a:blip>
        <a:stretch>
          <a:fillRect/>
        </a:stretch>
      </xdr:blipFill>
      <xdr:spPr>
        <a:xfrm>
          <a:off x="22111897" y="8382798"/>
          <a:ext cx="1505608" cy="1489365"/>
        </a:xfrm>
        <a:prstGeom prst="rect">
          <a:avLst/>
        </a:prstGeom>
      </xdr:spPr>
    </xdr:pic>
    <xdr:clientData/>
  </xdr:twoCellAnchor>
  <xdr:twoCellAnchor editAs="oneCell">
    <xdr:from>
      <xdr:col>9</xdr:col>
      <xdr:colOff>140096</xdr:colOff>
      <xdr:row>64</xdr:row>
      <xdr:rowOff>146894</xdr:rowOff>
    </xdr:from>
    <xdr:to>
      <xdr:col>10</xdr:col>
      <xdr:colOff>448357</xdr:colOff>
      <xdr:row>69</xdr:row>
      <xdr:rowOff>108794</xdr:rowOff>
    </xdr:to>
    <xdr:pic>
      <xdr:nvPicPr>
        <xdr:cNvPr id="120" name="Graphic 119" descr="Enter with solid fill">
          <a:extLst>
            <a:ext uri="{FF2B5EF4-FFF2-40B4-BE49-F238E27FC236}">
              <a16:creationId xmlns:a16="http://schemas.microsoft.com/office/drawing/2014/main" id="{85367553-4A15-3626-EF7D-2313A538F363}"/>
            </a:ext>
          </a:extLst>
        </xdr:cNvPr>
        <xdr:cNvPicPr>
          <a:picLocks noChangeAspect="1"/>
        </xdr:cNvPicPr>
      </xdr:nvPicPr>
      <xdr:blipFill>
        <a:blip xmlns:r="http://schemas.openxmlformats.org/officeDocument/2006/relationships" r:embed="rId52">
          <a:extLst>
            <a:ext uri="{96DAC541-7B7A-43D3-8B79-37D633B846F1}">
              <asvg:svgBlip xmlns:asvg="http://schemas.microsoft.com/office/drawing/2016/SVG/main" r:embed="rId53"/>
            </a:ext>
          </a:extLst>
        </a:blip>
        <a:stretch>
          <a:fillRect/>
        </a:stretch>
      </xdr:blipFill>
      <xdr:spPr>
        <a:xfrm>
          <a:off x="5650989" y="12502180"/>
          <a:ext cx="920582" cy="914400"/>
        </a:xfrm>
        <a:prstGeom prst="rect">
          <a:avLst/>
        </a:prstGeom>
      </xdr:spPr>
    </xdr:pic>
    <xdr:clientData/>
  </xdr:twoCellAnchor>
  <xdr:twoCellAnchor editAs="oneCell">
    <xdr:from>
      <xdr:col>11</xdr:col>
      <xdr:colOff>86588</xdr:colOff>
      <xdr:row>57</xdr:row>
      <xdr:rowOff>129175</xdr:rowOff>
    </xdr:from>
    <xdr:to>
      <xdr:col>13</xdr:col>
      <xdr:colOff>154557</xdr:colOff>
      <xdr:row>64</xdr:row>
      <xdr:rowOff>102687</xdr:rowOff>
    </xdr:to>
    <xdr:pic>
      <xdr:nvPicPr>
        <xdr:cNvPr id="129" name="Graphic 128" descr="Arrow Right with solid fill">
          <a:extLst>
            <a:ext uri="{FF2B5EF4-FFF2-40B4-BE49-F238E27FC236}">
              <a16:creationId xmlns:a16="http://schemas.microsoft.com/office/drawing/2014/main" id="{071B6C7A-AB54-4F23-977A-9643E40EC72C}"/>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220252">
          <a:off x="6822124" y="11150961"/>
          <a:ext cx="1292612" cy="1307012"/>
        </a:xfrm>
        <a:prstGeom prst="rect">
          <a:avLst/>
        </a:prstGeom>
      </xdr:spPr>
    </xdr:pic>
    <xdr:clientData/>
  </xdr:twoCellAnchor>
  <xdr:twoCellAnchor editAs="oneCell">
    <xdr:from>
      <xdr:col>44</xdr:col>
      <xdr:colOff>134688</xdr:colOff>
      <xdr:row>42</xdr:row>
      <xdr:rowOff>14671</xdr:rowOff>
    </xdr:from>
    <xdr:to>
      <xdr:col>47</xdr:col>
      <xdr:colOff>278901</xdr:colOff>
      <xdr:row>52</xdr:row>
      <xdr:rowOff>105193</xdr:rowOff>
    </xdr:to>
    <xdr:pic>
      <xdr:nvPicPr>
        <xdr:cNvPr id="92" name="Graphic 130" descr="Delivery outline">
          <a:extLst>
            <a:ext uri="{FF2B5EF4-FFF2-40B4-BE49-F238E27FC236}">
              <a16:creationId xmlns:a16="http://schemas.microsoft.com/office/drawing/2014/main" id="{06EA1B93-1C40-4020-ACBF-B4AFC56DBEC8}"/>
            </a:ext>
          </a:extLst>
        </xdr:cNvPr>
        <xdr:cNvPicPr>
          <a:picLocks noChangeAspect="1"/>
        </xdr:cNvPicPr>
      </xdr:nvPicPr>
      <xdr:blipFill>
        <a:blip xmlns:r="http://schemas.openxmlformats.org/officeDocument/2006/relationships" r:embed="rId54">
          <a:extLst>
            <a:ext uri="{96DAC541-7B7A-43D3-8B79-37D633B846F1}">
              <asvg:svgBlip xmlns:asvg="http://schemas.microsoft.com/office/drawing/2016/SVG/main" r:embed="rId55"/>
            </a:ext>
          </a:extLst>
        </a:blip>
        <a:stretch>
          <a:fillRect/>
        </a:stretch>
      </xdr:blipFill>
      <xdr:spPr>
        <a:xfrm>
          <a:off x="27076831" y="8178957"/>
          <a:ext cx="1981177" cy="1995522"/>
        </a:xfrm>
        <a:prstGeom prst="rect">
          <a:avLst/>
        </a:prstGeom>
      </xdr:spPr>
    </xdr:pic>
    <xdr:clientData/>
  </xdr:twoCellAnchor>
  <xdr:twoCellAnchor editAs="oneCell">
    <xdr:from>
      <xdr:col>8</xdr:col>
      <xdr:colOff>249931</xdr:colOff>
      <xdr:row>74</xdr:row>
      <xdr:rowOff>1785</xdr:rowOff>
    </xdr:from>
    <xdr:to>
      <xdr:col>11</xdr:col>
      <xdr:colOff>395609</xdr:colOff>
      <xdr:row>84</xdr:row>
      <xdr:rowOff>70327</xdr:rowOff>
    </xdr:to>
    <xdr:pic>
      <xdr:nvPicPr>
        <xdr:cNvPr id="132" name="Graphic 131" descr="Delivery outline">
          <a:extLst>
            <a:ext uri="{FF2B5EF4-FFF2-40B4-BE49-F238E27FC236}">
              <a16:creationId xmlns:a16="http://schemas.microsoft.com/office/drawing/2014/main" id="{43733FEC-A339-499A-9B21-5F0C8D935B56}"/>
            </a:ext>
          </a:extLst>
        </xdr:cNvPr>
        <xdr:cNvPicPr>
          <a:picLocks noChangeAspect="1"/>
        </xdr:cNvPicPr>
      </xdr:nvPicPr>
      <xdr:blipFill>
        <a:blip xmlns:r="http://schemas.openxmlformats.org/officeDocument/2006/relationships" r:embed="rId54">
          <a:extLst>
            <a:ext uri="{96DAC541-7B7A-43D3-8B79-37D633B846F1}">
              <asvg:svgBlip xmlns:asvg="http://schemas.microsoft.com/office/drawing/2016/SVG/main" r:embed="rId55"/>
            </a:ext>
          </a:extLst>
        </a:blip>
        <a:stretch>
          <a:fillRect/>
        </a:stretch>
      </xdr:blipFill>
      <xdr:spPr>
        <a:xfrm>
          <a:off x="5157728" y="14337717"/>
          <a:ext cx="1986101" cy="2005830"/>
        </a:xfrm>
        <a:prstGeom prst="rect">
          <a:avLst/>
        </a:prstGeom>
      </xdr:spPr>
    </xdr:pic>
    <xdr:clientData/>
  </xdr:twoCellAnchor>
  <xdr:twoCellAnchor editAs="oneCell">
    <xdr:from>
      <xdr:col>8</xdr:col>
      <xdr:colOff>429516</xdr:colOff>
      <xdr:row>56</xdr:row>
      <xdr:rowOff>168927</xdr:rowOff>
    </xdr:from>
    <xdr:to>
      <xdr:col>10</xdr:col>
      <xdr:colOff>508482</xdr:colOff>
      <xdr:row>64</xdr:row>
      <xdr:rowOff>81643</xdr:rowOff>
    </xdr:to>
    <xdr:pic>
      <xdr:nvPicPr>
        <xdr:cNvPr id="133" name="Graphic 132" descr="Arrow Right with solid fill">
          <a:extLst>
            <a:ext uri="{FF2B5EF4-FFF2-40B4-BE49-F238E27FC236}">
              <a16:creationId xmlns:a16="http://schemas.microsoft.com/office/drawing/2014/main" id="{C9D64D03-FC31-49C0-B685-14E5A79D97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6200000">
          <a:off x="5261534" y="11066766"/>
          <a:ext cx="1436716" cy="1303609"/>
        </a:xfrm>
        <a:prstGeom prst="rect">
          <a:avLst/>
        </a:prstGeom>
      </xdr:spPr>
    </xdr:pic>
    <xdr:clientData/>
  </xdr:twoCellAnchor>
  <xdr:twoCellAnchor editAs="oneCell">
    <xdr:from>
      <xdr:col>30</xdr:col>
      <xdr:colOff>316367</xdr:colOff>
      <xdr:row>59</xdr:row>
      <xdr:rowOff>101123</xdr:rowOff>
    </xdr:from>
    <xdr:to>
      <xdr:col>31</xdr:col>
      <xdr:colOff>147097</xdr:colOff>
      <xdr:row>61</xdr:row>
      <xdr:rowOff>161530</xdr:rowOff>
    </xdr:to>
    <xdr:pic>
      <xdr:nvPicPr>
        <xdr:cNvPr id="138" name="Graphic 137" descr="Mining tools with solid fill">
          <a:extLst>
            <a:ext uri="{FF2B5EF4-FFF2-40B4-BE49-F238E27FC236}">
              <a16:creationId xmlns:a16="http://schemas.microsoft.com/office/drawing/2014/main" id="{F76B048F-3762-2046-2717-1181E3592E9E}"/>
            </a:ext>
          </a:extLst>
        </xdr:cNvPr>
        <xdr:cNvPicPr>
          <a:picLocks noChangeAspect="1"/>
        </xdr:cNvPicPr>
      </xdr:nvPicPr>
      <xdr:blipFill>
        <a:blip xmlns:r="http://schemas.openxmlformats.org/officeDocument/2006/relationships" r:embed="rId56">
          <a:extLst>
            <a:ext uri="{96DAC541-7B7A-43D3-8B79-37D633B846F1}">
              <asvg:svgBlip xmlns:asvg="http://schemas.microsoft.com/office/drawing/2016/SVG/main" r:embed="rId57"/>
            </a:ext>
          </a:extLst>
        </a:blip>
        <a:stretch>
          <a:fillRect/>
        </a:stretch>
      </xdr:blipFill>
      <xdr:spPr>
        <a:xfrm>
          <a:off x="18469896" y="11475094"/>
          <a:ext cx="435848" cy="441407"/>
        </a:xfrm>
        <a:prstGeom prst="rect">
          <a:avLst/>
        </a:prstGeom>
      </xdr:spPr>
    </xdr:pic>
    <xdr:clientData/>
  </xdr:twoCellAnchor>
  <xdr:twoCellAnchor editAs="oneCell">
    <xdr:from>
      <xdr:col>35</xdr:col>
      <xdr:colOff>360908</xdr:colOff>
      <xdr:row>59</xdr:row>
      <xdr:rowOff>84623</xdr:rowOff>
    </xdr:from>
    <xdr:to>
      <xdr:col>37</xdr:col>
      <xdr:colOff>61197</xdr:colOff>
      <xdr:row>64</xdr:row>
      <xdr:rowOff>46523</xdr:rowOff>
    </xdr:to>
    <xdr:pic>
      <xdr:nvPicPr>
        <xdr:cNvPr id="140" name="Graphic 139" descr="Boardroom with solid fill">
          <a:extLst>
            <a:ext uri="{FF2B5EF4-FFF2-40B4-BE49-F238E27FC236}">
              <a16:creationId xmlns:a16="http://schemas.microsoft.com/office/drawing/2014/main" id="{76D55B2D-DF2F-9973-E3AC-B32A644E0F8E}"/>
            </a:ext>
          </a:extLst>
        </xdr:cNvPr>
        <xdr:cNvPicPr>
          <a:picLocks noChangeAspect="1"/>
        </xdr:cNvPicPr>
      </xdr:nvPicPr>
      <xdr:blipFill>
        <a:blip xmlns:r="http://schemas.openxmlformats.org/officeDocument/2006/relationships" r:embed="rId58">
          <a:extLst>
            <a:ext uri="{96DAC541-7B7A-43D3-8B79-37D633B846F1}">
              <asvg:svgBlip xmlns:asvg="http://schemas.microsoft.com/office/drawing/2016/SVG/main" r:embed="rId59"/>
            </a:ext>
          </a:extLst>
        </a:blip>
        <a:stretch>
          <a:fillRect/>
        </a:stretch>
      </xdr:blipFill>
      <xdr:spPr>
        <a:xfrm>
          <a:off x="21792158" y="11487409"/>
          <a:ext cx="924932" cy="914400"/>
        </a:xfrm>
        <a:prstGeom prst="rect">
          <a:avLst/>
        </a:prstGeom>
      </xdr:spPr>
    </xdr:pic>
    <xdr:clientData/>
  </xdr:twoCellAnchor>
  <xdr:twoCellAnchor editAs="oneCell">
    <xdr:from>
      <xdr:col>38</xdr:col>
      <xdr:colOff>228007</xdr:colOff>
      <xdr:row>59</xdr:row>
      <xdr:rowOff>104208</xdr:rowOff>
    </xdr:from>
    <xdr:to>
      <xdr:col>39</xdr:col>
      <xdr:colOff>545647</xdr:colOff>
      <xdr:row>64</xdr:row>
      <xdr:rowOff>69337</xdr:rowOff>
    </xdr:to>
    <xdr:pic>
      <xdr:nvPicPr>
        <xdr:cNvPr id="142" name="Graphic 141" descr="Office Chair with solid fill">
          <a:extLst>
            <a:ext uri="{FF2B5EF4-FFF2-40B4-BE49-F238E27FC236}">
              <a16:creationId xmlns:a16="http://schemas.microsoft.com/office/drawing/2014/main" id="{BE98BB13-EC6C-0B8D-5771-A825DAFFD4AB}"/>
            </a:ext>
          </a:extLst>
        </xdr:cNvPr>
        <xdr:cNvPicPr>
          <a:picLocks noChangeAspect="1"/>
        </xdr:cNvPicPr>
      </xdr:nvPicPr>
      <xdr:blipFill>
        <a:blip xmlns:r="http://schemas.openxmlformats.org/officeDocument/2006/relationships" r:embed="rId60">
          <a:extLst>
            <a:ext uri="{96DAC541-7B7A-43D3-8B79-37D633B846F1}">
              <asvg:svgBlip xmlns:asvg="http://schemas.microsoft.com/office/drawing/2016/SVG/main" r:embed="rId61"/>
            </a:ext>
          </a:extLst>
        </a:blip>
        <a:stretch>
          <a:fillRect/>
        </a:stretch>
      </xdr:blipFill>
      <xdr:spPr>
        <a:xfrm>
          <a:off x="23496221" y="11506994"/>
          <a:ext cx="929962" cy="917629"/>
        </a:xfrm>
        <a:prstGeom prst="rect">
          <a:avLst/>
        </a:prstGeom>
      </xdr:spPr>
    </xdr:pic>
    <xdr:clientData/>
  </xdr:twoCellAnchor>
  <xdr:twoCellAnchor editAs="oneCell">
    <xdr:from>
      <xdr:col>34</xdr:col>
      <xdr:colOff>319708</xdr:colOff>
      <xdr:row>54</xdr:row>
      <xdr:rowOff>96360</xdr:rowOff>
    </xdr:from>
    <xdr:to>
      <xdr:col>35</xdr:col>
      <xdr:colOff>349012</xdr:colOff>
      <xdr:row>57</xdr:row>
      <xdr:rowOff>160524</xdr:rowOff>
    </xdr:to>
    <xdr:pic>
      <xdr:nvPicPr>
        <xdr:cNvPr id="102" name="Graphic 144" descr="Door Closed with solid fill">
          <a:extLst>
            <a:ext uri="{FF2B5EF4-FFF2-40B4-BE49-F238E27FC236}">
              <a16:creationId xmlns:a16="http://schemas.microsoft.com/office/drawing/2014/main" id="{3BAE8259-F161-4DCE-459F-F76FC699936A}"/>
            </a:ext>
          </a:extLst>
        </xdr:cNvPr>
        <xdr:cNvPicPr>
          <a:picLocks noChangeAspect="1"/>
        </xdr:cNvPicPr>
      </xdr:nvPicPr>
      <xdr:blipFill>
        <a:blip xmlns:r="http://schemas.openxmlformats.org/officeDocument/2006/relationships" r:embed="rId62">
          <a:extLst>
            <a:ext uri="{96DAC541-7B7A-43D3-8B79-37D633B846F1}">
              <asvg:svgBlip xmlns:asvg="http://schemas.microsoft.com/office/drawing/2016/SVG/main" r:embed="rId63"/>
            </a:ext>
          </a:extLst>
        </a:blip>
        <a:stretch>
          <a:fillRect/>
        </a:stretch>
      </xdr:blipFill>
      <xdr:spPr>
        <a:xfrm>
          <a:off x="21138637" y="10546646"/>
          <a:ext cx="641625" cy="635664"/>
        </a:xfrm>
        <a:prstGeom prst="rect">
          <a:avLst/>
        </a:prstGeom>
      </xdr:spPr>
    </xdr:pic>
    <xdr:clientData/>
  </xdr:twoCellAnchor>
  <xdr:twoCellAnchor editAs="oneCell">
    <xdr:from>
      <xdr:col>9</xdr:col>
      <xdr:colOff>133815</xdr:colOff>
      <xdr:row>47</xdr:row>
      <xdr:rowOff>115765</xdr:rowOff>
    </xdr:from>
    <xdr:to>
      <xdr:col>11</xdr:col>
      <xdr:colOff>97581</xdr:colOff>
      <xdr:row>53</xdr:row>
      <xdr:rowOff>166872</xdr:rowOff>
    </xdr:to>
    <xdr:pic>
      <xdr:nvPicPr>
        <xdr:cNvPr id="148" name="Graphic 147" descr="Arrow Right with solid fill">
          <a:extLst>
            <a:ext uri="{FF2B5EF4-FFF2-40B4-BE49-F238E27FC236}">
              <a16:creationId xmlns:a16="http://schemas.microsoft.com/office/drawing/2014/main" id="{C1EDED27-A66B-4D26-A8CA-33F6A10177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6537865">
          <a:off x="5641859" y="9235400"/>
          <a:ext cx="1194107" cy="1188409"/>
        </a:xfrm>
        <a:prstGeom prst="rect">
          <a:avLst/>
        </a:prstGeom>
      </xdr:spPr>
    </xdr:pic>
    <xdr:clientData/>
  </xdr:twoCellAnchor>
  <xdr:twoCellAnchor editAs="oneCell">
    <xdr:from>
      <xdr:col>29</xdr:col>
      <xdr:colOff>60279</xdr:colOff>
      <xdr:row>38</xdr:row>
      <xdr:rowOff>140680</xdr:rowOff>
    </xdr:from>
    <xdr:to>
      <xdr:col>32</xdr:col>
      <xdr:colOff>235841</xdr:colOff>
      <xdr:row>49</xdr:row>
      <xdr:rowOff>60544</xdr:rowOff>
    </xdr:to>
    <xdr:pic>
      <xdr:nvPicPr>
        <xdr:cNvPr id="150" name="Graphic 149" descr="Merger with solid fill">
          <a:extLst>
            <a:ext uri="{FF2B5EF4-FFF2-40B4-BE49-F238E27FC236}">
              <a16:creationId xmlns:a16="http://schemas.microsoft.com/office/drawing/2014/main" id="{9888804D-8C79-8298-FA69-69A6E9A8B4CD}"/>
            </a:ext>
          </a:extLst>
        </xdr:cNvPr>
        <xdr:cNvPicPr>
          <a:picLocks noChangeAspect="1"/>
        </xdr:cNvPicPr>
      </xdr:nvPicPr>
      <xdr:blipFill>
        <a:blip xmlns:r="http://schemas.openxmlformats.org/officeDocument/2006/relationships" r:embed="rId64">
          <a:extLst>
            <a:ext uri="{96DAC541-7B7A-43D3-8B79-37D633B846F1}">
              <asvg:svgBlip xmlns:asvg="http://schemas.microsoft.com/office/drawing/2016/SVG/main" r:embed="rId65"/>
            </a:ext>
          </a:extLst>
        </a:blip>
        <a:stretch>
          <a:fillRect/>
        </a:stretch>
      </xdr:blipFill>
      <xdr:spPr>
        <a:xfrm rot="15435439">
          <a:off x="17816182" y="7544384"/>
          <a:ext cx="2015364" cy="2012527"/>
        </a:xfrm>
        <a:prstGeom prst="rect">
          <a:avLst/>
        </a:prstGeom>
      </xdr:spPr>
    </xdr:pic>
    <xdr:clientData/>
  </xdr:twoCellAnchor>
  <xdr:twoCellAnchor editAs="oneCell">
    <xdr:from>
      <xdr:col>21</xdr:col>
      <xdr:colOff>428414</xdr:colOff>
      <xdr:row>58</xdr:row>
      <xdr:rowOff>36630</xdr:rowOff>
    </xdr:from>
    <xdr:to>
      <xdr:col>23</xdr:col>
      <xdr:colOff>278571</xdr:colOff>
      <xdr:row>63</xdr:row>
      <xdr:rowOff>160114</xdr:rowOff>
    </xdr:to>
    <xdr:pic>
      <xdr:nvPicPr>
        <xdr:cNvPr id="152" name="Graphic 151" descr="Line arrow: Slight curve with solid fill">
          <a:extLst>
            <a:ext uri="{FF2B5EF4-FFF2-40B4-BE49-F238E27FC236}">
              <a16:creationId xmlns:a16="http://schemas.microsoft.com/office/drawing/2014/main" id="{0D81CE7E-A5CB-50AA-E068-BF8E83E5A1C0}"/>
            </a:ext>
          </a:extLst>
        </xdr:cNvPr>
        <xdr:cNvPicPr>
          <a:picLocks noChangeAspect="1"/>
        </xdr:cNvPicPr>
      </xdr:nvPicPr>
      <xdr:blipFill>
        <a:blip xmlns:r="http://schemas.openxmlformats.org/officeDocument/2006/relationships" r:embed="rId66">
          <a:extLst>
            <a:ext uri="{96DAC541-7B7A-43D3-8B79-37D633B846F1}">
              <asvg:svgBlip xmlns:asvg="http://schemas.microsoft.com/office/drawing/2016/SVG/main" r:embed="rId67"/>
            </a:ext>
          </a:extLst>
        </a:blip>
        <a:stretch>
          <a:fillRect/>
        </a:stretch>
      </xdr:blipFill>
      <xdr:spPr>
        <a:xfrm rot="16200000">
          <a:off x="13299588" y="11185021"/>
          <a:ext cx="1075984" cy="1075983"/>
        </a:xfrm>
        <a:prstGeom prst="rect">
          <a:avLst/>
        </a:prstGeom>
      </xdr:spPr>
    </xdr:pic>
    <xdr:clientData/>
  </xdr:twoCellAnchor>
  <xdr:twoCellAnchor editAs="oneCell">
    <xdr:from>
      <xdr:col>27</xdr:col>
      <xdr:colOff>135458</xdr:colOff>
      <xdr:row>39</xdr:row>
      <xdr:rowOff>73249</xdr:rowOff>
    </xdr:from>
    <xdr:to>
      <xdr:col>29</xdr:col>
      <xdr:colOff>203426</xdr:colOff>
      <xdr:row>46</xdr:row>
      <xdr:rowOff>46761</xdr:rowOff>
    </xdr:to>
    <xdr:pic>
      <xdr:nvPicPr>
        <xdr:cNvPr id="157" name="Graphic 156" descr="Arrow Right with solid fill">
          <a:extLst>
            <a:ext uri="{FF2B5EF4-FFF2-40B4-BE49-F238E27FC236}">
              <a16:creationId xmlns:a16="http://schemas.microsoft.com/office/drawing/2014/main" id="{0167C43B-7A59-4896-88C7-E948D0150CFF}"/>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20693569">
          <a:off x="16668137" y="7666035"/>
          <a:ext cx="1292610" cy="1307012"/>
        </a:xfrm>
        <a:prstGeom prst="rect">
          <a:avLst/>
        </a:prstGeom>
      </xdr:spPr>
    </xdr:pic>
    <xdr:clientData/>
  </xdr:twoCellAnchor>
  <xdr:twoCellAnchor editAs="oneCell">
    <xdr:from>
      <xdr:col>32</xdr:col>
      <xdr:colOff>49552</xdr:colOff>
      <xdr:row>59</xdr:row>
      <xdr:rowOff>102896</xdr:rowOff>
    </xdr:from>
    <xdr:to>
      <xdr:col>33</xdr:col>
      <xdr:colOff>21125</xdr:colOff>
      <xdr:row>62</xdr:row>
      <xdr:rowOff>95136</xdr:rowOff>
    </xdr:to>
    <xdr:pic>
      <xdr:nvPicPr>
        <xdr:cNvPr id="158" name="Graphic 157" descr="Arrow Right with solid fill">
          <a:extLst>
            <a:ext uri="{FF2B5EF4-FFF2-40B4-BE49-F238E27FC236}">
              <a16:creationId xmlns:a16="http://schemas.microsoft.com/office/drawing/2014/main" id="{6E5F5842-075D-4675-B788-A991A1A59D96}"/>
            </a:ext>
          </a:extLst>
        </xdr:cNvPr>
        <xdr:cNvPicPr>
          <a:picLocks noChangeAspect="1"/>
        </xdr:cNvPicPr>
      </xdr:nvPicPr>
      <xdr:blipFill>
        <a:blip xmlns:r="http://schemas.openxmlformats.org/officeDocument/2006/relationships" r:embed="rId68">
          <a:extLst>
            <a:ext uri="{96DAC541-7B7A-43D3-8B79-37D633B846F1}">
              <asvg:svgBlip xmlns:asvg="http://schemas.microsoft.com/office/drawing/2016/SVG/main" r:embed="rId69"/>
            </a:ext>
          </a:extLst>
        </a:blip>
        <a:stretch>
          <a:fillRect/>
        </a:stretch>
      </xdr:blipFill>
      <xdr:spPr>
        <a:xfrm rot="5400000">
          <a:off x="19419792" y="11470392"/>
          <a:ext cx="563740" cy="576690"/>
        </a:xfrm>
        <a:prstGeom prst="rect">
          <a:avLst/>
        </a:prstGeom>
      </xdr:spPr>
    </xdr:pic>
    <xdr:clientData/>
  </xdr:twoCellAnchor>
  <xdr:twoCellAnchor editAs="oneCell">
    <xdr:from>
      <xdr:col>30</xdr:col>
      <xdr:colOff>348662</xdr:colOff>
      <xdr:row>63</xdr:row>
      <xdr:rowOff>3976</xdr:rowOff>
    </xdr:from>
    <xdr:to>
      <xdr:col>31</xdr:col>
      <xdr:colOff>299487</xdr:colOff>
      <xdr:row>66</xdr:row>
      <xdr:rowOff>15812</xdr:rowOff>
    </xdr:to>
    <xdr:pic>
      <xdr:nvPicPr>
        <xdr:cNvPr id="159" name="Graphic 158" descr="Arrow Right with solid fill">
          <a:extLst>
            <a:ext uri="{FF2B5EF4-FFF2-40B4-BE49-F238E27FC236}">
              <a16:creationId xmlns:a16="http://schemas.microsoft.com/office/drawing/2014/main" id="{857DD930-D2E4-4D65-82F4-EECC076748B1}"/>
            </a:ext>
          </a:extLst>
        </xdr:cNvPr>
        <xdr:cNvPicPr>
          <a:picLocks noChangeAspect="1"/>
        </xdr:cNvPicPr>
      </xdr:nvPicPr>
      <xdr:blipFill>
        <a:blip xmlns:r="http://schemas.openxmlformats.org/officeDocument/2006/relationships" r:embed="rId68">
          <a:extLst>
            <a:ext uri="{96DAC541-7B7A-43D3-8B79-37D633B846F1}">
              <asvg:svgBlip xmlns:asvg="http://schemas.microsoft.com/office/drawing/2016/SVG/main" r:embed="rId69"/>
            </a:ext>
          </a:extLst>
        </a:blip>
        <a:stretch>
          <a:fillRect/>
        </a:stretch>
      </xdr:blipFill>
      <xdr:spPr>
        <a:xfrm rot="10800000">
          <a:off x="18502191" y="12139947"/>
          <a:ext cx="555943" cy="583336"/>
        </a:xfrm>
        <a:prstGeom prst="rect">
          <a:avLst/>
        </a:prstGeom>
      </xdr:spPr>
    </xdr:pic>
    <xdr:clientData/>
  </xdr:twoCellAnchor>
  <xdr:twoCellAnchor editAs="oneCell">
    <xdr:from>
      <xdr:col>28</xdr:col>
      <xdr:colOff>238646</xdr:colOff>
      <xdr:row>59</xdr:row>
      <xdr:rowOff>82189</xdr:rowOff>
    </xdr:from>
    <xdr:to>
      <xdr:col>29</xdr:col>
      <xdr:colOff>209065</xdr:colOff>
      <xdr:row>62</xdr:row>
      <xdr:rowOff>74429</xdr:rowOff>
    </xdr:to>
    <xdr:pic>
      <xdr:nvPicPr>
        <xdr:cNvPr id="160" name="Graphic 159" descr="Arrow Right with solid fill">
          <a:extLst>
            <a:ext uri="{FF2B5EF4-FFF2-40B4-BE49-F238E27FC236}">
              <a16:creationId xmlns:a16="http://schemas.microsoft.com/office/drawing/2014/main" id="{06089084-F137-446A-8AA8-CDDABB3F5B97}"/>
            </a:ext>
          </a:extLst>
        </xdr:cNvPr>
        <xdr:cNvPicPr>
          <a:picLocks noChangeAspect="1"/>
        </xdr:cNvPicPr>
      </xdr:nvPicPr>
      <xdr:blipFill>
        <a:blip xmlns:r="http://schemas.openxmlformats.org/officeDocument/2006/relationships" r:embed="rId68">
          <a:extLst>
            <a:ext uri="{96DAC541-7B7A-43D3-8B79-37D633B846F1}">
              <asvg:svgBlip xmlns:asvg="http://schemas.microsoft.com/office/drawing/2016/SVG/main" r:embed="rId69"/>
            </a:ext>
          </a:extLst>
        </a:blip>
        <a:stretch>
          <a:fillRect/>
        </a:stretch>
      </xdr:blipFill>
      <xdr:spPr>
        <a:xfrm rot="16200000">
          <a:off x="17187839" y="11450261"/>
          <a:ext cx="563740" cy="575537"/>
        </a:xfrm>
        <a:prstGeom prst="rect">
          <a:avLst/>
        </a:prstGeom>
      </xdr:spPr>
    </xdr:pic>
    <xdr:clientData/>
  </xdr:twoCellAnchor>
  <xdr:twoCellAnchor editAs="oneCell">
    <xdr:from>
      <xdr:col>17</xdr:col>
      <xdr:colOff>468793</xdr:colOff>
      <xdr:row>59</xdr:row>
      <xdr:rowOff>46635</xdr:rowOff>
    </xdr:from>
    <xdr:to>
      <xdr:col>18</xdr:col>
      <xdr:colOff>579450</xdr:colOff>
      <xdr:row>63</xdr:row>
      <xdr:rowOff>1287</xdr:rowOff>
    </xdr:to>
    <xdr:pic>
      <xdr:nvPicPr>
        <xdr:cNvPr id="161" name="Graphic 160" descr="Arrow Right with solid fill">
          <a:extLst>
            <a:ext uri="{FF2B5EF4-FFF2-40B4-BE49-F238E27FC236}">
              <a16:creationId xmlns:a16="http://schemas.microsoft.com/office/drawing/2014/main" id="{3E239BDA-F0B0-49A9-9D2D-4E8A323D982A}"/>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16395137">
          <a:off x="10881421" y="11446257"/>
          <a:ext cx="716652" cy="722979"/>
        </a:xfrm>
        <a:prstGeom prst="rect">
          <a:avLst/>
        </a:prstGeom>
      </xdr:spPr>
    </xdr:pic>
    <xdr:clientData/>
  </xdr:twoCellAnchor>
  <xdr:twoCellAnchor editAs="oneCell">
    <xdr:from>
      <xdr:col>18</xdr:col>
      <xdr:colOff>441303</xdr:colOff>
      <xdr:row>57</xdr:row>
      <xdr:rowOff>86274</xdr:rowOff>
    </xdr:from>
    <xdr:to>
      <xdr:col>19</xdr:col>
      <xdr:colOff>413551</xdr:colOff>
      <xdr:row>60</xdr:row>
      <xdr:rowOff>97864</xdr:rowOff>
    </xdr:to>
    <xdr:pic>
      <xdr:nvPicPr>
        <xdr:cNvPr id="162" name="Graphic 161" descr="Arrow Right with solid fill">
          <a:extLst>
            <a:ext uri="{FF2B5EF4-FFF2-40B4-BE49-F238E27FC236}">
              <a16:creationId xmlns:a16="http://schemas.microsoft.com/office/drawing/2014/main" id="{4837BFFC-9A4C-4C5E-B3F0-944D2336E12C}"/>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2290082">
          <a:off x="11463089" y="11108060"/>
          <a:ext cx="584569" cy="583090"/>
        </a:xfrm>
        <a:prstGeom prst="rect">
          <a:avLst/>
        </a:prstGeom>
      </xdr:spPr>
    </xdr:pic>
    <xdr:clientData/>
  </xdr:twoCellAnchor>
  <xdr:twoCellAnchor editAs="oneCell">
    <xdr:from>
      <xdr:col>20</xdr:col>
      <xdr:colOff>156543</xdr:colOff>
      <xdr:row>60</xdr:row>
      <xdr:rowOff>143452</xdr:rowOff>
    </xdr:from>
    <xdr:to>
      <xdr:col>21</xdr:col>
      <xdr:colOff>381195</xdr:colOff>
      <xdr:row>65</xdr:row>
      <xdr:rowOff>24799</xdr:rowOff>
    </xdr:to>
    <xdr:pic>
      <xdr:nvPicPr>
        <xdr:cNvPr id="163" name="Graphic 162" descr="Arrow Right with solid fill">
          <a:extLst>
            <a:ext uri="{FF2B5EF4-FFF2-40B4-BE49-F238E27FC236}">
              <a16:creationId xmlns:a16="http://schemas.microsoft.com/office/drawing/2014/main" id="{77E0D1C2-19BB-429E-B312-7D8FF351BCA0}"/>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1710093">
          <a:off x="12258896" y="11707923"/>
          <a:ext cx="829770" cy="833847"/>
        </a:xfrm>
        <a:prstGeom prst="rect">
          <a:avLst/>
        </a:prstGeom>
      </xdr:spPr>
    </xdr:pic>
    <xdr:clientData/>
  </xdr:twoCellAnchor>
  <xdr:twoCellAnchor editAs="oneCell">
    <xdr:from>
      <xdr:col>27</xdr:col>
      <xdr:colOff>203004</xdr:colOff>
      <xdr:row>50</xdr:row>
      <xdr:rowOff>12189</xdr:rowOff>
    </xdr:from>
    <xdr:to>
      <xdr:col>28</xdr:col>
      <xdr:colOff>475702</xdr:colOff>
      <xdr:row>54</xdr:row>
      <xdr:rowOff>154365</xdr:rowOff>
    </xdr:to>
    <xdr:pic>
      <xdr:nvPicPr>
        <xdr:cNvPr id="48" name="Graphic 165" descr="Arrow Right with solid fill">
          <a:extLst>
            <a:ext uri="{FF2B5EF4-FFF2-40B4-BE49-F238E27FC236}">
              <a16:creationId xmlns:a16="http://schemas.microsoft.com/office/drawing/2014/main" id="{99DC48B4-753D-4948-BF1F-23FF2D2F447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0328932">
          <a:off x="16735683" y="9700475"/>
          <a:ext cx="885019" cy="904176"/>
        </a:xfrm>
        <a:prstGeom prst="rect">
          <a:avLst/>
        </a:prstGeom>
      </xdr:spPr>
    </xdr:pic>
    <xdr:clientData/>
  </xdr:twoCellAnchor>
  <xdr:twoCellAnchor editAs="oneCell">
    <xdr:from>
      <xdr:col>28</xdr:col>
      <xdr:colOff>569181</xdr:colOff>
      <xdr:row>49</xdr:row>
      <xdr:rowOff>33930</xdr:rowOff>
    </xdr:from>
    <xdr:to>
      <xdr:col>30</xdr:col>
      <xdr:colOff>341617</xdr:colOff>
      <xdr:row>53</xdr:row>
      <xdr:rowOff>159207</xdr:rowOff>
    </xdr:to>
    <xdr:pic>
      <xdr:nvPicPr>
        <xdr:cNvPr id="167" name="Graphic 166" descr="Arrow Right with solid fill">
          <a:extLst>
            <a:ext uri="{FF2B5EF4-FFF2-40B4-BE49-F238E27FC236}">
              <a16:creationId xmlns:a16="http://schemas.microsoft.com/office/drawing/2014/main" id="{A319E3B2-1C8C-4A7C-AB11-5A67AA476B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1415833">
          <a:off x="17512475" y="9502901"/>
          <a:ext cx="982671" cy="887277"/>
        </a:xfrm>
        <a:prstGeom prst="rect">
          <a:avLst/>
        </a:prstGeom>
      </xdr:spPr>
    </xdr:pic>
    <xdr:clientData/>
  </xdr:twoCellAnchor>
  <xdr:twoCellAnchor editAs="oneCell">
    <xdr:from>
      <xdr:col>29</xdr:col>
      <xdr:colOff>536482</xdr:colOff>
      <xdr:row>46</xdr:row>
      <xdr:rowOff>127306</xdr:rowOff>
    </xdr:from>
    <xdr:to>
      <xdr:col>32</xdr:col>
      <xdr:colOff>267014</xdr:colOff>
      <xdr:row>54</xdr:row>
      <xdr:rowOff>176238</xdr:rowOff>
    </xdr:to>
    <xdr:pic>
      <xdr:nvPicPr>
        <xdr:cNvPr id="51" name="Graphic 168" descr="Acquisition with solid fill">
          <a:extLst>
            <a:ext uri="{FF2B5EF4-FFF2-40B4-BE49-F238E27FC236}">
              <a16:creationId xmlns:a16="http://schemas.microsoft.com/office/drawing/2014/main" id="{49AED24D-2553-CE15-A26D-2135DD55EACA}"/>
            </a:ext>
          </a:extLst>
        </xdr:cNvPr>
        <xdr:cNvPicPr>
          <a:picLocks noChangeAspect="1"/>
        </xdr:cNvPicPr>
      </xdr:nvPicPr>
      <xdr:blipFill>
        <a:blip xmlns:r="http://schemas.openxmlformats.org/officeDocument/2006/relationships" r:embed="rId70">
          <a:extLst>
            <a:ext uri="{96DAC541-7B7A-43D3-8B79-37D633B846F1}">
              <asvg:svgBlip xmlns:asvg="http://schemas.microsoft.com/office/drawing/2016/SVG/main" r:embed="rId71"/>
            </a:ext>
          </a:extLst>
        </a:blip>
        <a:stretch>
          <a:fillRect/>
        </a:stretch>
      </xdr:blipFill>
      <xdr:spPr>
        <a:xfrm rot="3908477">
          <a:off x="18071371" y="9038300"/>
          <a:ext cx="1572932" cy="1545885"/>
        </a:xfrm>
        <a:prstGeom prst="rect">
          <a:avLst/>
        </a:prstGeom>
      </xdr:spPr>
    </xdr:pic>
    <xdr:clientData/>
  </xdr:twoCellAnchor>
  <xdr:twoCellAnchor editAs="oneCell">
    <xdr:from>
      <xdr:col>7</xdr:col>
      <xdr:colOff>243075</xdr:colOff>
      <xdr:row>50</xdr:row>
      <xdr:rowOff>36879</xdr:rowOff>
    </xdr:from>
    <xdr:to>
      <xdr:col>9</xdr:col>
      <xdr:colOff>330889</xdr:colOff>
      <xdr:row>57</xdr:row>
      <xdr:rowOff>4381</xdr:rowOff>
    </xdr:to>
    <xdr:pic>
      <xdr:nvPicPr>
        <xdr:cNvPr id="170" name="Graphic 169" descr="Arrow Right with solid fill">
          <a:extLst>
            <a:ext uri="{FF2B5EF4-FFF2-40B4-BE49-F238E27FC236}">
              <a16:creationId xmlns:a16="http://schemas.microsoft.com/office/drawing/2014/main" id="{9A7D4CD5-5C3F-4A71-A98B-8BE398224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2482770">
          <a:off x="4529325" y="9725165"/>
          <a:ext cx="1312457" cy="1295446"/>
        </a:xfrm>
        <a:prstGeom prst="rect">
          <a:avLst/>
        </a:prstGeom>
      </xdr:spPr>
    </xdr:pic>
    <xdr:clientData/>
  </xdr:twoCellAnchor>
  <xdr:twoCellAnchor editAs="oneCell">
    <xdr:from>
      <xdr:col>6</xdr:col>
      <xdr:colOff>568525</xdr:colOff>
      <xdr:row>52</xdr:row>
      <xdr:rowOff>179293</xdr:rowOff>
    </xdr:from>
    <xdr:to>
      <xdr:col>9</xdr:col>
      <xdr:colOff>24334</xdr:colOff>
      <xdr:row>59</xdr:row>
      <xdr:rowOff>152805</xdr:rowOff>
    </xdr:to>
    <xdr:pic>
      <xdr:nvPicPr>
        <xdr:cNvPr id="171" name="Graphic 170" descr="Arrow Right with solid fill">
          <a:extLst>
            <a:ext uri="{FF2B5EF4-FFF2-40B4-BE49-F238E27FC236}">
              <a16:creationId xmlns:a16="http://schemas.microsoft.com/office/drawing/2014/main" id="{9C993FC1-1230-442E-A063-F2127C1107F5}"/>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2692241">
          <a:off x="4242454" y="10248579"/>
          <a:ext cx="1292773" cy="1307012"/>
        </a:xfrm>
        <a:prstGeom prst="rect">
          <a:avLst/>
        </a:prstGeom>
      </xdr:spPr>
    </xdr:pic>
    <xdr:clientData/>
  </xdr:twoCellAnchor>
  <xdr:twoCellAnchor editAs="oneCell">
    <xdr:from>
      <xdr:col>19</xdr:col>
      <xdr:colOff>100734</xdr:colOff>
      <xdr:row>32</xdr:row>
      <xdr:rowOff>72463</xdr:rowOff>
    </xdr:from>
    <xdr:to>
      <xdr:col>20</xdr:col>
      <xdr:colOff>111041</xdr:colOff>
      <xdr:row>35</xdr:row>
      <xdr:rowOff>103465</xdr:rowOff>
    </xdr:to>
    <xdr:pic>
      <xdr:nvPicPr>
        <xdr:cNvPr id="52" name="Graphic 173" descr="Arrow Right with solid fill">
          <a:extLst>
            <a:ext uri="{FF2B5EF4-FFF2-40B4-BE49-F238E27FC236}">
              <a16:creationId xmlns:a16="http://schemas.microsoft.com/office/drawing/2014/main" id="{53AF6D7F-EF90-49BE-BB28-4E6F2450F3D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6200000">
          <a:off x="11756441" y="6257495"/>
          <a:ext cx="602502" cy="623220"/>
        </a:xfrm>
        <a:prstGeom prst="rect">
          <a:avLst/>
        </a:prstGeom>
      </xdr:spPr>
    </xdr:pic>
    <xdr:clientData/>
  </xdr:twoCellAnchor>
  <xdr:twoCellAnchor editAs="oneCell">
    <xdr:from>
      <xdr:col>11</xdr:col>
      <xdr:colOff>195452</xdr:colOff>
      <xdr:row>41</xdr:row>
      <xdr:rowOff>94028</xdr:rowOff>
    </xdr:from>
    <xdr:to>
      <xdr:col>13</xdr:col>
      <xdr:colOff>283266</xdr:colOff>
      <xdr:row>48</xdr:row>
      <xdr:rowOff>71107</xdr:rowOff>
    </xdr:to>
    <xdr:pic>
      <xdr:nvPicPr>
        <xdr:cNvPr id="175" name="Graphic 174" descr="Arrow Right with solid fill">
          <a:extLst>
            <a:ext uri="{FF2B5EF4-FFF2-40B4-BE49-F238E27FC236}">
              <a16:creationId xmlns:a16="http://schemas.microsoft.com/office/drawing/2014/main" id="{9B85154A-D0B2-4E68-9DA1-35FBA558D9ED}"/>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a:off x="6930988" y="8067814"/>
          <a:ext cx="1312457" cy="1310579"/>
        </a:xfrm>
        <a:prstGeom prst="rect">
          <a:avLst/>
        </a:prstGeom>
      </xdr:spPr>
    </xdr:pic>
    <xdr:clientData/>
  </xdr:twoCellAnchor>
  <xdr:twoCellAnchor editAs="oneCell">
    <xdr:from>
      <xdr:col>21</xdr:col>
      <xdr:colOff>34053</xdr:colOff>
      <xdr:row>37</xdr:row>
      <xdr:rowOff>124285</xdr:rowOff>
    </xdr:from>
    <xdr:to>
      <xdr:col>23</xdr:col>
      <xdr:colOff>118540</xdr:colOff>
      <xdr:row>44</xdr:row>
      <xdr:rowOff>89458</xdr:rowOff>
    </xdr:to>
    <xdr:pic>
      <xdr:nvPicPr>
        <xdr:cNvPr id="176" name="Graphic 175" descr="Arrow Right with solid fill">
          <a:extLst>
            <a:ext uri="{FF2B5EF4-FFF2-40B4-BE49-F238E27FC236}">
              <a16:creationId xmlns:a16="http://schemas.microsoft.com/office/drawing/2014/main" id="{9106920E-9937-4487-B070-44A104088441}"/>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rot="20893983">
          <a:off x="12741524" y="7307256"/>
          <a:ext cx="1294722" cy="1298673"/>
        </a:xfrm>
        <a:prstGeom prst="rect">
          <a:avLst/>
        </a:prstGeom>
      </xdr:spPr>
    </xdr:pic>
    <xdr:clientData/>
  </xdr:twoCellAnchor>
  <xdr:twoCellAnchor editAs="oneCell">
    <xdr:from>
      <xdr:col>23</xdr:col>
      <xdr:colOff>287339</xdr:colOff>
      <xdr:row>36</xdr:row>
      <xdr:rowOff>122604</xdr:rowOff>
    </xdr:from>
    <xdr:to>
      <xdr:col>25</xdr:col>
      <xdr:colOff>375152</xdr:colOff>
      <xdr:row>43</xdr:row>
      <xdr:rowOff>84549</xdr:rowOff>
    </xdr:to>
    <xdr:pic>
      <xdr:nvPicPr>
        <xdr:cNvPr id="177" name="Graphic 176" descr="Arrow Right with solid fill">
          <a:extLst>
            <a:ext uri="{FF2B5EF4-FFF2-40B4-BE49-F238E27FC236}">
              <a16:creationId xmlns:a16="http://schemas.microsoft.com/office/drawing/2014/main" id="{307F5747-3C11-42FD-BD3C-43CD2DCBF7E0}"/>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rot="21388595">
          <a:off x="14205045" y="7115075"/>
          <a:ext cx="1298048" cy="1295445"/>
        </a:xfrm>
        <a:prstGeom prst="rect">
          <a:avLst/>
        </a:prstGeom>
      </xdr:spPr>
    </xdr:pic>
    <xdr:clientData/>
  </xdr:twoCellAnchor>
  <xdr:twoCellAnchor editAs="oneCell">
    <xdr:from>
      <xdr:col>18</xdr:col>
      <xdr:colOff>414524</xdr:colOff>
      <xdr:row>39</xdr:row>
      <xdr:rowOff>46404</xdr:rowOff>
    </xdr:from>
    <xdr:to>
      <xdr:col>20</xdr:col>
      <xdr:colOff>502336</xdr:colOff>
      <xdr:row>46</xdr:row>
      <xdr:rowOff>8349</xdr:rowOff>
    </xdr:to>
    <xdr:pic>
      <xdr:nvPicPr>
        <xdr:cNvPr id="178" name="Graphic 177" descr="Arrow Right with solid fill">
          <a:extLst>
            <a:ext uri="{FF2B5EF4-FFF2-40B4-BE49-F238E27FC236}">
              <a16:creationId xmlns:a16="http://schemas.microsoft.com/office/drawing/2014/main" id="{E0991206-AA20-47F5-998B-8236FAEE5FA9}"/>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rot="20718697">
          <a:off x="11436310" y="7639190"/>
          <a:ext cx="1312455" cy="1295445"/>
        </a:xfrm>
        <a:prstGeom prst="rect">
          <a:avLst/>
        </a:prstGeom>
      </xdr:spPr>
    </xdr:pic>
    <xdr:clientData/>
  </xdr:twoCellAnchor>
  <xdr:twoCellAnchor editAs="oneCell">
    <xdr:from>
      <xdr:col>16</xdr:col>
      <xdr:colOff>71625</xdr:colOff>
      <xdr:row>40</xdr:row>
      <xdr:rowOff>170228</xdr:rowOff>
    </xdr:from>
    <xdr:to>
      <xdr:col>18</xdr:col>
      <xdr:colOff>159438</xdr:colOff>
      <xdr:row>47</xdr:row>
      <xdr:rowOff>132173</xdr:rowOff>
    </xdr:to>
    <xdr:pic>
      <xdr:nvPicPr>
        <xdr:cNvPr id="179" name="Graphic 178" descr="Arrow Right with solid fill">
          <a:extLst>
            <a:ext uri="{FF2B5EF4-FFF2-40B4-BE49-F238E27FC236}">
              <a16:creationId xmlns:a16="http://schemas.microsoft.com/office/drawing/2014/main" id="{E7CC343C-FE9B-43CF-A122-30FC42C57DC8}"/>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rot="21197198">
          <a:off x="9868768" y="7953514"/>
          <a:ext cx="1312456" cy="1295445"/>
        </a:xfrm>
        <a:prstGeom prst="rect">
          <a:avLst/>
        </a:prstGeom>
      </xdr:spPr>
    </xdr:pic>
    <xdr:clientData/>
  </xdr:twoCellAnchor>
  <xdr:twoCellAnchor editAs="oneCell">
    <xdr:from>
      <xdr:col>13</xdr:col>
      <xdr:colOff>443100</xdr:colOff>
      <xdr:row>41</xdr:row>
      <xdr:rowOff>84502</xdr:rowOff>
    </xdr:from>
    <xdr:to>
      <xdr:col>15</xdr:col>
      <xdr:colOff>530910</xdr:colOff>
      <xdr:row>48</xdr:row>
      <xdr:rowOff>46446</xdr:rowOff>
    </xdr:to>
    <xdr:pic>
      <xdr:nvPicPr>
        <xdr:cNvPr id="180" name="Graphic 179" descr="Arrow Right with solid fill">
          <a:extLst>
            <a:ext uri="{FF2B5EF4-FFF2-40B4-BE49-F238E27FC236}">
              <a16:creationId xmlns:a16="http://schemas.microsoft.com/office/drawing/2014/main" id="{9530624E-268E-4672-943E-B78FEEF810BC}"/>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rot="21401763">
          <a:off x="8403279" y="8058288"/>
          <a:ext cx="1312452" cy="1295444"/>
        </a:xfrm>
        <a:prstGeom prst="rect">
          <a:avLst/>
        </a:prstGeom>
      </xdr:spPr>
    </xdr:pic>
    <xdr:clientData/>
  </xdr:twoCellAnchor>
  <xdr:twoCellAnchor editAs="oneCell">
    <xdr:from>
      <xdr:col>27</xdr:col>
      <xdr:colOff>119161</xdr:colOff>
      <xdr:row>41</xdr:row>
      <xdr:rowOff>75546</xdr:rowOff>
    </xdr:from>
    <xdr:to>
      <xdr:col>29</xdr:col>
      <xdr:colOff>194429</xdr:colOff>
      <xdr:row>48</xdr:row>
      <xdr:rowOff>64447</xdr:rowOff>
    </xdr:to>
    <xdr:pic>
      <xdr:nvPicPr>
        <xdr:cNvPr id="87" name="Graphic 180" descr="Arrow Right with solid fill">
          <a:extLst>
            <a:ext uri="{FF2B5EF4-FFF2-40B4-BE49-F238E27FC236}">
              <a16:creationId xmlns:a16="http://schemas.microsoft.com/office/drawing/2014/main" id="{F4E8A5B4-12C1-42C4-A263-F6B4740C2CC6}"/>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rot="3125281">
          <a:off x="16640594" y="8060578"/>
          <a:ext cx="1322401" cy="1299910"/>
        </a:xfrm>
        <a:prstGeom prst="rect">
          <a:avLst/>
        </a:prstGeom>
      </xdr:spPr>
    </xdr:pic>
    <xdr:clientData/>
  </xdr:twoCellAnchor>
  <xdr:twoCellAnchor editAs="oneCell">
    <xdr:from>
      <xdr:col>25</xdr:col>
      <xdr:colOff>581380</xdr:colOff>
      <xdr:row>37</xdr:row>
      <xdr:rowOff>107836</xdr:rowOff>
    </xdr:from>
    <xdr:to>
      <xdr:col>27</xdr:col>
      <xdr:colOff>434752</xdr:colOff>
      <xdr:row>43</xdr:row>
      <xdr:rowOff>40637</xdr:rowOff>
    </xdr:to>
    <xdr:pic>
      <xdr:nvPicPr>
        <xdr:cNvPr id="183" name="Graphic 182" descr="Line arrow: Clockwise curve with solid fill">
          <a:extLst>
            <a:ext uri="{FF2B5EF4-FFF2-40B4-BE49-F238E27FC236}">
              <a16:creationId xmlns:a16="http://schemas.microsoft.com/office/drawing/2014/main" id="{6BFF5A99-7229-45C6-B320-C8A38563EFA2}"/>
            </a:ext>
          </a:extLst>
        </xdr:cNvPr>
        <xdr:cNvPicPr>
          <a:picLocks noChangeAspect="1"/>
        </xdr:cNvPicPr>
      </xdr:nvPicPr>
      <xdr:blipFill>
        <a:blip xmlns:r="http://schemas.openxmlformats.org/officeDocument/2006/relationships" r:embed="rId74">
          <a:extLst>
            <a:ext uri="{96DAC541-7B7A-43D3-8B79-37D633B846F1}">
              <asvg:svgBlip xmlns:asvg="http://schemas.microsoft.com/office/drawing/2016/SVG/main" r:embed="rId75"/>
            </a:ext>
          </a:extLst>
        </a:blip>
        <a:stretch>
          <a:fillRect/>
        </a:stretch>
      </xdr:blipFill>
      <xdr:spPr>
        <a:xfrm rot="8682634">
          <a:off x="15709321" y="7290807"/>
          <a:ext cx="1063607" cy="1075801"/>
        </a:xfrm>
        <a:prstGeom prst="rect">
          <a:avLst/>
        </a:prstGeom>
      </xdr:spPr>
    </xdr:pic>
    <xdr:clientData/>
  </xdr:twoCellAnchor>
  <xdr:twoCellAnchor editAs="oneCell">
    <xdr:from>
      <xdr:col>28</xdr:col>
      <xdr:colOff>295796</xdr:colOff>
      <xdr:row>47</xdr:row>
      <xdr:rowOff>141816</xdr:rowOff>
    </xdr:from>
    <xdr:to>
      <xdr:col>30</xdr:col>
      <xdr:colOff>375914</xdr:colOff>
      <xdr:row>55</xdr:row>
      <xdr:rowOff>160186</xdr:rowOff>
    </xdr:to>
    <xdr:pic>
      <xdr:nvPicPr>
        <xdr:cNvPr id="185" name="Graphic 184" descr="Arrow Right with solid fill">
          <a:extLst>
            <a:ext uri="{FF2B5EF4-FFF2-40B4-BE49-F238E27FC236}">
              <a16:creationId xmlns:a16="http://schemas.microsoft.com/office/drawing/2014/main" id="{EFFD94C8-4C52-44CB-BEC2-61F5DA391DEC}"/>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rot="3781591">
          <a:off x="17113082" y="9355795"/>
          <a:ext cx="1542370" cy="1290353"/>
        </a:xfrm>
        <a:prstGeom prst="rect">
          <a:avLst/>
        </a:prstGeom>
      </xdr:spPr>
    </xdr:pic>
    <xdr:clientData/>
  </xdr:twoCellAnchor>
  <xdr:twoCellAnchor editAs="oneCell">
    <xdr:from>
      <xdr:col>29</xdr:col>
      <xdr:colOff>104092</xdr:colOff>
      <xdr:row>56</xdr:row>
      <xdr:rowOff>91896</xdr:rowOff>
    </xdr:from>
    <xdr:to>
      <xdr:col>31</xdr:col>
      <xdr:colOff>15338</xdr:colOff>
      <xdr:row>62</xdr:row>
      <xdr:rowOff>117167</xdr:rowOff>
    </xdr:to>
    <xdr:pic>
      <xdr:nvPicPr>
        <xdr:cNvPr id="4" name="Graphic 185" descr="Line arrow: Clockwise curve with solid fill">
          <a:extLst>
            <a:ext uri="{FF2B5EF4-FFF2-40B4-BE49-F238E27FC236}">
              <a16:creationId xmlns:a16="http://schemas.microsoft.com/office/drawing/2014/main" id="{02BD0879-DCA1-4518-8A8A-A5A34B3EB76F}"/>
            </a:ext>
          </a:extLst>
        </xdr:cNvPr>
        <xdr:cNvPicPr>
          <a:picLocks noChangeAspect="1"/>
        </xdr:cNvPicPr>
      </xdr:nvPicPr>
      <xdr:blipFill>
        <a:blip xmlns:r="http://schemas.openxmlformats.org/officeDocument/2006/relationships" r:embed="rId74">
          <a:extLst>
            <a:ext uri="{96DAC541-7B7A-43D3-8B79-37D633B846F1}">
              <asvg:svgBlip xmlns:asvg="http://schemas.microsoft.com/office/drawing/2016/SVG/main" r:embed="rId75"/>
            </a:ext>
          </a:extLst>
        </a:blip>
        <a:stretch>
          <a:fillRect/>
        </a:stretch>
      </xdr:blipFill>
      <xdr:spPr>
        <a:xfrm rot="13097124">
          <a:off x="17682047" y="10967714"/>
          <a:ext cx="1130446" cy="1130171"/>
        </a:xfrm>
        <a:prstGeom prst="rect">
          <a:avLst/>
        </a:prstGeom>
      </xdr:spPr>
    </xdr:pic>
    <xdr:clientData/>
  </xdr:twoCellAnchor>
  <xdr:twoCellAnchor editAs="oneCell">
    <xdr:from>
      <xdr:col>18</xdr:col>
      <xdr:colOff>132958</xdr:colOff>
      <xdr:row>56</xdr:row>
      <xdr:rowOff>9740</xdr:rowOff>
    </xdr:from>
    <xdr:to>
      <xdr:col>19</xdr:col>
      <xdr:colOff>70374</xdr:colOff>
      <xdr:row>58</xdr:row>
      <xdr:rowOff>175383</xdr:rowOff>
    </xdr:to>
    <xdr:pic>
      <xdr:nvPicPr>
        <xdr:cNvPr id="191" name="Graphic 190" descr="Ruler with solid fill">
          <a:extLst>
            <a:ext uri="{FF2B5EF4-FFF2-40B4-BE49-F238E27FC236}">
              <a16:creationId xmlns:a16="http://schemas.microsoft.com/office/drawing/2014/main" id="{B4864ECF-737E-14D3-107B-B8508D8E4040}"/>
            </a:ext>
          </a:extLst>
        </xdr:cNvPr>
        <xdr:cNvPicPr>
          <a:picLocks noChangeAspect="1"/>
        </xdr:cNvPicPr>
      </xdr:nvPicPr>
      <xdr:blipFill>
        <a:blip xmlns:r="http://schemas.openxmlformats.org/officeDocument/2006/relationships" r:embed="rId76">
          <a:extLst>
            <a:ext uri="{96DAC541-7B7A-43D3-8B79-37D633B846F1}">
              <asvg:svgBlip xmlns:asvg="http://schemas.microsoft.com/office/drawing/2016/SVG/main" r:embed="rId77"/>
            </a:ext>
          </a:extLst>
        </a:blip>
        <a:stretch>
          <a:fillRect/>
        </a:stretch>
      </xdr:blipFill>
      <xdr:spPr>
        <a:xfrm>
          <a:off x="11154744" y="10841026"/>
          <a:ext cx="549737" cy="546643"/>
        </a:xfrm>
        <a:prstGeom prst="rect">
          <a:avLst/>
        </a:prstGeom>
      </xdr:spPr>
    </xdr:pic>
    <xdr:clientData/>
  </xdr:twoCellAnchor>
  <xdr:twoCellAnchor editAs="oneCell">
    <xdr:from>
      <xdr:col>22</xdr:col>
      <xdr:colOff>240921</xdr:colOff>
      <xdr:row>55</xdr:row>
      <xdr:rowOff>59921</xdr:rowOff>
    </xdr:from>
    <xdr:to>
      <xdr:col>23</xdr:col>
      <xdr:colOff>172943</xdr:colOff>
      <xdr:row>58</xdr:row>
      <xdr:rowOff>35064</xdr:rowOff>
    </xdr:to>
    <xdr:pic>
      <xdr:nvPicPr>
        <xdr:cNvPr id="192" name="Graphic 191" descr="Ruler with solid fill">
          <a:extLst>
            <a:ext uri="{FF2B5EF4-FFF2-40B4-BE49-F238E27FC236}">
              <a16:creationId xmlns:a16="http://schemas.microsoft.com/office/drawing/2014/main" id="{88729E98-6D0A-43C6-B89E-C069AA40598F}"/>
            </a:ext>
          </a:extLst>
        </xdr:cNvPr>
        <xdr:cNvPicPr>
          <a:picLocks noChangeAspect="1"/>
        </xdr:cNvPicPr>
      </xdr:nvPicPr>
      <xdr:blipFill>
        <a:blip xmlns:r="http://schemas.openxmlformats.org/officeDocument/2006/relationships" r:embed="rId76">
          <a:extLst>
            <a:ext uri="{96DAC541-7B7A-43D3-8B79-37D633B846F1}">
              <asvg:svgBlip xmlns:asvg="http://schemas.microsoft.com/office/drawing/2016/SVG/main" r:embed="rId77"/>
            </a:ext>
          </a:extLst>
        </a:blip>
        <a:stretch>
          <a:fillRect/>
        </a:stretch>
      </xdr:blipFill>
      <xdr:spPr>
        <a:xfrm>
          <a:off x="13725008" y="10636812"/>
          <a:ext cx="544935" cy="546643"/>
        </a:xfrm>
        <a:prstGeom prst="rect">
          <a:avLst/>
        </a:prstGeom>
      </xdr:spPr>
    </xdr:pic>
    <xdr:clientData/>
  </xdr:twoCellAnchor>
  <xdr:twoCellAnchor editAs="oneCell">
    <xdr:from>
      <xdr:col>26</xdr:col>
      <xdr:colOff>533205</xdr:colOff>
      <xdr:row>53</xdr:row>
      <xdr:rowOff>43871</xdr:rowOff>
    </xdr:from>
    <xdr:to>
      <xdr:col>27</xdr:col>
      <xdr:colOff>470623</xdr:colOff>
      <xdr:row>56</xdr:row>
      <xdr:rowOff>15785</xdr:rowOff>
    </xdr:to>
    <xdr:pic>
      <xdr:nvPicPr>
        <xdr:cNvPr id="193" name="Graphic 192" descr="Ruler with solid fill">
          <a:extLst>
            <a:ext uri="{FF2B5EF4-FFF2-40B4-BE49-F238E27FC236}">
              <a16:creationId xmlns:a16="http://schemas.microsoft.com/office/drawing/2014/main" id="{23564A4D-16CE-431D-AF2A-946FF777B01D}"/>
            </a:ext>
          </a:extLst>
        </xdr:cNvPr>
        <xdr:cNvPicPr>
          <a:picLocks noChangeAspect="1"/>
        </xdr:cNvPicPr>
      </xdr:nvPicPr>
      <xdr:blipFill>
        <a:blip xmlns:r="http://schemas.openxmlformats.org/officeDocument/2006/relationships" r:embed="rId76">
          <a:extLst>
            <a:ext uri="{96DAC541-7B7A-43D3-8B79-37D633B846F1}">
              <asvg:svgBlip xmlns:asvg="http://schemas.microsoft.com/office/drawing/2016/SVG/main" r:embed="rId77"/>
            </a:ext>
          </a:extLst>
        </a:blip>
        <a:stretch>
          <a:fillRect/>
        </a:stretch>
      </xdr:blipFill>
      <xdr:spPr>
        <a:xfrm>
          <a:off x="16453562" y="10303657"/>
          <a:ext cx="549740" cy="543414"/>
        </a:xfrm>
        <a:prstGeom prst="rect">
          <a:avLst/>
        </a:prstGeom>
      </xdr:spPr>
    </xdr:pic>
    <xdr:clientData/>
  </xdr:twoCellAnchor>
  <xdr:twoCellAnchor editAs="oneCell">
    <xdr:from>
      <xdr:col>23</xdr:col>
      <xdr:colOff>435377</xdr:colOff>
      <xdr:row>35</xdr:row>
      <xdr:rowOff>107461</xdr:rowOff>
    </xdr:from>
    <xdr:to>
      <xdr:col>24</xdr:col>
      <xdr:colOff>372790</xdr:colOff>
      <xdr:row>38</xdr:row>
      <xdr:rowOff>82604</xdr:rowOff>
    </xdr:to>
    <xdr:pic>
      <xdr:nvPicPr>
        <xdr:cNvPr id="194" name="Graphic 193" descr="Ruler with solid fill">
          <a:extLst>
            <a:ext uri="{FF2B5EF4-FFF2-40B4-BE49-F238E27FC236}">
              <a16:creationId xmlns:a16="http://schemas.microsoft.com/office/drawing/2014/main" id="{39F5DA6C-7F37-4B9E-9A27-8283D6903EF8}"/>
            </a:ext>
          </a:extLst>
        </xdr:cNvPr>
        <xdr:cNvPicPr>
          <a:picLocks noChangeAspect="1"/>
        </xdr:cNvPicPr>
      </xdr:nvPicPr>
      <xdr:blipFill>
        <a:blip xmlns:r="http://schemas.openxmlformats.org/officeDocument/2006/relationships" r:embed="rId76">
          <a:extLst>
            <a:ext uri="{96DAC541-7B7A-43D3-8B79-37D633B846F1}">
              <asvg:svgBlip xmlns:asvg="http://schemas.microsoft.com/office/drawing/2016/SVG/main" r:embed="rId77"/>
            </a:ext>
          </a:extLst>
        </a:blip>
        <a:stretch>
          <a:fillRect/>
        </a:stretch>
      </xdr:blipFill>
      <xdr:spPr>
        <a:xfrm>
          <a:off x="14518770" y="6938247"/>
          <a:ext cx="549734" cy="546643"/>
        </a:xfrm>
        <a:prstGeom prst="rect">
          <a:avLst/>
        </a:prstGeom>
      </xdr:spPr>
    </xdr:pic>
    <xdr:clientData/>
  </xdr:twoCellAnchor>
  <xdr:twoCellAnchor editAs="oneCell">
    <xdr:from>
      <xdr:col>34</xdr:col>
      <xdr:colOff>546143</xdr:colOff>
      <xdr:row>32</xdr:row>
      <xdr:rowOff>44392</xdr:rowOff>
    </xdr:from>
    <xdr:to>
      <xdr:col>35</xdr:col>
      <xdr:colOff>487436</xdr:colOff>
      <xdr:row>35</xdr:row>
      <xdr:rowOff>19535</xdr:rowOff>
    </xdr:to>
    <xdr:pic>
      <xdr:nvPicPr>
        <xdr:cNvPr id="195" name="Graphic 194" descr="Ruler with solid fill">
          <a:extLst>
            <a:ext uri="{FF2B5EF4-FFF2-40B4-BE49-F238E27FC236}">
              <a16:creationId xmlns:a16="http://schemas.microsoft.com/office/drawing/2014/main" id="{4FCFAC2A-9021-48E6-AA9C-02267104229A}"/>
            </a:ext>
          </a:extLst>
        </xdr:cNvPr>
        <xdr:cNvPicPr>
          <a:picLocks noChangeAspect="1"/>
        </xdr:cNvPicPr>
      </xdr:nvPicPr>
      <xdr:blipFill>
        <a:blip xmlns:r="http://schemas.openxmlformats.org/officeDocument/2006/relationships" r:embed="rId76">
          <a:extLst>
            <a:ext uri="{96DAC541-7B7A-43D3-8B79-37D633B846F1}">
              <asvg:svgBlip xmlns:asvg="http://schemas.microsoft.com/office/drawing/2016/SVG/main" r:embed="rId77"/>
            </a:ext>
          </a:extLst>
        </a:blip>
        <a:stretch>
          <a:fillRect/>
        </a:stretch>
      </xdr:blipFill>
      <xdr:spPr>
        <a:xfrm>
          <a:off x="21272543" y="6254692"/>
          <a:ext cx="550893" cy="546643"/>
        </a:xfrm>
        <a:prstGeom prst="rect">
          <a:avLst/>
        </a:prstGeom>
      </xdr:spPr>
    </xdr:pic>
    <xdr:clientData/>
  </xdr:twoCellAnchor>
  <xdr:twoCellAnchor editAs="oneCell">
    <xdr:from>
      <xdr:col>24</xdr:col>
      <xdr:colOff>75338</xdr:colOff>
      <xdr:row>31</xdr:row>
      <xdr:rowOff>182114</xdr:rowOff>
    </xdr:from>
    <xdr:to>
      <xdr:col>25</xdr:col>
      <xdr:colOff>348146</xdr:colOff>
      <xdr:row>36</xdr:row>
      <xdr:rowOff>128988</xdr:rowOff>
    </xdr:to>
    <xdr:pic>
      <xdr:nvPicPr>
        <xdr:cNvPr id="202" name="Graphic 201" descr="Arrow Right with solid fill">
          <a:extLst>
            <a:ext uri="{FF2B5EF4-FFF2-40B4-BE49-F238E27FC236}">
              <a16:creationId xmlns:a16="http://schemas.microsoft.com/office/drawing/2014/main" id="{22DB0AAA-2EEE-420E-B4C0-49EE97AA6B1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9962499">
          <a:off x="14705738" y="6201914"/>
          <a:ext cx="882408" cy="899374"/>
        </a:xfrm>
        <a:prstGeom prst="rect">
          <a:avLst/>
        </a:prstGeom>
      </xdr:spPr>
    </xdr:pic>
    <xdr:clientData/>
  </xdr:twoCellAnchor>
  <xdr:twoCellAnchor editAs="oneCell">
    <xdr:from>
      <xdr:col>22</xdr:col>
      <xdr:colOff>195705</xdr:colOff>
      <xdr:row>30</xdr:row>
      <xdr:rowOff>44737</xdr:rowOff>
    </xdr:from>
    <xdr:to>
      <xdr:col>23</xdr:col>
      <xdr:colOff>123841</xdr:colOff>
      <xdr:row>33</xdr:row>
      <xdr:rowOff>19923</xdr:rowOff>
    </xdr:to>
    <xdr:pic>
      <xdr:nvPicPr>
        <xdr:cNvPr id="205" name="Graphic 204" descr="Arrow Right with solid fill">
          <a:extLst>
            <a:ext uri="{FF2B5EF4-FFF2-40B4-BE49-F238E27FC236}">
              <a16:creationId xmlns:a16="http://schemas.microsoft.com/office/drawing/2014/main" id="{60F761DD-2746-4E45-96A0-D70CC94F23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1243545">
          <a:off x="13679792" y="5859128"/>
          <a:ext cx="541049" cy="546686"/>
        </a:xfrm>
        <a:prstGeom prst="rect">
          <a:avLst/>
        </a:prstGeom>
      </xdr:spPr>
    </xdr:pic>
    <xdr:clientData/>
  </xdr:twoCellAnchor>
  <xdr:twoCellAnchor editAs="oneCell">
    <xdr:from>
      <xdr:col>35</xdr:col>
      <xdr:colOff>606931</xdr:colOff>
      <xdr:row>31</xdr:row>
      <xdr:rowOff>174536</xdr:rowOff>
    </xdr:from>
    <xdr:to>
      <xdr:col>37</xdr:col>
      <xdr:colOff>42761</xdr:colOff>
      <xdr:row>35</xdr:row>
      <xdr:rowOff>73686</xdr:rowOff>
    </xdr:to>
    <xdr:pic>
      <xdr:nvPicPr>
        <xdr:cNvPr id="211" name="Graphic 210" descr="Line arrow: Clockwise curve with solid fill">
          <a:extLst>
            <a:ext uri="{FF2B5EF4-FFF2-40B4-BE49-F238E27FC236}">
              <a16:creationId xmlns:a16="http://schemas.microsoft.com/office/drawing/2014/main" id="{B4D20D52-E4F4-4C0E-A739-3BA12ACBAB54}"/>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rot="9189223">
          <a:off x="22038181" y="6243322"/>
          <a:ext cx="660473" cy="661150"/>
        </a:xfrm>
        <a:prstGeom prst="rect">
          <a:avLst/>
        </a:prstGeom>
      </xdr:spPr>
    </xdr:pic>
    <xdr:clientData/>
  </xdr:twoCellAnchor>
  <xdr:twoCellAnchor editAs="oneCell">
    <xdr:from>
      <xdr:col>6</xdr:col>
      <xdr:colOff>146271</xdr:colOff>
      <xdr:row>48</xdr:row>
      <xdr:rowOff>153294</xdr:rowOff>
    </xdr:from>
    <xdr:to>
      <xdr:col>7</xdr:col>
      <xdr:colOff>451072</xdr:colOff>
      <xdr:row>53</xdr:row>
      <xdr:rowOff>115194</xdr:rowOff>
    </xdr:to>
    <xdr:pic>
      <xdr:nvPicPr>
        <xdr:cNvPr id="213" name="Graphic 212" descr="Packing Box Open with solid fill">
          <a:extLst>
            <a:ext uri="{FF2B5EF4-FFF2-40B4-BE49-F238E27FC236}">
              <a16:creationId xmlns:a16="http://schemas.microsoft.com/office/drawing/2014/main" id="{B9888C7F-EF35-1AD3-CCE8-527086552FFE}"/>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3820200" y="9460580"/>
          <a:ext cx="917122" cy="914400"/>
        </a:xfrm>
        <a:prstGeom prst="rect">
          <a:avLst/>
        </a:prstGeom>
      </xdr:spPr>
    </xdr:pic>
    <xdr:clientData/>
  </xdr:twoCellAnchor>
  <xdr:twoCellAnchor editAs="oneCell">
    <xdr:from>
      <xdr:col>9</xdr:col>
      <xdr:colOff>476748</xdr:colOff>
      <xdr:row>43</xdr:row>
      <xdr:rowOff>6277</xdr:rowOff>
    </xdr:from>
    <xdr:to>
      <xdr:col>11</xdr:col>
      <xdr:colOff>82910</xdr:colOff>
      <xdr:row>47</xdr:row>
      <xdr:rowOff>76181</xdr:rowOff>
    </xdr:to>
    <xdr:pic>
      <xdr:nvPicPr>
        <xdr:cNvPr id="215" name="Graphic 214" descr="Packing Box Open with solid fill">
          <a:extLst>
            <a:ext uri="{FF2B5EF4-FFF2-40B4-BE49-F238E27FC236}">
              <a16:creationId xmlns:a16="http://schemas.microsoft.com/office/drawing/2014/main" id="{31502AC7-D21A-4ACF-8B0B-F1101F9C0D60}"/>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5987641" y="8361063"/>
          <a:ext cx="830805" cy="831904"/>
        </a:xfrm>
        <a:prstGeom prst="rect">
          <a:avLst/>
        </a:prstGeom>
      </xdr:spPr>
    </xdr:pic>
    <xdr:clientData/>
  </xdr:twoCellAnchor>
  <xdr:twoCellAnchor editAs="oneCell">
    <xdr:from>
      <xdr:col>9</xdr:col>
      <xdr:colOff>21056</xdr:colOff>
      <xdr:row>52</xdr:row>
      <xdr:rowOff>55973</xdr:rowOff>
    </xdr:from>
    <xdr:to>
      <xdr:col>10</xdr:col>
      <xdr:colOff>329729</xdr:colOff>
      <xdr:row>57</xdr:row>
      <xdr:rowOff>17873</xdr:rowOff>
    </xdr:to>
    <xdr:pic>
      <xdr:nvPicPr>
        <xdr:cNvPr id="217" name="Graphic 216" descr="Box trolley with solid fill">
          <a:extLst>
            <a:ext uri="{FF2B5EF4-FFF2-40B4-BE49-F238E27FC236}">
              <a16:creationId xmlns:a16="http://schemas.microsoft.com/office/drawing/2014/main" id="{328D9C97-E477-E6D7-94F0-B7FE75920C9F}"/>
            </a:ext>
          </a:extLst>
        </xdr:cNvPr>
        <xdr:cNvPicPr>
          <a:picLocks noChangeAspect="1"/>
        </xdr:cNvPicPr>
      </xdr:nvPicPr>
      <xdr:blipFill>
        <a:blip xmlns:r="http://schemas.openxmlformats.org/officeDocument/2006/relationships" r:embed="rId80">
          <a:extLst>
            <a:ext uri="{96DAC541-7B7A-43D3-8B79-37D633B846F1}">
              <asvg:svgBlip xmlns:asvg="http://schemas.microsoft.com/office/drawing/2016/SVG/main" r:embed="rId81"/>
            </a:ext>
          </a:extLst>
        </a:blip>
        <a:stretch>
          <a:fillRect/>
        </a:stretch>
      </xdr:blipFill>
      <xdr:spPr>
        <a:xfrm>
          <a:off x="5531949" y="10125259"/>
          <a:ext cx="920994" cy="914400"/>
        </a:xfrm>
        <a:prstGeom prst="rect">
          <a:avLst/>
        </a:prstGeom>
      </xdr:spPr>
    </xdr:pic>
    <xdr:clientData/>
  </xdr:twoCellAnchor>
  <xdr:twoCellAnchor editAs="oneCell">
    <xdr:from>
      <xdr:col>18</xdr:col>
      <xdr:colOff>275041</xdr:colOff>
      <xdr:row>28</xdr:row>
      <xdr:rowOff>64169</xdr:rowOff>
    </xdr:from>
    <xdr:to>
      <xdr:col>19</xdr:col>
      <xdr:colOff>119766</xdr:colOff>
      <xdr:row>30</xdr:row>
      <xdr:rowOff>136340</xdr:rowOff>
    </xdr:to>
    <xdr:pic>
      <xdr:nvPicPr>
        <xdr:cNvPr id="220" name="Graphic 219" descr="Badge 9 with solid fill">
          <a:extLst>
            <a:ext uri="{FF2B5EF4-FFF2-40B4-BE49-F238E27FC236}">
              <a16:creationId xmlns:a16="http://schemas.microsoft.com/office/drawing/2014/main" id="{71AAC5C7-7D5A-4E5C-A187-238B1AD0ACC0}"/>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307476" y="5497560"/>
          <a:ext cx="457638" cy="453171"/>
        </a:xfrm>
        <a:prstGeom prst="rect">
          <a:avLst/>
        </a:prstGeom>
      </xdr:spPr>
    </xdr:pic>
    <xdr:clientData/>
  </xdr:twoCellAnchor>
  <xdr:twoCellAnchor editAs="oneCell">
    <xdr:from>
      <xdr:col>20</xdr:col>
      <xdr:colOff>587649</xdr:colOff>
      <xdr:row>29</xdr:row>
      <xdr:rowOff>66694</xdr:rowOff>
    </xdr:from>
    <xdr:to>
      <xdr:col>21</xdr:col>
      <xdr:colOff>347176</xdr:colOff>
      <xdr:row>31</xdr:row>
      <xdr:rowOff>67977</xdr:rowOff>
    </xdr:to>
    <xdr:pic>
      <xdr:nvPicPr>
        <xdr:cNvPr id="221" name="Graphic 220" descr="Arrow Right with solid fill">
          <a:extLst>
            <a:ext uri="{FF2B5EF4-FFF2-40B4-BE49-F238E27FC236}">
              <a16:creationId xmlns:a16="http://schemas.microsoft.com/office/drawing/2014/main" id="{AE8023B0-E767-45C6-9C15-C0CFDF55FF2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964032">
          <a:off x="12845910" y="5690585"/>
          <a:ext cx="372440" cy="382283"/>
        </a:xfrm>
        <a:prstGeom prst="rect">
          <a:avLst/>
        </a:prstGeom>
      </xdr:spPr>
    </xdr:pic>
    <xdr:clientData/>
  </xdr:twoCellAnchor>
  <xdr:twoCellAnchor editAs="oneCell">
    <xdr:from>
      <xdr:col>23</xdr:col>
      <xdr:colOff>239195</xdr:colOff>
      <xdr:row>32</xdr:row>
      <xdr:rowOff>58740</xdr:rowOff>
    </xdr:from>
    <xdr:to>
      <xdr:col>24</xdr:col>
      <xdr:colOff>151022</xdr:colOff>
      <xdr:row>35</xdr:row>
      <xdr:rowOff>691</xdr:rowOff>
    </xdr:to>
    <xdr:pic>
      <xdr:nvPicPr>
        <xdr:cNvPr id="222" name="Graphic 221" descr="Arrow Right with solid fill">
          <a:extLst>
            <a:ext uri="{FF2B5EF4-FFF2-40B4-BE49-F238E27FC236}">
              <a16:creationId xmlns:a16="http://schemas.microsoft.com/office/drawing/2014/main" id="{2626C743-1257-4E21-866F-EB3C8AB6D6F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5207401">
          <a:off x="14342236" y="6248090"/>
          <a:ext cx="512657" cy="524740"/>
        </a:xfrm>
        <a:prstGeom prst="rect">
          <a:avLst/>
        </a:prstGeom>
      </xdr:spPr>
    </xdr:pic>
    <xdr:clientData/>
  </xdr:twoCellAnchor>
  <xdr:twoCellAnchor editAs="oneCell">
    <xdr:from>
      <xdr:col>19</xdr:col>
      <xdr:colOff>156262</xdr:colOff>
      <xdr:row>29</xdr:row>
      <xdr:rowOff>115970</xdr:rowOff>
    </xdr:from>
    <xdr:to>
      <xdr:col>20</xdr:col>
      <xdr:colOff>34816</xdr:colOff>
      <xdr:row>32</xdr:row>
      <xdr:rowOff>30245</xdr:rowOff>
    </xdr:to>
    <xdr:pic>
      <xdr:nvPicPr>
        <xdr:cNvPr id="224" name="Graphic 223" descr="Fork In Road with solid fill">
          <a:extLst>
            <a:ext uri="{FF2B5EF4-FFF2-40B4-BE49-F238E27FC236}">
              <a16:creationId xmlns:a16="http://schemas.microsoft.com/office/drawing/2014/main" id="{E4D495B2-593A-FD0E-A501-4FFFC2DE26A6}"/>
            </a:ext>
          </a:extLst>
        </xdr:cNvPr>
        <xdr:cNvPicPr>
          <a:picLocks noChangeAspect="1"/>
        </xdr:cNvPicPr>
      </xdr:nvPicPr>
      <xdr:blipFill>
        <a:blip xmlns:r="http://schemas.openxmlformats.org/officeDocument/2006/relationships" r:embed="rId82">
          <a:extLst>
            <a:ext uri="{96DAC541-7B7A-43D3-8B79-37D633B846F1}">
              <asvg:svgBlip xmlns:asvg="http://schemas.microsoft.com/office/drawing/2016/SVG/main" r:embed="rId83"/>
            </a:ext>
          </a:extLst>
        </a:blip>
        <a:stretch>
          <a:fillRect/>
        </a:stretch>
      </xdr:blipFill>
      <xdr:spPr>
        <a:xfrm>
          <a:off x="11801610" y="5739861"/>
          <a:ext cx="491467" cy="485775"/>
        </a:xfrm>
        <a:prstGeom prst="rect">
          <a:avLst/>
        </a:prstGeom>
      </xdr:spPr>
    </xdr:pic>
    <xdr:clientData/>
  </xdr:twoCellAnchor>
  <xdr:twoCellAnchor editAs="oneCell">
    <xdr:from>
      <xdr:col>38</xdr:col>
      <xdr:colOff>372673</xdr:colOff>
      <xdr:row>44</xdr:row>
      <xdr:rowOff>23685</xdr:rowOff>
    </xdr:from>
    <xdr:to>
      <xdr:col>40</xdr:col>
      <xdr:colOff>64001</xdr:colOff>
      <xdr:row>48</xdr:row>
      <xdr:rowOff>176085</xdr:rowOff>
    </xdr:to>
    <xdr:pic>
      <xdr:nvPicPr>
        <xdr:cNvPr id="225" name="Graphic 224" descr="Box trolley with solid fill">
          <a:extLst>
            <a:ext uri="{FF2B5EF4-FFF2-40B4-BE49-F238E27FC236}">
              <a16:creationId xmlns:a16="http://schemas.microsoft.com/office/drawing/2014/main" id="{944A0F49-CFD6-4143-97D5-B105FBA517D7}"/>
            </a:ext>
          </a:extLst>
        </xdr:cNvPr>
        <xdr:cNvPicPr>
          <a:picLocks noChangeAspect="1"/>
        </xdr:cNvPicPr>
      </xdr:nvPicPr>
      <xdr:blipFill>
        <a:blip xmlns:r="http://schemas.openxmlformats.org/officeDocument/2006/relationships" r:embed="rId80">
          <a:extLst>
            <a:ext uri="{96DAC541-7B7A-43D3-8B79-37D633B846F1}">
              <asvg:svgBlip xmlns:asvg="http://schemas.microsoft.com/office/drawing/2016/SVG/main" r:embed="rId81"/>
            </a:ext>
          </a:extLst>
        </a:blip>
        <a:stretch>
          <a:fillRect/>
        </a:stretch>
      </xdr:blipFill>
      <xdr:spPr>
        <a:xfrm>
          <a:off x="23640887" y="8568971"/>
          <a:ext cx="915971" cy="914400"/>
        </a:xfrm>
        <a:prstGeom prst="rect">
          <a:avLst/>
        </a:prstGeom>
      </xdr:spPr>
    </xdr:pic>
    <xdr:clientData/>
  </xdr:twoCellAnchor>
  <xdr:twoCellAnchor editAs="oneCell">
    <xdr:from>
      <xdr:col>25</xdr:col>
      <xdr:colOff>259174</xdr:colOff>
      <xdr:row>55</xdr:row>
      <xdr:rowOff>37671</xdr:rowOff>
    </xdr:from>
    <xdr:to>
      <xdr:col>27</xdr:col>
      <xdr:colOff>497513</xdr:colOff>
      <xdr:row>63</xdr:row>
      <xdr:rowOff>3845</xdr:rowOff>
    </xdr:to>
    <xdr:pic>
      <xdr:nvPicPr>
        <xdr:cNvPr id="2" name="Graphic 1" descr="Arrow Right with solid fill">
          <a:extLst>
            <a:ext uri="{FF2B5EF4-FFF2-40B4-BE49-F238E27FC236}">
              <a16:creationId xmlns:a16="http://schemas.microsoft.com/office/drawing/2014/main" id="{CE2C6360-ACD4-4CE6-9BD1-AA721776A27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9952610">
          <a:off x="15567210" y="10678457"/>
          <a:ext cx="1462982" cy="1478267"/>
        </a:xfrm>
        <a:prstGeom prst="rect">
          <a:avLst/>
        </a:prstGeom>
      </xdr:spPr>
    </xdr:pic>
    <xdr:clientData/>
  </xdr:twoCellAnchor>
  <xdr:twoCellAnchor editAs="oneCell">
    <xdr:from>
      <xdr:col>24</xdr:col>
      <xdr:colOff>183753</xdr:colOff>
      <xdr:row>57</xdr:row>
      <xdr:rowOff>150791</xdr:rowOff>
    </xdr:from>
    <xdr:to>
      <xdr:col>25</xdr:col>
      <xdr:colOff>344213</xdr:colOff>
      <xdr:row>61</xdr:row>
      <xdr:rowOff>163883</xdr:rowOff>
    </xdr:to>
    <xdr:pic>
      <xdr:nvPicPr>
        <xdr:cNvPr id="5" name="Graphic 4" descr="Director's Chair with solid fill">
          <a:extLst>
            <a:ext uri="{FF2B5EF4-FFF2-40B4-BE49-F238E27FC236}">
              <a16:creationId xmlns:a16="http://schemas.microsoft.com/office/drawing/2014/main" id="{26F67AE2-41FE-720C-C589-8F33C05E5573}"/>
            </a:ext>
          </a:extLst>
        </xdr:cNvPr>
        <xdr:cNvPicPr>
          <a:picLocks noChangeAspect="1"/>
        </xdr:cNvPicPr>
      </xdr:nvPicPr>
      <xdr:blipFill>
        <a:blip xmlns:r="http://schemas.openxmlformats.org/officeDocument/2006/relationships" r:embed="rId84">
          <a:extLst>
            <a:ext uri="{96DAC541-7B7A-43D3-8B79-37D633B846F1}">
              <asvg:svgBlip xmlns:asvg="http://schemas.microsoft.com/office/drawing/2016/SVG/main" r:embed="rId85"/>
            </a:ext>
          </a:extLst>
        </a:blip>
        <a:stretch>
          <a:fillRect/>
        </a:stretch>
      </xdr:blipFill>
      <xdr:spPr>
        <a:xfrm>
          <a:off x="14706577" y="11143762"/>
          <a:ext cx="765577" cy="775092"/>
        </a:xfrm>
        <a:prstGeom prst="rect">
          <a:avLst/>
        </a:prstGeom>
      </xdr:spPr>
    </xdr:pic>
    <xdr:clientData/>
  </xdr:twoCellAnchor>
  <xdr:twoCellAnchor editAs="oneCell">
    <xdr:from>
      <xdr:col>24</xdr:col>
      <xdr:colOff>7467</xdr:colOff>
      <xdr:row>50</xdr:row>
      <xdr:rowOff>139626</xdr:rowOff>
    </xdr:from>
    <xdr:to>
      <xdr:col>26</xdr:col>
      <xdr:colOff>89940</xdr:colOff>
      <xdr:row>57</xdr:row>
      <xdr:rowOff>94814</xdr:rowOff>
    </xdr:to>
    <xdr:pic>
      <xdr:nvPicPr>
        <xdr:cNvPr id="6" name="Graphic 5" descr="Arrow Right with solid fill">
          <a:extLst>
            <a:ext uri="{FF2B5EF4-FFF2-40B4-BE49-F238E27FC236}">
              <a16:creationId xmlns:a16="http://schemas.microsoft.com/office/drawing/2014/main" id="{B4064C26-88EB-42AB-802C-090BF9DF48E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7168014">
          <a:off x="14712395" y="9818698"/>
          <a:ext cx="1288688" cy="1307116"/>
        </a:xfrm>
        <a:prstGeom prst="rect">
          <a:avLst/>
        </a:prstGeom>
      </xdr:spPr>
    </xdr:pic>
    <xdr:clientData/>
  </xdr:twoCellAnchor>
  <xdr:twoCellAnchor editAs="oneCell">
    <xdr:from>
      <xdr:col>32</xdr:col>
      <xdr:colOff>354522</xdr:colOff>
      <xdr:row>63</xdr:row>
      <xdr:rowOff>81931</xdr:rowOff>
    </xdr:from>
    <xdr:to>
      <xdr:col>33</xdr:col>
      <xdr:colOff>291936</xdr:colOff>
      <xdr:row>66</xdr:row>
      <xdr:rowOff>57075</xdr:rowOff>
    </xdr:to>
    <xdr:pic>
      <xdr:nvPicPr>
        <xdr:cNvPr id="8" name="Graphic 7" descr="Ruler with solid fill">
          <a:extLst>
            <a:ext uri="{FF2B5EF4-FFF2-40B4-BE49-F238E27FC236}">
              <a16:creationId xmlns:a16="http://schemas.microsoft.com/office/drawing/2014/main" id="{FB4DAD3B-E890-4C69-ADD8-4A83EC778769}"/>
            </a:ext>
          </a:extLst>
        </xdr:cNvPr>
        <xdr:cNvPicPr>
          <a:picLocks noChangeAspect="1"/>
        </xdr:cNvPicPr>
      </xdr:nvPicPr>
      <xdr:blipFill>
        <a:blip xmlns:r="http://schemas.openxmlformats.org/officeDocument/2006/relationships" r:embed="rId76">
          <a:extLst>
            <a:ext uri="{96DAC541-7B7A-43D3-8B79-37D633B846F1}">
              <asvg:svgBlip xmlns:asvg="http://schemas.microsoft.com/office/drawing/2016/SVG/main" r:embed="rId77"/>
            </a:ext>
          </a:extLst>
        </a:blip>
        <a:stretch>
          <a:fillRect/>
        </a:stretch>
      </xdr:blipFill>
      <xdr:spPr>
        <a:xfrm>
          <a:off x="19718287" y="12217902"/>
          <a:ext cx="542531" cy="546644"/>
        </a:xfrm>
        <a:prstGeom prst="rect">
          <a:avLst/>
        </a:prstGeom>
      </xdr:spPr>
    </xdr:pic>
    <xdr:clientData/>
  </xdr:twoCellAnchor>
  <xdr:twoCellAnchor editAs="oneCell">
    <xdr:from>
      <xdr:col>28</xdr:col>
      <xdr:colOff>472697</xdr:colOff>
      <xdr:row>56</xdr:row>
      <xdr:rowOff>81931</xdr:rowOff>
    </xdr:from>
    <xdr:to>
      <xdr:col>29</xdr:col>
      <xdr:colOff>410113</xdr:colOff>
      <xdr:row>59</xdr:row>
      <xdr:rowOff>57074</xdr:rowOff>
    </xdr:to>
    <xdr:pic>
      <xdr:nvPicPr>
        <xdr:cNvPr id="9" name="Graphic 8" descr="Ruler with solid fill">
          <a:extLst>
            <a:ext uri="{FF2B5EF4-FFF2-40B4-BE49-F238E27FC236}">
              <a16:creationId xmlns:a16="http://schemas.microsoft.com/office/drawing/2014/main" id="{82B4E95E-0AFE-4562-8AA0-2BD62B24729E}"/>
            </a:ext>
          </a:extLst>
        </xdr:cNvPr>
        <xdr:cNvPicPr>
          <a:picLocks noChangeAspect="1"/>
        </xdr:cNvPicPr>
      </xdr:nvPicPr>
      <xdr:blipFill>
        <a:blip xmlns:r="http://schemas.openxmlformats.org/officeDocument/2006/relationships" r:embed="rId76">
          <a:extLst>
            <a:ext uri="{96DAC541-7B7A-43D3-8B79-37D633B846F1}">
              <asvg:svgBlip xmlns:asvg="http://schemas.microsoft.com/office/drawing/2016/SVG/main" r:embed="rId77"/>
            </a:ext>
          </a:extLst>
        </a:blip>
        <a:stretch>
          <a:fillRect/>
        </a:stretch>
      </xdr:blipFill>
      <xdr:spPr>
        <a:xfrm>
          <a:off x="17415991" y="10884402"/>
          <a:ext cx="542534" cy="546643"/>
        </a:xfrm>
        <a:prstGeom prst="rect">
          <a:avLst/>
        </a:prstGeom>
      </xdr:spPr>
    </xdr:pic>
    <xdr:clientData/>
  </xdr:twoCellAnchor>
  <xdr:twoCellAnchor editAs="oneCell">
    <xdr:from>
      <xdr:col>3</xdr:col>
      <xdr:colOff>373213</xdr:colOff>
      <xdr:row>34</xdr:row>
      <xdr:rowOff>186010</xdr:rowOff>
    </xdr:from>
    <xdr:to>
      <xdr:col>5</xdr:col>
      <xdr:colOff>68413</xdr:colOff>
      <xdr:row>39</xdr:row>
      <xdr:rowOff>147910</xdr:rowOff>
    </xdr:to>
    <xdr:pic>
      <xdr:nvPicPr>
        <xdr:cNvPr id="10" name="Graphic 9" descr="Packing Box Open with solid fill">
          <a:extLst>
            <a:ext uri="{FF2B5EF4-FFF2-40B4-BE49-F238E27FC236}">
              <a16:creationId xmlns:a16="http://schemas.microsoft.com/office/drawing/2014/main" id="{E4D49104-F28B-4D55-82E5-1F64976CA8D5}"/>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2210177" y="6826296"/>
          <a:ext cx="919843" cy="914400"/>
        </a:xfrm>
        <a:prstGeom prst="rect">
          <a:avLst/>
        </a:prstGeom>
      </xdr:spPr>
    </xdr:pic>
    <xdr:clientData/>
  </xdr:twoCellAnchor>
  <xdr:twoCellAnchor editAs="oneCell">
    <xdr:from>
      <xdr:col>3</xdr:col>
      <xdr:colOff>373213</xdr:colOff>
      <xdr:row>41</xdr:row>
      <xdr:rowOff>5035</xdr:rowOff>
    </xdr:from>
    <xdr:to>
      <xdr:col>5</xdr:col>
      <xdr:colOff>68413</xdr:colOff>
      <xdr:row>45</xdr:row>
      <xdr:rowOff>157435</xdr:rowOff>
    </xdr:to>
    <xdr:pic>
      <xdr:nvPicPr>
        <xdr:cNvPr id="11" name="Graphic 10" descr="Packing Box Open with solid fill">
          <a:extLst>
            <a:ext uri="{FF2B5EF4-FFF2-40B4-BE49-F238E27FC236}">
              <a16:creationId xmlns:a16="http://schemas.microsoft.com/office/drawing/2014/main" id="{D2A3FEAD-5524-4A1E-9EE4-DDF49C8D44A4}"/>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2210177" y="7978821"/>
          <a:ext cx="919843" cy="914400"/>
        </a:xfrm>
        <a:prstGeom prst="rect">
          <a:avLst/>
        </a:prstGeom>
      </xdr:spPr>
    </xdr:pic>
    <xdr:clientData/>
  </xdr:twoCellAnchor>
  <xdr:twoCellAnchor editAs="oneCell">
    <xdr:from>
      <xdr:col>3</xdr:col>
      <xdr:colOff>420838</xdr:colOff>
      <xdr:row>54</xdr:row>
      <xdr:rowOff>119335</xdr:rowOff>
    </xdr:from>
    <xdr:to>
      <xdr:col>5</xdr:col>
      <xdr:colOff>116038</xdr:colOff>
      <xdr:row>59</xdr:row>
      <xdr:rowOff>84464</xdr:rowOff>
    </xdr:to>
    <xdr:pic>
      <xdr:nvPicPr>
        <xdr:cNvPr id="12" name="Graphic 11" descr="Packing Box Open with solid fill">
          <a:extLst>
            <a:ext uri="{FF2B5EF4-FFF2-40B4-BE49-F238E27FC236}">
              <a16:creationId xmlns:a16="http://schemas.microsoft.com/office/drawing/2014/main" id="{9DB326BB-1018-4FDB-B334-B8144EF80359}"/>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2257802" y="10569621"/>
          <a:ext cx="919843" cy="917629"/>
        </a:xfrm>
        <a:prstGeom prst="rect">
          <a:avLst/>
        </a:prstGeom>
      </xdr:spPr>
    </xdr:pic>
    <xdr:clientData/>
  </xdr:twoCellAnchor>
  <xdr:twoCellAnchor editAs="oneCell">
    <xdr:from>
      <xdr:col>3</xdr:col>
      <xdr:colOff>411313</xdr:colOff>
      <xdr:row>47</xdr:row>
      <xdr:rowOff>166960</xdr:rowOff>
    </xdr:from>
    <xdr:to>
      <xdr:col>5</xdr:col>
      <xdr:colOff>106513</xdr:colOff>
      <xdr:row>52</xdr:row>
      <xdr:rowOff>128860</xdr:rowOff>
    </xdr:to>
    <xdr:pic>
      <xdr:nvPicPr>
        <xdr:cNvPr id="13" name="Graphic 12" descr="Packing Box Open with solid fill">
          <a:extLst>
            <a:ext uri="{FF2B5EF4-FFF2-40B4-BE49-F238E27FC236}">
              <a16:creationId xmlns:a16="http://schemas.microsoft.com/office/drawing/2014/main" id="{9E1D7A3A-373F-4ABD-A54E-EA241D3C702B}"/>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2248277" y="9283746"/>
          <a:ext cx="919843" cy="914400"/>
        </a:xfrm>
        <a:prstGeom prst="rect">
          <a:avLst/>
        </a:prstGeom>
      </xdr:spPr>
    </xdr:pic>
    <xdr:clientData/>
  </xdr:twoCellAnchor>
  <xdr:twoCellAnchor editAs="oneCell">
    <xdr:from>
      <xdr:col>3</xdr:col>
      <xdr:colOff>449413</xdr:colOff>
      <xdr:row>61</xdr:row>
      <xdr:rowOff>128860</xdr:rowOff>
    </xdr:from>
    <xdr:to>
      <xdr:col>5</xdr:col>
      <xdr:colOff>144613</xdr:colOff>
      <xdr:row>66</xdr:row>
      <xdr:rowOff>90760</xdr:rowOff>
    </xdr:to>
    <xdr:pic>
      <xdr:nvPicPr>
        <xdr:cNvPr id="14" name="Graphic 13" descr="Packing Box Open with solid fill">
          <a:extLst>
            <a:ext uri="{FF2B5EF4-FFF2-40B4-BE49-F238E27FC236}">
              <a16:creationId xmlns:a16="http://schemas.microsoft.com/office/drawing/2014/main" id="{42D51CF1-ACEF-40CF-BF54-B5CB9D125614}"/>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2286377" y="11912646"/>
          <a:ext cx="919843" cy="914400"/>
        </a:xfrm>
        <a:prstGeom prst="rect">
          <a:avLst/>
        </a:prstGeom>
      </xdr:spPr>
    </xdr:pic>
    <xdr:clientData/>
  </xdr:twoCellAnchor>
  <xdr:twoCellAnchor editAs="oneCell">
    <xdr:from>
      <xdr:col>3</xdr:col>
      <xdr:colOff>354163</xdr:colOff>
      <xdr:row>29</xdr:row>
      <xdr:rowOff>74939</xdr:rowOff>
    </xdr:from>
    <xdr:to>
      <xdr:col>5</xdr:col>
      <xdr:colOff>57382</xdr:colOff>
      <xdr:row>34</xdr:row>
      <xdr:rowOff>33610</xdr:rowOff>
    </xdr:to>
    <xdr:pic>
      <xdr:nvPicPr>
        <xdr:cNvPr id="16" name="Graphic 15" descr="Packing Box Open with solid fill">
          <a:extLst>
            <a:ext uri="{FF2B5EF4-FFF2-40B4-BE49-F238E27FC236}">
              <a16:creationId xmlns:a16="http://schemas.microsoft.com/office/drawing/2014/main" id="{956CC20F-4532-4767-9266-049406DB8DBD}"/>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2191127" y="5762725"/>
          <a:ext cx="927862" cy="911171"/>
        </a:xfrm>
        <a:prstGeom prst="rect">
          <a:avLst/>
        </a:prstGeom>
      </xdr:spPr>
    </xdr:pic>
    <xdr:clientData/>
  </xdr:twoCellAnchor>
  <xdr:twoCellAnchor editAs="oneCell">
    <xdr:from>
      <xdr:col>40</xdr:col>
      <xdr:colOff>179440</xdr:colOff>
      <xdr:row>44</xdr:row>
      <xdr:rowOff>144643</xdr:rowOff>
    </xdr:from>
    <xdr:to>
      <xdr:col>41</xdr:col>
      <xdr:colOff>499228</xdr:colOff>
      <xdr:row>49</xdr:row>
      <xdr:rowOff>154168</xdr:rowOff>
    </xdr:to>
    <xdr:pic>
      <xdr:nvPicPr>
        <xdr:cNvPr id="295" name="Graphic 121" descr="Exit with solid fill">
          <a:extLst>
            <a:ext uri="{FF2B5EF4-FFF2-40B4-BE49-F238E27FC236}">
              <a16:creationId xmlns:a16="http://schemas.microsoft.com/office/drawing/2014/main" id="{99777C6F-7245-0F73-F1A0-6784DAF4D4D4}"/>
            </a:ext>
          </a:extLst>
        </xdr:cNvPr>
        <xdr:cNvPicPr>
          <a:picLocks noChangeAspect="1"/>
        </xdr:cNvPicPr>
      </xdr:nvPicPr>
      <xdr:blipFill>
        <a:blip xmlns:r="http://schemas.openxmlformats.org/officeDocument/2006/relationships" r:embed="rId86">
          <a:extLst>
            <a:ext uri="{96DAC541-7B7A-43D3-8B79-37D633B846F1}">
              <asvg:svgBlip xmlns:asvg="http://schemas.microsoft.com/office/drawing/2016/SVG/main" r:embed="rId87"/>
            </a:ext>
          </a:extLst>
        </a:blip>
        <a:stretch>
          <a:fillRect/>
        </a:stretch>
      </xdr:blipFill>
      <xdr:spPr>
        <a:xfrm>
          <a:off x="24672297" y="8689929"/>
          <a:ext cx="932110" cy="962025"/>
        </a:xfrm>
        <a:prstGeom prst="rect">
          <a:avLst/>
        </a:prstGeom>
      </xdr:spPr>
    </xdr:pic>
    <xdr:clientData/>
  </xdr:twoCellAnchor>
  <xdr:oneCellAnchor>
    <xdr:from>
      <xdr:col>0</xdr:col>
      <xdr:colOff>547916</xdr:colOff>
      <xdr:row>86</xdr:row>
      <xdr:rowOff>45357</xdr:rowOff>
    </xdr:from>
    <xdr:ext cx="24708436" cy="7757781"/>
    <xdr:pic>
      <xdr:nvPicPr>
        <xdr:cNvPr id="2238" name="Picture 217">
          <a:extLst>
            <a:ext uri="{FF2B5EF4-FFF2-40B4-BE49-F238E27FC236}">
              <a16:creationId xmlns:a16="http://schemas.microsoft.com/office/drawing/2014/main" id="{E158E413-248F-4BC4-931C-5441C22FF7BC}"/>
            </a:ext>
          </a:extLst>
        </xdr:cNvPr>
        <xdr:cNvPicPr>
          <a:picLocks noChangeAspect="1"/>
        </xdr:cNvPicPr>
      </xdr:nvPicPr>
      <xdr:blipFill>
        <a:blip xmlns:r="http://schemas.openxmlformats.org/officeDocument/2006/relationships" r:embed="rId1"/>
        <a:stretch>
          <a:fillRect/>
        </a:stretch>
      </xdr:blipFill>
      <xdr:spPr>
        <a:xfrm>
          <a:off x="547916" y="15285357"/>
          <a:ext cx="24708436" cy="7757781"/>
        </a:xfrm>
        <a:prstGeom prst="rect">
          <a:avLst/>
        </a:prstGeom>
      </xdr:spPr>
    </xdr:pic>
    <xdr:clientData/>
  </xdr:oneCellAnchor>
  <xdr:twoCellAnchor>
    <xdr:from>
      <xdr:col>12</xdr:col>
      <xdr:colOff>18531</xdr:colOff>
      <xdr:row>94</xdr:row>
      <xdr:rowOff>77486</xdr:rowOff>
    </xdr:from>
    <xdr:to>
      <xdr:col>13</xdr:col>
      <xdr:colOff>272727</xdr:colOff>
      <xdr:row>97</xdr:row>
      <xdr:rowOff>185998</xdr:rowOff>
    </xdr:to>
    <xdr:sp macro="" textlink="">
      <xdr:nvSpPr>
        <xdr:cNvPr id="1938" name="Tekstfelt 25">
          <a:extLst>
            <a:ext uri="{FF2B5EF4-FFF2-40B4-BE49-F238E27FC236}">
              <a16:creationId xmlns:a16="http://schemas.microsoft.com/office/drawing/2014/main" id="{52A31711-F194-4A46-8BC1-5EE713F7D4EA}"/>
            </a:ext>
          </a:extLst>
        </xdr:cNvPr>
        <xdr:cNvSpPr txBox="1"/>
      </xdr:nvSpPr>
      <xdr:spPr>
        <a:xfrm>
          <a:off x="7774602" y="17664718"/>
          <a:ext cx="900536" cy="6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101</a:t>
          </a:r>
        </a:p>
      </xdr:txBody>
    </xdr:sp>
    <xdr:clientData/>
  </xdr:twoCellAnchor>
  <xdr:twoCellAnchor>
    <xdr:from>
      <xdr:col>15</xdr:col>
      <xdr:colOff>118839</xdr:colOff>
      <xdr:row>91</xdr:row>
      <xdr:rowOff>181803</xdr:rowOff>
    </xdr:from>
    <xdr:to>
      <xdr:col>16</xdr:col>
      <xdr:colOff>373036</xdr:colOff>
      <xdr:row>95</xdr:row>
      <xdr:rowOff>103219</xdr:rowOff>
    </xdr:to>
    <xdr:sp macro="" textlink="">
      <xdr:nvSpPr>
        <xdr:cNvPr id="1957" name="Tekstfelt 28">
          <a:extLst>
            <a:ext uri="{FF2B5EF4-FFF2-40B4-BE49-F238E27FC236}">
              <a16:creationId xmlns:a16="http://schemas.microsoft.com/office/drawing/2014/main" id="{5ABFCE64-FDB4-40F5-8B01-6BBB9479378D}"/>
            </a:ext>
          </a:extLst>
        </xdr:cNvPr>
        <xdr:cNvSpPr txBox="1"/>
      </xdr:nvSpPr>
      <xdr:spPr>
        <a:xfrm>
          <a:off x="9813928" y="17207742"/>
          <a:ext cx="900537" cy="6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102</a:t>
          </a:r>
        </a:p>
      </xdr:txBody>
    </xdr:sp>
    <xdr:clientData/>
  </xdr:twoCellAnchor>
  <xdr:twoCellAnchor>
    <xdr:from>
      <xdr:col>19</xdr:col>
      <xdr:colOff>12803</xdr:colOff>
      <xdr:row>95</xdr:row>
      <xdr:rowOff>168220</xdr:rowOff>
    </xdr:from>
    <xdr:to>
      <xdr:col>20</xdr:col>
      <xdr:colOff>275260</xdr:colOff>
      <xdr:row>99</xdr:row>
      <xdr:rowOff>80207</xdr:rowOff>
    </xdr:to>
    <xdr:sp macro="" textlink="">
      <xdr:nvSpPr>
        <xdr:cNvPr id="2243" name="Tekstfelt 30">
          <a:extLst>
            <a:ext uri="{FF2B5EF4-FFF2-40B4-BE49-F238E27FC236}">
              <a16:creationId xmlns:a16="http://schemas.microsoft.com/office/drawing/2014/main" id="{652EB3CD-A70A-4370-8A32-629B020DE3E0}"/>
            </a:ext>
          </a:extLst>
        </xdr:cNvPr>
        <xdr:cNvSpPr txBox="1"/>
      </xdr:nvSpPr>
      <xdr:spPr>
        <a:xfrm>
          <a:off x="11520957" y="17108066"/>
          <a:ext cx="868149" cy="615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103</a:t>
          </a:r>
        </a:p>
      </xdr:txBody>
    </xdr:sp>
    <xdr:clientData/>
  </xdr:twoCellAnchor>
  <xdr:twoCellAnchor>
    <xdr:from>
      <xdr:col>20</xdr:col>
      <xdr:colOff>6149</xdr:colOff>
      <xdr:row>89</xdr:row>
      <xdr:rowOff>1267</xdr:rowOff>
    </xdr:from>
    <xdr:to>
      <xdr:col>21</xdr:col>
      <xdr:colOff>301154</xdr:colOff>
      <xdr:row>92</xdr:row>
      <xdr:rowOff>130064</xdr:rowOff>
    </xdr:to>
    <xdr:sp macro="" textlink="">
      <xdr:nvSpPr>
        <xdr:cNvPr id="2324" name="Tekstfelt 32">
          <a:extLst>
            <a:ext uri="{FF2B5EF4-FFF2-40B4-BE49-F238E27FC236}">
              <a16:creationId xmlns:a16="http://schemas.microsoft.com/office/drawing/2014/main" id="{F9A6CA4E-C19F-47A2-B837-75AD389065E9}"/>
            </a:ext>
          </a:extLst>
        </xdr:cNvPr>
        <xdr:cNvSpPr txBox="1"/>
      </xdr:nvSpPr>
      <xdr:spPr>
        <a:xfrm>
          <a:off x="12013422" y="16441994"/>
          <a:ext cx="895368" cy="682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104</a:t>
          </a:r>
        </a:p>
      </xdr:txBody>
    </xdr:sp>
    <xdr:clientData/>
  </xdr:twoCellAnchor>
  <xdr:twoCellAnchor>
    <xdr:from>
      <xdr:col>21</xdr:col>
      <xdr:colOff>389927</xdr:colOff>
      <xdr:row>89</xdr:row>
      <xdr:rowOff>141765</xdr:rowOff>
    </xdr:from>
    <xdr:to>
      <xdr:col>22</xdr:col>
      <xdr:colOff>378316</xdr:colOff>
      <xdr:row>94</xdr:row>
      <xdr:rowOff>155245</xdr:rowOff>
    </xdr:to>
    <xdr:sp macro="" textlink="">
      <xdr:nvSpPr>
        <xdr:cNvPr id="2246" name="Tekstfelt 34">
          <a:extLst>
            <a:ext uri="{FF2B5EF4-FFF2-40B4-BE49-F238E27FC236}">
              <a16:creationId xmlns:a16="http://schemas.microsoft.com/office/drawing/2014/main" id="{C4B33DB3-F84E-42A0-8899-16AABA193D58}"/>
            </a:ext>
          </a:extLst>
        </xdr:cNvPr>
        <xdr:cNvSpPr txBox="1"/>
      </xdr:nvSpPr>
      <xdr:spPr>
        <a:xfrm rot="5400000">
          <a:off x="13098548" y="17278144"/>
          <a:ext cx="965980" cy="60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105</a:t>
          </a:r>
        </a:p>
      </xdr:txBody>
    </xdr:sp>
    <xdr:clientData/>
  </xdr:twoCellAnchor>
  <xdr:twoCellAnchor>
    <xdr:from>
      <xdr:col>23</xdr:col>
      <xdr:colOff>139122</xdr:colOff>
      <xdr:row>88</xdr:row>
      <xdr:rowOff>153558</xdr:rowOff>
    </xdr:from>
    <xdr:to>
      <xdr:col>24</xdr:col>
      <xdr:colOff>363674</xdr:colOff>
      <xdr:row>92</xdr:row>
      <xdr:rowOff>83297</xdr:rowOff>
    </xdr:to>
    <xdr:sp macro="" textlink="">
      <xdr:nvSpPr>
        <xdr:cNvPr id="2219" name="Tekstfelt 36">
          <a:extLst>
            <a:ext uri="{FF2B5EF4-FFF2-40B4-BE49-F238E27FC236}">
              <a16:creationId xmlns:a16="http://schemas.microsoft.com/office/drawing/2014/main" id="{332641D7-50B2-4A66-B923-8BEFF68A7B05}"/>
            </a:ext>
          </a:extLst>
        </xdr:cNvPr>
        <xdr:cNvSpPr txBox="1"/>
      </xdr:nvSpPr>
      <xdr:spPr>
        <a:xfrm>
          <a:off x="14070045" y="15862481"/>
          <a:ext cx="830244" cy="633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106</a:t>
          </a:r>
        </a:p>
      </xdr:txBody>
    </xdr:sp>
    <xdr:clientData/>
  </xdr:twoCellAnchor>
  <xdr:twoCellAnchor>
    <xdr:from>
      <xdr:col>28</xdr:col>
      <xdr:colOff>63135</xdr:colOff>
      <xdr:row>91</xdr:row>
      <xdr:rowOff>96119</xdr:rowOff>
    </xdr:from>
    <xdr:to>
      <xdr:col>29</xdr:col>
      <xdr:colOff>321796</xdr:colOff>
      <xdr:row>95</xdr:row>
      <xdr:rowOff>17536</xdr:rowOff>
    </xdr:to>
    <xdr:sp macro="" textlink="">
      <xdr:nvSpPr>
        <xdr:cNvPr id="1966" name="Tekstfelt 38">
          <a:extLst>
            <a:ext uri="{FF2B5EF4-FFF2-40B4-BE49-F238E27FC236}">
              <a16:creationId xmlns:a16="http://schemas.microsoft.com/office/drawing/2014/main" id="{D38C31AF-55CC-4C21-A310-07CFE0F0E5DB}"/>
            </a:ext>
          </a:extLst>
        </xdr:cNvPr>
        <xdr:cNvSpPr txBox="1"/>
      </xdr:nvSpPr>
      <xdr:spPr>
        <a:xfrm>
          <a:off x="18160635" y="17122058"/>
          <a:ext cx="905000" cy="669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107</a:t>
          </a:r>
        </a:p>
      </xdr:txBody>
    </xdr:sp>
    <xdr:clientData/>
  </xdr:twoCellAnchor>
  <xdr:twoCellAnchor>
    <xdr:from>
      <xdr:col>26</xdr:col>
      <xdr:colOff>276262</xdr:colOff>
      <xdr:row>122</xdr:row>
      <xdr:rowOff>60516</xdr:rowOff>
    </xdr:from>
    <xdr:to>
      <xdr:col>27</xdr:col>
      <xdr:colOff>264653</xdr:colOff>
      <xdr:row>127</xdr:row>
      <xdr:rowOff>68847</xdr:rowOff>
    </xdr:to>
    <xdr:sp macro="" textlink="">
      <xdr:nvSpPr>
        <xdr:cNvPr id="2322" name="Tekstfelt 40">
          <a:extLst>
            <a:ext uri="{FF2B5EF4-FFF2-40B4-BE49-F238E27FC236}">
              <a16:creationId xmlns:a16="http://schemas.microsoft.com/office/drawing/2014/main" id="{630485B7-FC97-42F6-872F-09941AF05FE0}"/>
            </a:ext>
          </a:extLst>
        </xdr:cNvPr>
        <xdr:cNvSpPr txBox="1"/>
      </xdr:nvSpPr>
      <xdr:spPr>
        <a:xfrm rot="5400000">
          <a:off x="15714110" y="22768850"/>
          <a:ext cx="931968" cy="588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108</a:t>
          </a:r>
        </a:p>
      </xdr:txBody>
    </xdr:sp>
    <xdr:clientData/>
  </xdr:twoCellAnchor>
  <xdr:twoCellAnchor>
    <xdr:from>
      <xdr:col>13</xdr:col>
      <xdr:colOff>533820</xdr:colOff>
      <xdr:row>121</xdr:row>
      <xdr:rowOff>111785</xdr:rowOff>
    </xdr:from>
    <xdr:to>
      <xdr:col>15</xdr:col>
      <xdr:colOff>141283</xdr:colOff>
      <xdr:row>125</xdr:row>
      <xdr:rowOff>28438</xdr:rowOff>
    </xdr:to>
    <xdr:sp macro="" textlink="">
      <xdr:nvSpPr>
        <xdr:cNvPr id="1870" name="Tekstfelt 42">
          <a:extLst>
            <a:ext uri="{FF2B5EF4-FFF2-40B4-BE49-F238E27FC236}">
              <a16:creationId xmlns:a16="http://schemas.microsoft.com/office/drawing/2014/main" id="{EB918750-4739-4A93-BFF1-5977C8119544}"/>
            </a:ext>
          </a:extLst>
        </xdr:cNvPr>
        <xdr:cNvSpPr txBox="1"/>
      </xdr:nvSpPr>
      <xdr:spPr>
        <a:xfrm>
          <a:off x="8936231" y="22750671"/>
          <a:ext cx="900141" cy="665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201</a:t>
          </a:r>
        </a:p>
      </xdr:txBody>
    </xdr:sp>
    <xdr:clientData/>
  </xdr:twoCellAnchor>
  <xdr:twoCellAnchor>
    <xdr:from>
      <xdr:col>17</xdr:col>
      <xdr:colOff>300566</xdr:colOff>
      <xdr:row>123</xdr:row>
      <xdr:rowOff>7523</xdr:rowOff>
    </xdr:from>
    <xdr:to>
      <xdr:col>18</xdr:col>
      <xdr:colOff>523887</xdr:colOff>
      <xdr:row>126</xdr:row>
      <xdr:rowOff>96281</xdr:rowOff>
    </xdr:to>
    <xdr:sp macro="" textlink="">
      <xdr:nvSpPr>
        <xdr:cNvPr id="2250" name="Tekstfelt 45">
          <a:extLst>
            <a:ext uri="{FF2B5EF4-FFF2-40B4-BE49-F238E27FC236}">
              <a16:creationId xmlns:a16="http://schemas.microsoft.com/office/drawing/2014/main" id="{C88B6F90-A537-4F4E-8258-77F8FD60A075}"/>
            </a:ext>
          </a:extLst>
        </xdr:cNvPr>
        <xdr:cNvSpPr txBox="1"/>
      </xdr:nvSpPr>
      <xdr:spPr>
        <a:xfrm>
          <a:off x="10735733" y="23439023"/>
          <a:ext cx="837154" cy="660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202</a:t>
          </a:r>
        </a:p>
      </xdr:txBody>
    </xdr:sp>
    <xdr:clientData/>
  </xdr:twoCellAnchor>
  <xdr:twoCellAnchor>
    <xdr:from>
      <xdr:col>21</xdr:col>
      <xdr:colOff>501909</xdr:colOff>
      <xdr:row>123</xdr:row>
      <xdr:rowOff>149005</xdr:rowOff>
    </xdr:from>
    <xdr:to>
      <xdr:col>23</xdr:col>
      <xdr:colOff>138474</xdr:colOff>
      <xdr:row>127</xdr:row>
      <xdr:rowOff>67690</xdr:rowOff>
    </xdr:to>
    <xdr:sp macro="" textlink="">
      <xdr:nvSpPr>
        <xdr:cNvPr id="2323" name="Tekstfelt 49">
          <a:extLst>
            <a:ext uri="{FF2B5EF4-FFF2-40B4-BE49-F238E27FC236}">
              <a16:creationId xmlns:a16="http://schemas.microsoft.com/office/drawing/2014/main" id="{78DDCF28-2B22-47A4-A6C9-538883C4164A}"/>
            </a:ext>
          </a:extLst>
        </xdr:cNvPr>
        <xdr:cNvSpPr txBox="1"/>
      </xdr:nvSpPr>
      <xdr:spPr>
        <a:xfrm>
          <a:off x="13109545" y="22870460"/>
          <a:ext cx="837293" cy="657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204</a:t>
          </a:r>
        </a:p>
      </xdr:txBody>
    </xdr:sp>
    <xdr:clientData/>
  </xdr:twoCellAnchor>
  <xdr:twoCellAnchor>
    <xdr:from>
      <xdr:col>19</xdr:col>
      <xdr:colOff>368301</xdr:colOff>
      <xdr:row>121</xdr:row>
      <xdr:rowOff>85178</xdr:rowOff>
    </xdr:from>
    <xdr:to>
      <xdr:col>21</xdr:col>
      <xdr:colOff>4867</xdr:colOff>
      <xdr:row>125</xdr:row>
      <xdr:rowOff>6594</xdr:rowOff>
    </xdr:to>
    <xdr:sp macro="" textlink="">
      <xdr:nvSpPr>
        <xdr:cNvPr id="2251" name="Tekstfelt 52">
          <a:extLst>
            <a:ext uri="{FF2B5EF4-FFF2-40B4-BE49-F238E27FC236}">
              <a16:creationId xmlns:a16="http://schemas.microsoft.com/office/drawing/2014/main" id="{C007D2A7-D916-490B-AB53-9E20BA046ADA}"/>
            </a:ext>
          </a:extLst>
        </xdr:cNvPr>
        <xdr:cNvSpPr txBox="1"/>
      </xdr:nvSpPr>
      <xdr:spPr>
        <a:xfrm>
          <a:off x="12031134" y="23135678"/>
          <a:ext cx="864233" cy="683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2400">
              <a:solidFill>
                <a:schemeClr val="bg1"/>
              </a:solidFill>
            </a:rPr>
            <a:t>203</a:t>
          </a:r>
        </a:p>
      </xdr:txBody>
    </xdr:sp>
    <xdr:clientData/>
  </xdr:twoCellAnchor>
  <xdr:twoCellAnchor>
    <xdr:from>
      <xdr:col>0</xdr:col>
      <xdr:colOff>388644</xdr:colOff>
      <xdr:row>80</xdr:row>
      <xdr:rowOff>77369</xdr:rowOff>
    </xdr:from>
    <xdr:to>
      <xdr:col>11</xdr:col>
      <xdr:colOff>583406</xdr:colOff>
      <xdr:row>86</xdr:row>
      <xdr:rowOff>111120</xdr:rowOff>
    </xdr:to>
    <xdr:sp macro="" textlink="">
      <xdr:nvSpPr>
        <xdr:cNvPr id="2138" name="Tekstfelt 54">
          <a:extLst>
            <a:ext uri="{FF2B5EF4-FFF2-40B4-BE49-F238E27FC236}">
              <a16:creationId xmlns:a16="http://schemas.microsoft.com/office/drawing/2014/main" id="{46339BA9-61B6-476D-9E35-C0400355E072}"/>
            </a:ext>
          </a:extLst>
        </xdr:cNvPr>
        <xdr:cNvSpPr txBox="1"/>
      </xdr:nvSpPr>
      <xdr:spPr>
        <a:xfrm>
          <a:off x="388644" y="14364869"/>
          <a:ext cx="7398045" cy="1105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5400">
              <a:solidFill>
                <a:sysClr val="windowText" lastClr="000000"/>
              </a:solidFill>
            </a:rPr>
            <a:t>Maskinnummer:</a:t>
          </a:r>
        </a:p>
      </xdr:txBody>
    </xdr:sp>
    <xdr:clientData/>
  </xdr:twoCellAnchor>
  <xdr:twoCellAnchor>
    <xdr:from>
      <xdr:col>1</xdr:col>
      <xdr:colOff>21465</xdr:colOff>
      <xdr:row>22</xdr:row>
      <xdr:rowOff>107324</xdr:rowOff>
    </xdr:from>
    <xdr:to>
      <xdr:col>16</xdr:col>
      <xdr:colOff>19050</xdr:colOff>
      <xdr:row>28</xdr:row>
      <xdr:rowOff>8928</xdr:rowOff>
    </xdr:to>
    <xdr:sp macro="" textlink="">
      <xdr:nvSpPr>
        <xdr:cNvPr id="2320" name="Tekstfelt 55">
          <a:extLst>
            <a:ext uri="{FF2B5EF4-FFF2-40B4-BE49-F238E27FC236}">
              <a16:creationId xmlns:a16="http://schemas.microsoft.com/office/drawing/2014/main" id="{349DB17C-EDDD-441C-AC5E-F3B969FA24A9}"/>
            </a:ext>
          </a:extLst>
        </xdr:cNvPr>
        <xdr:cNvSpPr txBox="1"/>
      </xdr:nvSpPr>
      <xdr:spPr>
        <a:xfrm>
          <a:off x="633211" y="4239296"/>
          <a:ext cx="9173783" cy="100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5400">
              <a:solidFill>
                <a:sysClr val="windowText" lastClr="000000"/>
              </a:solidFill>
            </a:rPr>
            <a:t>Lay</a:t>
          </a:r>
          <a:r>
            <a:rPr lang="da-DK" sz="5400" baseline="0">
              <a:solidFill>
                <a:sysClr val="windowText" lastClr="000000"/>
              </a:solidFill>
            </a:rPr>
            <a:t>out for Produktionen:</a:t>
          </a:r>
          <a:endParaRPr lang="da-DK" sz="5400">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350108</xdr:colOff>
      <xdr:row>12</xdr:row>
      <xdr:rowOff>51486</xdr:rowOff>
    </xdr:from>
    <xdr:to>
      <xdr:col>11</xdr:col>
      <xdr:colOff>483458</xdr:colOff>
      <xdr:row>12</xdr:row>
      <xdr:rowOff>184836</xdr:rowOff>
    </xdr:to>
    <xdr:sp macro="" textlink="">
      <xdr:nvSpPr>
        <xdr:cNvPr id="4" name="Oval 7">
          <a:extLst>
            <a:ext uri="{FF2B5EF4-FFF2-40B4-BE49-F238E27FC236}">
              <a16:creationId xmlns:a16="http://schemas.microsoft.com/office/drawing/2014/main" id="{B621DF9A-8E9C-4FF6-8830-EA8FF2DE5B44}"/>
            </a:ext>
          </a:extLst>
        </xdr:cNvPr>
        <xdr:cNvSpPr>
          <a:spLocks noChangeArrowheads="1"/>
        </xdr:cNvSpPr>
      </xdr:nvSpPr>
      <xdr:spPr bwMode="auto">
        <a:xfrm>
          <a:off x="14498594" y="2955324"/>
          <a:ext cx="133350" cy="133350"/>
        </a:xfrm>
        <a:prstGeom prst="ellipse">
          <a:avLst/>
        </a:prstGeom>
        <a:noFill/>
        <a:ln w="9525">
          <a:solidFill>
            <a:srgbClr val="000000"/>
          </a:solidFill>
          <a:round/>
          <a:headEnd/>
          <a:tailEnd/>
        </a:ln>
      </xdr:spPr>
    </xdr:sp>
    <xdr:clientData/>
  </xdr:twoCellAnchor>
  <xdr:twoCellAnchor>
    <xdr:from>
      <xdr:col>11</xdr:col>
      <xdr:colOff>363023</xdr:colOff>
      <xdr:row>13</xdr:row>
      <xdr:rowOff>257606</xdr:rowOff>
    </xdr:from>
    <xdr:to>
      <xdr:col>11</xdr:col>
      <xdr:colOff>496373</xdr:colOff>
      <xdr:row>13</xdr:row>
      <xdr:rowOff>390956</xdr:rowOff>
    </xdr:to>
    <xdr:sp macro="" textlink="">
      <xdr:nvSpPr>
        <xdr:cNvPr id="5" name="Oval 7">
          <a:extLst>
            <a:ext uri="{FF2B5EF4-FFF2-40B4-BE49-F238E27FC236}">
              <a16:creationId xmlns:a16="http://schemas.microsoft.com/office/drawing/2014/main" id="{04FA79FA-A79A-443C-9604-3B4778279C0B}"/>
            </a:ext>
          </a:extLst>
        </xdr:cNvPr>
        <xdr:cNvSpPr>
          <a:spLocks noChangeArrowheads="1"/>
        </xdr:cNvSpPr>
      </xdr:nvSpPr>
      <xdr:spPr bwMode="auto">
        <a:xfrm>
          <a:off x="14505226" y="3408928"/>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350108</xdr:colOff>
      <xdr:row>15</xdr:row>
      <xdr:rowOff>51487</xdr:rowOff>
    </xdr:from>
    <xdr:to>
      <xdr:col>11</xdr:col>
      <xdr:colOff>483458</xdr:colOff>
      <xdr:row>15</xdr:row>
      <xdr:rowOff>184837</xdr:rowOff>
    </xdr:to>
    <xdr:sp macro="" textlink="">
      <xdr:nvSpPr>
        <xdr:cNvPr id="6" name="Oval 7">
          <a:extLst>
            <a:ext uri="{FF2B5EF4-FFF2-40B4-BE49-F238E27FC236}">
              <a16:creationId xmlns:a16="http://schemas.microsoft.com/office/drawing/2014/main" id="{E77CEF27-654A-416A-9539-436A1C35A52C}"/>
            </a:ext>
          </a:extLst>
        </xdr:cNvPr>
        <xdr:cNvSpPr>
          <a:spLocks noChangeArrowheads="1"/>
        </xdr:cNvSpPr>
      </xdr:nvSpPr>
      <xdr:spPr bwMode="auto">
        <a:xfrm>
          <a:off x="14498594" y="3758514"/>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339811</xdr:colOff>
      <xdr:row>16</xdr:row>
      <xdr:rowOff>51487</xdr:rowOff>
    </xdr:from>
    <xdr:to>
      <xdr:col>11</xdr:col>
      <xdr:colOff>473161</xdr:colOff>
      <xdr:row>16</xdr:row>
      <xdr:rowOff>184837</xdr:rowOff>
    </xdr:to>
    <xdr:sp macro="" textlink="">
      <xdr:nvSpPr>
        <xdr:cNvPr id="7" name="Oval 7">
          <a:extLst>
            <a:ext uri="{FF2B5EF4-FFF2-40B4-BE49-F238E27FC236}">
              <a16:creationId xmlns:a16="http://schemas.microsoft.com/office/drawing/2014/main" id="{636ED2FF-974D-470E-8DF8-94B8B6AE042C}"/>
            </a:ext>
          </a:extLst>
        </xdr:cNvPr>
        <xdr:cNvSpPr>
          <a:spLocks noChangeArrowheads="1"/>
        </xdr:cNvSpPr>
      </xdr:nvSpPr>
      <xdr:spPr bwMode="auto">
        <a:xfrm>
          <a:off x="14488297" y="3985055"/>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352726</xdr:colOff>
      <xdr:row>17</xdr:row>
      <xdr:rowOff>154808</xdr:rowOff>
    </xdr:from>
    <xdr:to>
      <xdr:col>11</xdr:col>
      <xdr:colOff>486076</xdr:colOff>
      <xdr:row>17</xdr:row>
      <xdr:rowOff>288158</xdr:rowOff>
    </xdr:to>
    <xdr:sp macro="" textlink="">
      <xdr:nvSpPr>
        <xdr:cNvPr id="8" name="Oval 7">
          <a:extLst>
            <a:ext uri="{FF2B5EF4-FFF2-40B4-BE49-F238E27FC236}">
              <a16:creationId xmlns:a16="http://schemas.microsoft.com/office/drawing/2014/main" id="{1D02F5F2-798D-4EF1-839B-6F373B0B5951}"/>
            </a:ext>
          </a:extLst>
        </xdr:cNvPr>
        <xdr:cNvSpPr>
          <a:spLocks noChangeArrowheads="1"/>
        </xdr:cNvSpPr>
      </xdr:nvSpPr>
      <xdr:spPr bwMode="auto">
        <a:xfrm>
          <a:off x="14546590" y="4507249"/>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339810</xdr:colOff>
      <xdr:row>18</xdr:row>
      <xdr:rowOff>41190</xdr:rowOff>
    </xdr:from>
    <xdr:to>
      <xdr:col>11</xdr:col>
      <xdr:colOff>473160</xdr:colOff>
      <xdr:row>18</xdr:row>
      <xdr:rowOff>174540</xdr:rowOff>
    </xdr:to>
    <xdr:sp macro="" textlink="">
      <xdr:nvSpPr>
        <xdr:cNvPr id="9" name="Oval 7">
          <a:extLst>
            <a:ext uri="{FF2B5EF4-FFF2-40B4-BE49-F238E27FC236}">
              <a16:creationId xmlns:a16="http://schemas.microsoft.com/office/drawing/2014/main" id="{63920C0F-6454-47DE-A081-A53F70D860EC}"/>
            </a:ext>
          </a:extLst>
        </xdr:cNvPr>
        <xdr:cNvSpPr>
          <a:spLocks noChangeArrowheads="1"/>
        </xdr:cNvSpPr>
      </xdr:nvSpPr>
      <xdr:spPr bwMode="auto">
        <a:xfrm>
          <a:off x="14488296" y="4427839"/>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339811</xdr:colOff>
      <xdr:row>19</xdr:row>
      <xdr:rowOff>41189</xdr:rowOff>
    </xdr:from>
    <xdr:to>
      <xdr:col>11</xdr:col>
      <xdr:colOff>473161</xdr:colOff>
      <xdr:row>19</xdr:row>
      <xdr:rowOff>174539</xdr:rowOff>
    </xdr:to>
    <xdr:sp macro="" textlink="">
      <xdr:nvSpPr>
        <xdr:cNvPr id="10" name="Oval 7">
          <a:extLst>
            <a:ext uri="{FF2B5EF4-FFF2-40B4-BE49-F238E27FC236}">
              <a16:creationId xmlns:a16="http://schemas.microsoft.com/office/drawing/2014/main" id="{F41DA333-BCCC-4D18-85E8-C5ADFD84DDE9}"/>
            </a:ext>
          </a:extLst>
        </xdr:cNvPr>
        <xdr:cNvSpPr>
          <a:spLocks noChangeArrowheads="1"/>
        </xdr:cNvSpPr>
      </xdr:nvSpPr>
      <xdr:spPr bwMode="auto">
        <a:xfrm>
          <a:off x="14488297" y="4654378"/>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339811</xdr:colOff>
      <xdr:row>20</xdr:row>
      <xdr:rowOff>41189</xdr:rowOff>
    </xdr:from>
    <xdr:to>
      <xdr:col>11</xdr:col>
      <xdr:colOff>473161</xdr:colOff>
      <xdr:row>20</xdr:row>
      <xdr:rowOff>174539</xdr:rowOff>
    </xdr:to>
    <xdr:sp macro="" textlink="">
      <xdr:nvSpPr>
        <xdr:cNvPr id="11" name="Oval 7">
          <a:extLst>
            <a:ext uri="{FF2B5EF4-FFF2-40B4-BE49-F238E27FC236}">
              <a16:creationId xmlns:a16="http://schemas.microsoft.com/office/drawing/2014/main" id="{CB8B8CF1-9D8E-4768-844F-7E60D1D48471}"/>
            </a:ext>
          </a:extLst>
        </xdr:cNvPr>
        <xdr:cNvSpPr>
          <a:spLocks noChangeArrowheads="1"/>
        </xdr:cNvSpPr>
      </xdr:nvSpPr>
      <xdr:spPr bwMode="auto">
        <a:xfrm>
          <a:off x="14488297" y="4880919"/>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350108</xdr:colOff>
      <xdr:row>21</xdr:row>
      <xdr:rowOff>51486</xdr:rowOff>
    </xdr:from>
    <xdr:to>
      <xdr:col>11</xdr:col>
      <xdr:colOff>483458</xdr:colOff>
      <xdr:row>21</xdr:row>
      <xdr:rowOff>184836</xdr:rowOff>
    </xdr:to>
    <xdr:sp macro="" textlink="">
      <xdr:nvSpPr>
        <xdr:cNvPr id="12" name="Oval 7">
          <a:extLst>
            <a:ext uri="{FF2B5EF4-FFF2-40B4-BE49-F238E27FC236}">
              <a16:creationId xmlns:a16="http://schemas.microsoft.com/office/drawing/2014/main" id="{9792FF4D-2F3F-4206-8661-F9C0DE951658}"/>
            </a:ext>
          </a:extLst>
        </xdr:cNvPr>
        <xdr:cNvSpPr>
          <a:spLocks noChangeArrowheads="1"/>
        </xdr:cNvSpPr>
      </xdr:nvSpPr>
      <xdr:spPr bwMode="auto">
        <a:xfrm>
          <a:off x="14498594" y="5117756"/>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360406</xdr:colOff>
      <xdr:row>41</xdr:row>
      <xdr:rowOff>51486</xdr:rowOff>
    </xdr:from>
    <xdr:to>
      <xdr:col>11</xdr:col>
      <xdr:colOff>493756</xdr:colOff>
      <xdr:row>41</xdr:row>
      <xdr:rowOff>184836</xdr:rowOff>
    </xdr:to>
    <xdr:sp macro="" textlink="">
      <xdr:nvSpPr>
        <xdr:cNvPr id="14" name="Oval 7">
          <a:extLst>
            <a:ext uri="{FF2B5EF4-FFF2-40B4-BE49-F238E27FC236}">
              <a16:creationId xmlns:a16="http://schemas.microsoft.com/office/drawing/2014/main" id="{1E76F8E4-792F-498C-B5D2-31501EAB80DD}"/>
            </a:ext>
          </a:extLst>
        </xdr:cNvPr>
        <xdr:cNvSpPr>
          <a:spLocks noChangeArrowheads="1"/>
        </xdr:cNvSpPr>
      </xdr:nvSpPr>
      <xdr:spPr bwMode="auto">
        <a:xfrm>
          <a:off x="14508892" y="9741243"/>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360405</xdr:colOff>
      <xdr:row>42</xdr:row>
      <xdr:rowOff>41189</xdr:rowOff>
    </xdr:from>
    <xdr:to>
      <xdr:col>11</xdr:col>
      <xdr:colOff>493755</xdr:colOff>
      <xdr:row>42</xdr:row>
      <xdr:rowOff>174539</xdr:rowOff>
    </xdr:to>
    <xdr:sp macro="" textlink="">
      <xdr:nvSpPr>
        <xdr:cNvPr id="15" name="Oval 7">
          <a:extLst>
            <a:ext uri="{FF2B5EF4-FFF2-40B4-BE49-F238E27FC236}">
              <a16:creationId xmlns:a16="http://schemas.microsoft.com/office/drawing/2014/main" id="{F00823E8-3A91-4F69-B40A-AFAED29D9598}"/>
            </a:ext>
          </a:extLst>
        </xdr:cNvPr>
        <xdr:cNvSpPr>
          <a:spLocks noChangeArrowheads="1"/>
        </xdr:cNvSpPr>
      </xdr:nvSpPr>
      <xdr:spPr bwMode="auto">
        <a:xfrm>
          <a:off x="14508891" y="9957486"/>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350108</xdr:colOff>
      <xdr:row>43</xdr:row>
      <xdr:rowOff>154459</xdr:rowOff>
    </xdr:from>
    <xdr:to>
      <xdr:col>11</xdr:col>
      <xdr:colOff>483458</xdr:colOff>
      <xdr:row>44</xdr:row>
      <xdr:rowOff>61269</xdr:rowOff>
    </xdr:to>
    <xdr:sp macro="" textlink="">
      <xdr:nvSpPr>
        <xdr:cNvPr id="16" name="Oval 7">
          <a:extLst>
            <a:ext uri="{FF2B5EF4-FFF2-40B4-BE49-F238E27FC236}">
              <a16:creationId xmlns:a16="http://schemas.microsoft.com/office/drawing/2014/main" id="{F8F767E6-B00E-407C-8566-FA533955922F}"/>
            </a:ext>
          </a:extLst>
        </xdr:cNvPr>
        <xdr:cNvSpPr>
          <a:spLocks noChangeArrowheads="1"/>
        </xdr:cNvSpPr>
      </xdr:nvSpPr>
      <xdr:spPr bwMode="auto">
        <a:xfrm>
          <a:off x="14498594" y="10297297"/>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350108</xdr:colOff>
      <xdr:row>45</xdr:row>
      <xdr:rowOff>61783</xdr:rowOff>
    </xdr:from>
    <xdr:to>
      <xdr:col>11</xdr:col>
      <xdr:colOff>483458</xdr:colOff>
      <xdr:row>45</xdr:row>
      <xdr:rowOff>195133</xdr:rowOff>
    </xdr:to>
    <xdr:sp macro="" textlink="">
      <xdr:nvSpPr>
        <xdr:cNvPr id="17" name="Oval 7">
          <a:extLst>
            <a:ext uri="{FF2B5EF4-FFF2-40B4-BE49-F238E27FC236}">
              <a16:creationId xmlns:a16="http://schemas.microsoft.com/office/drawing/2014/main" id="{1789B172-2D36-4CC8-BAF5-AE9DD3E89DC5}"/>
            </a:ext>
          </a:extLst>
        </xdr:cNvPr>
        <xdr:cNvSpPr>
          <a:spLocks noChangeArrowheads="1"/>
        </xdr:cNvSpPr>
      </xdr:nvSpPr>
      <xdr:spPr bwMode="auto">
        <a:xfrm>
          <a:off x="14498594" y="10657702"/>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360406</xdr:colOff>
      <xdr:row>46</xdr:row>
      <xdr:rowOff>51487</xdr:rowOff>
    </xdr:from>
    <xdr:to>
      <xdr:col>11</xdr:col>
      <xdr:colOff>493756</xdr:colOff>
      <xdr:row>46</xdr:row>
      <xdr:rowOff>184837</xdr:rowOff>
    </xdr:to>
    <xdr:sp macro="" textlink="">
      <xdr:nvSpPr>
        <xdr:cNvPr id="18" name="Oval 7">
          <a:extLst>
            <a:ext uri="{FF2B5EF4-FFF2-40B4-BE49-F238E27FC236}">
              <a16:creationId xmlns:a16="http://schemas.microsoft.com/office/drawing/2014/main" id="{A29FB0FC-679C-45C8-9FA1-F6954DC8B635}"/>
            </a:ext>
          </a:extLst>
        </xdr:cNvPr>
        <xdr:cNvSpPr>
          <a:spLocks noChangeArrowheads="1"/>
        </xdr:cNvSpPr>
      </xdr:nvSpPr>
      <xdr:spPr bwMode="auto">
        <a:xfrm>
          <a:off x="14508892" y="10873946"/>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350108</xdr:colOff>
      <xdr:row>47</xdr:row>
      <xdr:rowOff>164757</xdr:rowOff>
    </xdr:from>
    <xdr:to>
      <xdr:col>11</xdr:col>
      <xdr:colOff>483458</xdr:colOff>
      <xdr:row>48</xdr:row>
      <xdr:rowOff>71566</xdr:rowOff>
    </xdr:to>
    <xdr:sp macro="" textlink="">
      <xdr:nvSpPr>
        <xdr:cNvPr id="19" name="Oval 7">
          <a:extLst>
            <a:ext uri="{FF2B5EF4-FFF2-40B4-BE49-F238E27FC236}">
              <a16:creationId xmlns:a16="http://schemas.microsoft.com/office/drawing/2014/main" id="{265B7C37-2F2E-46E3-845E-B49BB6C1F5EB}"/>
            </a:ext>
          </a:extLst>
        </xdr:cNvPr>
        <xdr:cNvSpPr>
          <a:spLocks noChangeArrowheads="1"/>
        </xdr:cNvSpPr>
      </xdr:nvSpPr>
      <xdr:spPr bwMode="auto">
        <a:xfrm>
          <a:off x="14498594" y="11213757"/>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339810</xdr:colOff>
      <xdr:row>49</xdr:row>
      <xdr:rowOff>41189</xdr:rowOff>
    </xdr:from>
    <xdr:to>
      <xdr:col>11</xdr:col>
      <xdr:colOff>473160</xdr:colOff>
      <xdr:row>49</xdr:row>
      <xdr:rowOff>174539</xdr:rowOff>
    </xdr:to>
    <xdr:sp macro="" textlink="">
      <xdr:nvSpPr>
        <xdr:cNvPr id="20" name="Oval 7">
          <a:extLst>
            <a:ext uri="{FF2B5EF4-FFF2-40B4-BE49-F238E27FC236}">
              <a16:creationId xmlns:a16="http://schemas.microsoft.com/office/drawing/2014/main" id="{00CBE346-3D46-440C-A711-E3462EE1608F}"/>
            </a:ext>
          </a:extLst>
        </xdr:cNvPr>
        <xdr:cNvSpPr>
          <a:spLocks noChangeArrowheads="1"/>
        </xdr:cNvSpPr>
      </xdr:nvSpPr>
      <xdr:spPr bwMode="auto">
        <a:xfrm>
          <a:off x="14488296" y="11543270"/>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350109</xdr:colOff>
      <xdr:row>50</xdr:row>
      <xdr:rowOff>61783</xdr:rowOff>
    </xdr:from>
    <xdr:to>
      <xdr:col>11</xdr:col>
      <xdr:colOff>483459</xdr:colOff>
      <xdr:row>50</xdr:row>
      <xdr:rowOff>195133</xdr:rowOff>
    </xdr:to>
    <xdr:sp macro="" textlink="">
      <xdr:nvSpPr>
        <xdr:cNvPr id="21" name="Oval 7">
          <a:extLst>
            <a:ext uri="{FF2B5EF4-FFF2-40B4-BE49-F238E27FC236}">
              <a16:creationId xmlns:a16="http://schemas.microsoft.com/office/drawing/2014/main" id="{4B6A85C3-6616-49EA-975C-CAA3C4BB0D77}"/>
            </a:ext>
          </a:extLst>
        </xdr:cNvPr>
        <xdr:cNvSpPr>
          <a:spLocks noChangeArrowheads="1"/>
        </xdr:cNvSpPr>
      </xdr:nvSpPr>
      <xdr:spPr bwMode="auto">
        <a:xfrm>
          <a:off x="14498595" y="11790405"/>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339810</xdr:colOff>
      <xdr:row>51</xdr:row>
      <xdr:rowOff>51487</xdr:rowOff>
    </xdr:from>
    <xdr:to>
      <xdr:col>11</xdr:col>
      <xdr:colOff>473160</xdr:colOff>
      <xdr:row>51</xdr:row>
      <xdr:rowOff>184837</xdr:rowOff>
    </xdr:to>
    <xdr:sp macro="" textlink="">
      <xdr:nvSpPr>
        <xdr:cNvPr id="22" name="Oval 7">
          <a:extLst>
            <a:ext uri="{FF2B5EF4-FFF2-40B4-BE49-F238E27FC236}">
              <a16:creationId xmlns:a16="http://schemas.microsoft.com/office/drawing/2014/main" id="{D2F61DCD-5611-4FDF-A354-6E3706B69404}"/>
            </a:ext>
          </a:extLst>
        </xdr:cNvPr>
        <xdr:cNvSpPr>
          <a:spLocks noChangeArrowheads="1"/>
        </xdr:cNvSpPr>
      </xdr:nvSpPr>
      <xdr:spPr bwMode="auto">
        <a:xfrm>
          <a:off x="14488296" y="12006649"/>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339811</xdr:colOff>
      <xdr:row>52</xdr:row>
      <xdr:rowOff>51487</xdr:rowOff>
    </xdr:from>
    <xdr:to>
      <xdr:col>11</xdr:col>
      <xdr:colOff>473161</xdr:colOff>
      <xdr:row>52</xdr:row>
      <xdr:rowOff>184837</xdr:rowOff>
    </xdr:to>
    <xdr:sp macro="" textlink="">
      <xdr:nvSpPr>
        <xdr:cNvPr id="23" name="Oval 7">
          <a:extLst>
            <a:ext uri="{FF2B5EF4-FFF2-40B4-BE49-F238E27FC236}">
              <a16:creationId xmlns:a16="http://schemas.microsoft.com/office/drawing/2014/main" id="{D5A0B8EB-507E-472B-A27A-CFE8E0582E7B}"/>
            </a:ext>
          </a:extLst>
        </xdr:cNvPr>
        <xdr:cNvSpPr>
          <a:spLocks noChangeArrowheads="1"/>
        </xdr:cNvSpPr>
      </xdr:nvSpPr>
      <xdr:spPr bwMode="auto">
        <a:xfrm>
          <a:off x="14488297" y="12233190"/>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339811</xdr:colOff>
      <xdr:row>53</xdr:row>
      <xdr:rowOff>61785</xdr:rowOff>
    </xdr:from>
    <xdr:to>
      <xdr:col>11</xdr:col>
      <xdr:colOff>473161</xdr:colOff>
      <xdr:row>53</xdr:row>
      <xdr:rowOff>195135</xdr:rowOff>
    </xdr:to>
    <xdr:sp macro="" textlink="">
      <xdr:nvSpPr>
        <xdr:cNvPr id="24" name="Oval 7">
          <a:extLst>
            <a:ext uri="{FF2B5EF4-FFF2-40B4-BE49-F238E27FC236}">
              <a16:creationId xmlns:a16="http://schemas.microsoft.com/office/drawing/2014/main" id="{4116AF14-5EB0-4681-BBAB-0C1EEEAD5A72}"/>
            </a:ext>
          </a:extLst>
        </xdr:cNvPr>
        <xdr:cNvSpPr>
          <a:spLocks noChangeArrowheads="1"/>
        </xdr:cNvSpPr>
      </xdr:nvSpPr>
      <xdr:spPr bwMode="auto">
        <a:xfrm>
          <a:off x="14488297" y="12470028"/>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339811</xdr:colOff>
      <xdr:row>54</xdr:row>
      <xdr:rowOff>185351</xdr:rowOff>
    </xdr:from>
    <xdr:to>
      <xdr:col>11</xdr:col>
      <xdr:colOff>473161</xdr:colOff>
      <xdr:row>54</xdr:row>
      <xdr:rowOff>318701</xdr:rowOff>
    </xdr:to>
    <xdr:sp macro="" textlink="">
      <xdr:nvSpPr>
        <xdr:cNvPr id="25" name="Oval 7">
          <a:extLst>
            <a:ext uri="{FF2B5EF4-FFF2-40B4-BE49-F238E27FC236}">
              <a16:creationId xmlns:a16="http://schemas.microsoft.com/office/drawing/2014/main" id="{7928CEA8-8F1F-419A-96AB-91E2D48FAB46}"/>
            </a:ext>
          </a:extLst>
        </xdr:cNvPr>
        <xdr:cNvSpPr>
          <a:spLocks noChangeArrowheads="1"/>
        </xdr:cNvSpPr>
      </xdr:nvSpPr>
      <xdr:spPr bwMode="auto">
        <a:xfrm>
          <a:off x="14488297" y="12820135"/>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339811</xdr:colOff>
      <xdr:row>55</xdr:row>
      <xdr:rowOff>82378</xdr:rowOff>
    </xdr:from>
    <xdr:to>
      <xdr:col>11</xdr:col>
      <xdr:colOff>473161</xdr:colOff>
      <xdr:row>55</xdr:row>
      <xdr:rowOff>215728</xdr:rowOff>
    </xdr:to>
    <xdr:sp macro="" textlink="">
      <xdr:nvSpPr>
        <xdr:cNvPr id="26" name="Oval 7">
          <a:extLst>
            <a:ext uri="{FF2B5EF4-FFF2-40B4-BE49-F238E27FC236}">
              <a16:creationId xmlns:a16="http://schemas.microsoft.com/office/drawing/2014/main" id="{6CC04E8E-9732-433F-A12C-D84172ABD6D4}"/>
            </a:ext>
          </a:extLst>
        </xdr:cNvPr>
        <xdr:cNvSpPr>
          <a:spLocks noChangeArrowheads="1"/>
        </xdr:cNvSpPr>
      </xdr:nvSpPr>
      <xdr:spPr bwMode="auto">
        <a:xfrm>
          <a:off x="14488297" y="13170243"/>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339810</xdr:colOff>
      <xdr:row>57</xdr:row>
      <xdr:rowOff>82378</xdr:rowOff>
    </xdr:from>
    <xdr:to>
      <xdr:col>11</xdr:col>
      <xdr:colOff>473160</xdr:colOff>
      <xdr:row>57</xdr:row>
      <xdr:rowOff>215728</xdr:rowOff>
    </xdr:to>
    <xdr:sp macro="" textlink="">
      <xdr:nvSpPr>
        <xdr:cNvPr id="27" name="Oval 7">
          <a:extLst>
            <a:ext uri="{FF2B5EF4-FFF2-40B4-BE49-F238E27FC236}">
              <a16:creationId xmlns:a16="http://schemas.microsoft.com/office/drawing/2014/main" id="{ECB92548-054B-4647-910E-CE502F4070F7}"/>
            </a:ext>
          </a:extLst>
        </xdr:cNvPr>
        <xdr:cNvSpPr>
          <a:spLocks noChangeArrowheads="1"/>
        </xdr:cNvSpPr>
      </xdr:nvSpPr>
      <xdr:spPr bwMode="auto">
        <a:xfrm>
          <a:off x="14488296" y="13458567"/>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329513</xdr:colOff>
      <xdr:row>58</xdr:row>
      <xdr:rowOff>51487</xdr:rowOff>
    </xdr:from>
    <xdr:to>
      <xdr:col>11</xdr:col>
      <xdr:colOff>462863</xdr:colOff>
      <xdr:row>58</xdr:row>
      <xdr:rowOff>184837</xdr:rowOff>
    </xdr:to>
    <xdr:sp macro="" textlink="">
      <xdr:nvSpPr>
        <xdr:cNvPr id="28" name="Oval 7">
          <a:extLst>
            <a:ext uri="{FF2B5EF4-FFF2-40B4-BE49-F238E27FC236}">
              <a16:creationId xmlns:a16="http://schemas.microsoft.com/office/drawing/2014/main" id="{D113B4CD-5DD1-42F0-BF31-54D0CA0AB472}"/>
            </a:ext>
          </a:extLst>
        </xdr:cNvPr>
        <xdr:cNvSpPr>
          <a:spLocks noChangeArrowheads="1"/>
        </xdr:cNvSpPr>
      </xdr:nvSpPr>
      <xdr:spPr bwMode="auto">
        <a:xfrm>
          <a:off x="14477999" y="13705703"/>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329514</xdr:colOff>
      <xdr:row>59</xdr:row>
      <xdr:rowOff>175054</xdr:rowOff>
    </xdr:from>
    <xdr:to>
      <xdr:col>11</xdr:col>
      <xdr:colOff>462864</xdr:colOff>
      <xdr:row>59</xdr:row>
      <xdr:rowOff>308404</xdr:rowOff>
    </xdr:to>
    <xdr:sp macro="" textlink="">
      <xdr:nvSpPr>
        <xdr:cNvPr id="29" name="Oval 7">
          <a:extLst>
            <a:ext uri="{FF2B5EF4-FFF2-40B4-BE49-F238E27FC236}">
              <a16:creationId xmlns:a16="http://schemas.microsoft.com/office/drawing/2014/main" id="{F99219F0-2273-4544-B5D1-BBB18A8D43F2}"/>
            </a:ext>
          </a:extLst>
        </xdr:cNvPr>
        <xdr:cNvSpPr>
          <a:spLocks noChangeArrowheads="1"/>
        </xdr:cNvSpPr>
      </xdr:nvSpPr>
      <xdr:spPr bwMode="auto">
        <a:xfrm>
          <a:off x="14478000" y="14055811"/>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329514</xdr:colOff>
      <xdr:row>60</xdr:row>
      <xdr:rowOff>51487</xdr:rowOff>
    </xdr:from>
    <xdr:to>
      <xdr:col>11</xdr:col>
      <xdr:colOff>462864</xdr:colOff>
      <xdr:row>60</xdr:row>
      <xdr:rowOff>184837</xdr:rowOff>
    </xdr:to>
    <xdr:sp macro="" textlink="">
      <xdr:nvSpPr>
        <xdr:cNvPr id="30" name="Oval 7">
          <a:extLst>
            <a:ext uri="{FF2B5EF4-FFF2-40B4-BE49-F238E27FC236}">
              <a16:creationId xmlns:a16="http://schemas.microsoft.com/office/drawing/2014/main" id="{CE7D440D-85F3-466D-859A-4DD5FE8A19A6}"/>
            </a:ext>
          </a:extLst>
        </xdr:cNvPr>
        <xdr:cNvSpPr>
          <a:spLocks noChangeArrowheads="1"/>
        </xdr:cNvSpPr>
      </xdr:nvSpPr>
      <xdr:spPr bwMode="auto">
        <a:xfrm>
          <a:off x="14478000" y="14385325"/>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319216</xdr:colOff>
      <xdr:row>61</xdr:row>
      <xdr:rowOff>51487</xdr:rowOff>
    </xdr:from>
    <xdr:to>
      <xdr:col>11</xdr:col>
      <xdr:colOff>452566</xdr:colOff>
      <xdr:row>61</xdr:row>
      <xdr:rowOff>184837</xdr:rowOff>
    </xdr:to>
    <xdr:sp macro="" textlink="">
      <xdr:nvSpPr>
        <xdr:cNvPr id="31" name="Oval 7">
          <a:extLst>
            <a:ext uri="{FF2B5EF4-FFF2-40B4-BE49-F238E27FC236}">
              <a16:creationId xmlns:a16="http://schemas.microsoft.com/office/drawing/2014/main" id="{7E641CFF-7D45-4653-840D-C6B0E1CBB203}"/>
            </a:ext>
          </a:extLst>
        </xdr:cNvPr>
        <xdr:cNvSpPr>
          <a:spLocks noChangeArrowheads="1"/>
        </xdr:cNvSpPr>
      </xdr:nvSpPr>
      <xdr:spPr bwMode="auto">
        <a:xfrm>
          <a:off x="14467702" y="14611865"/>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329513</xdr:colOff>
      <xdr:row>80</xdr:row>
      <xdr:rowOff>51486</xdr:rowOff>
    </xdr:from>
    <xdr:to>
      <xdr:col>11</xdr:col>
      <xdr:colOff>462863</xdr:colOff>
      <xdr:row>80</xdr:row>
      <xdr:rowOff>184836</xdr:rowOff>
    </xdr:to>
    <xdr:sp macro="" textlink="">
      <xdr:nvSpPr>
        <xdr:cNvPr id="32" name="Oval 7">
          <a:extLst>
            <a:ext uri="{FF2B5EF4-FFF2-40B4-BE49-F238E27FC236}">
              <a16:creationId xmlns:a16="http://schemas.microsoft.com/office/drawing/2014/main" id="{B17A8A52-31B5-4814-9EBF-3887BC9B784C}"/>
            </a:ext>
          </a:extLst>
        </xdr:cNvPr>
        <xdr:cNvSpPr>
          <a:spLocks noChangeArrowheads="1"/>
        </xdr:cNvSpPr>
      </xdr:nvSpPr>
      <xdr:spPr bwMode="auto">
        <a:xfrm>
          <a:off x="14477999" y="19163270"/>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319217</xdr:colOff>
      <xdr:row>81</xdr:row>
      <xdr:rowOff>154459</xdr:rowOff>
    </xdr:from>
    <xdr:to>
      <xdr:col>11</xdr:col>
      <xdr:colOff>452567</xdr:colOff>
      <xdr:row>82</xdr:row>
      <xdr:rowOff>61268</xdr:rowOff>
    </xdr:to>
    <xdr:sp macro="" textlink="">
      <xdr:nvSpPr>
        <xdr:cNvPr id="33" name="Oval 7">
          <a:extLst>
            <a:ext uri="{FF2B5EF4-FFF2-40B4-BE49-F238E27FC236}">
              <a16:creationId xmlns:a16="http://schemas.microsoft.com/office/drawing/2014/main" id="{5EEE70DA-AFB0-4BD0-8682-36C2DD3B1B8E}"/>
            </a:ext>
          </a:extLst>
        </xdr:cNvPr>
        <xdr:cNvSpPr>
          <a:spLocks noChangeArrowheads="1"/>
        </xdr:cNvSpPr>
      </xdr:nvSpPr>
      <xdr:spPr bwMode="auto">
        <a:xfrm>
          <a:off x="14467703" y="19492783"/>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319216</xdr:colOff>
      <xdr:row>83</xdr:row>
      <xdr:rowOff>51487</xdr:rowOff>
    </xdr:from>
    <xdr:to>
      <xdr:col>11</xdr:col>
      <xdr:colOff>452566</xdr:colOff>
      <xdr:row>83</xdr:row>
      <xdr:rowOff>184837</xdr:rowOff>
    </xdr:to>
    <xdr:sp macro="" textlink="">
      <xdr:nvSpPr>
        <xdr:cNvPr id="34" name="Oval 7">
          <a:extLst>
            <a:ext uri="{FF2B5EF4-FFF2-40B4-BE49-F238E27FC236}">
              <a16:creationId xmlns:a16="http://schemas.microsoft.com/office/drawing/2014/main" id="{0C382080-0C6E-4752-B5BD-F4A33AC44BAC}"/>
            </a:ext>
          </a:extLst>
        </xdr:cNvPr>
        <xdr:cNvSpPr>
          <a:spLocks noChangeArrowheads="1"/>
        </xdr:cNvSpPr>
      </xdr:nvSpPr>
      <xdr:spPr bwMode="auto">
        <a:xfrm>
          <a:off x="14467702" y="19842892"/>
          <a:ext cx="133350" cy="133350"/>
        </a:xfrm>
        <a:prstGeom prst="ellipse">
          <a:avLst/>
        </a:prstGeom>
        <a:solidFill>
          <a:srgbClr val="FFFFFF"/>
        </a:solidFill>
        <a:ln w="9525">
          <a:solidFill>
            <a:srgbClr val="000000"/>
          </a:solidFill>
          <a:round/>
          <a:headEnd/>
          <a:tailEnd/>
        </a:ln>
      </xdr:spPr>
    </xdr:sp>
    <xdr:clientData/>
  </xdr:twoCellAnchor>
  <xdr:twoCellAnchor>
    <xdr:from>
      <xdr:col>11</xdr:col>
      <xdr:colOff>319217</xdr:colOff>
      <xdr:row>84</xdr:row>
      <xdr:rowOff>51486</xdr:rowOff>
    </xdr:from>
    <xdr:to>
      <xdr:col>11</xdr:col>
      <xdr:colOff>452567</xdr:colOff>
      <xdr:row>84</xdr:row>
      <xdr:rowOff>184836</xdr:rowOff>
    </xdr:to>
    <xdr:sp macro="" textlink="">
      <xdr:nvSpPr>
        <xdr:cNvPr id="35" name="Oval 7">
          <a:extLst>
            <a:ext uri="{FF2B5EF4-FFF2-40B4-BE49-F238E27FC236}">
              <a16:creationId xmlns:a16="http://schemas.microsoft.com/office/drawing/2014/main" id="{4D78B14E-D43A-4CFD-8B52-C27D6E9E134A}"/>
            </a:ext>
          </a:extLst>
        </xdr:cNvPr>
        <xdr:cNvSpPr>
          <a:spLocks noChangeArrowheads="1"/>
        </xdr:cNvSpPr>
      </xdr:nvSpPr>
      <xdr:spPr bwMode="auto">
        <a:xfrm>
          <a:off x="14467703" y="20090027"/>
          <a:ext cx="133350" cy="133350"/>
        </a:xfrm>
        <a:prstGeom prst="ellipse">
          <a:avLst/>
        </a:prstGeom>
        <a:solidFill>
          <a:schemeClr val="tx1"/>
        </a:solidFill>
        <a:ln w="9525">
          <a:solidFill>
            <a:srgbClr val="000000"/>
          </a:solidFill>
          <a:round/>
          <a:headEnd/>
          <a:tailEnd/>
        </a:ln>
      </xdr:spPr>
    </xdr:sp>
    <xdr:clientData/>
  </xdr:twoCellAnchor>
  <xdr:twoCellAnchor>
    <xdr:from>
      <xdr:col>11</xdr:col>
      <xdr:colOff>319216</xdr:colOff>
      <xdr:row>85</xdr:row>
      <xdr:rowOff>51487</xdr:rowOff>
    </xdr:from>
    <xdr:to>
      <xdr:col>11</xdr:col>
      <xdr:colOff>452566</xdr:colOff>
      <xdr:row>85</xdr:row>
      <xdr:rowOff>184837</xdr:rowOff>
    </xdr:to>
    <xdr:sp macro="" textlink="">
      <xdr:nvSpPr>
        <xdr:cNvPr id="36" name="Oval 7">
          <a:extLst>
            <a:ext uri="{FF2B5EF4-FFF2-40B4-BE49-F238E27FC236}">
              <a16:creationId xmlns:a16="http://schemas.microsoft.com/office/drawing/2014/main" id="{15D15863-F32F-43A1-B800-59EFBC6CD9A4}"/>
            </a:ext>
          </a:extLst>
        </xdr:cNvPr>
        <xdr:cNvSpPr>
          <a:spLocks noChangeArrowheads="1"/>
        </xdr:cNvSpPr>
      </xdr:nvSpPr>
      <xdr:spPr bwMode="auto">
        <a:xfrm>
          <a:off x="14467702" y="20316568"/>
          <a:ext cx="133350" cy="133350"/>
        </a:xfrm>
        <a:prstGeom prst="ellipse">
          <a:avLst/>
        </a:prstGeom>
        <a:solidFill>
          <a:srgbClr val="FFFFFF"/>
        </a:solidFill>
        <a:ln w="9525">
          <a:solidFill>
            <a:srgbClr val="000000"/>
          </a:solidFill>
          <a:round/>
          <a:headEnd/>
          <a:tailEnd/>
        </a:ln>
      </xdr:spPr>
    </xdr:sp>
    <xdr:clientData/>
  </xdr:twoCellAnchor>
  <xdr:twoCellAnchor>
    <xdr:from>
      <xdr:col>12</xdr:col>
      <xdr:colOff>411891</xdr:colOff>
      <xdr:row>12</xdr:row>
      <xdr:rowOff>92676</xdr:rowOff>
    </xdr:from>
    <xdr:to>
      <xdr:col>12</xdr:col>
      <xdr:colOff>478566</xdr:colOff>
      <xdr:row>12</xdr:row>
      <xdr:rowOff>159351</xdr:rowOff>
    </xdr:to>
    <xdr:sp macro="" textlink="">
      <xdr:nvSpPr>
        <xdr:cNvPr id="38" name="Oval 161">
          <a:extLst>
            <a:ext uri="{FF2B5EF4-FFF2-40B4-BE49-F238E27FC236}">
              <a16:creationId xmlns:a16="http://schemas.microsoft.com/office/drawing/2014/main" id="{B0249487-BF65-48BB-8AF3-8CA0CD706B90}"/>
            </a:ext>
          </a:extLst>
        </xdr:cNvPr>
        <xdr:cNvSpPr>
          <a:spLocks noChangeArrowheads="1"/>
        </xdr:cNvSpPr>
      </xdr:nvSpPr>
      <xdr:spPr bwMode="auto">
        <a:xfrm>
          <a:off x="15425350" y="2996514"/>
          <a:ext cx="66675" cy="66675"/>
        </a:xfrm>
        <a:prstGeom prst="ellipse">
          <a:avLst/>
        </a:prstGeom>
        <a:solidFill>
          <a:schemeClr val="tx1"/>
        </a:solidFill>
        <a:ln w="9525">
          <a:solidFill>
            <a:srgbClr val="000000"/>
          </a:solidFill>
          <a:round/>
          <a:headEnd/>
          <a:tailEnd/>
        </a:ln>
      </xdr:spPr>
    </xdr:sp>
    <xdr:clientData/>
  </xdr:twoCellAnchor>
  <xdr:twoCellAnchor>
    <xdr:from>
      <xdr:col>12</xdr:col>
      <xdr:colOff>440341</xdr:colOff>
      <xdr:row>13</xdr:row>
      <xdr:rowOff>288499</xdr:rowOff>
    </xdr:from>
    <xdr:to>
      <xdr:col>12</xdr:col>
      <xdr:colOff>507016</xdr:colOff>
      <xdr:row>13</xdr:row>
      <xdr:rowOff>355174</xdr:rowOff>
    </xdr:to>
    <xdr:sp macro="" textlink="">
      <xdr:nvSpPr>
        <xdr:cNvPr id="39" name="Oval 161">
          <a:extLst>
            <a:ext uri="{FF2B5EF4-FFF2-40B4-BE49-F238E27FC236}">
              <a16:creationId xmlns:a16="http://schemas.microsoft.com/office/drawing/2014/main" id="{2CA2E84A-9EB6-435E-ADD4-746C916A89CB}"/>
            </a:ext>
          </a:extLst>
        </xdr:cNvPr>
        <xdr:cNvSpPr>
          <a:spLocks noChangeArrowheads="1"/>
        </xdr:cNvSpPr>
      </xdr:nvSpPr>
      <xdr:spPr bwMode="auto">
        <a:xfrm>
          <a:off x="15447866" y="3439821"/>
          <a:ext cx="66675" cy="66675"/>
        </a:xfrm>
        <a:prstGeom prst="ellipse">
          <a:avLst/>
        </a:prstGeom>
        <a:noFill/>
        <a:ln w="9525">
          <a:solidFill>
            <a:srgbClr val="000000"/>
          </a:solidFill>
          <a:round/>
          <a:headEnd/>
          <a:tailEnd/>
        </a:ln>
      </xdr:spPr>
    </xdr:sp>
    <xdr:clientData/>
  </xdr:twoCellAnchor>
  <xdr:twoCellAnchor>
    <xdr:from>
      <xdr:col>12</xdr:col>
      <xdr:colOff>411892</xdr:colOff>
      <xdr:row>15</xdr:row>
      <xdr:rowOff>92676</xdr:rowOff>
    </xdr:from>
    <xdr:to>
      <xdr:col>12</xdr:col>
      <xdr:colOff>478567</xdr:colOff>
      <xdr:row>15</xdr:row>
      <xdr:rowOff>159351</xdr:rowOff>
    </xdr:to>
    <xdr:sp macro="" textlink="">
      <xdr:nvSpPr>
        <xdr:cNvPr id="40" name="Oval 161">
          <a:extLst>
            <a:ext uri="{FF2B5EF4-FFF2-40B4-BE49-F238E27FC236}">
              <a16:creationId xmlns:a16="http://schemas.microsoft.com/office/drawing/2014/main" id="{502D47C6-E334-48AA-AAC6-F734928D3808}"/>
            </a:ext>
          </a:extLst>
        </xdr:cNvPr>
        <xdr:cNvSpPr>
          <a:spLocks noChangeArrowheads="1"/>
        </xdr:cNvSpPr>
      </xdr:nvSpPr>
      <xdr:spPr bwMode="auto">
        <a:xfrm>
          <a:off x="15425351" y="3799703"/>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411892</xdr:colOff>
      <xdr:row>16</xdr:row>
      <xdr:rowOff>113270</xdr:rowOff>
    </xdr:from>
    <xdr:to>
      <xdr:col>12</xdr:col>
      <xdr:colOff>478567</xdr:colOff>
      <xdr:row>16</xdr:row>
      <xdr:rowOff>179945</xdr:rowOff>
    </xdr:to>
    <xdr:sp macro="" textlink="">
      <xdr:nvSpPr>
        <xdr:cNvPr id="41" name="Oval 161">
          <a:extLst>
            <a:ext uri="{FF2B5EF4-FFF2-40B4-BE49-F238E27FC236}">
              <a16:creationId xmlns:a16="http://schemas.microsoft.com/office/drawing/2014/main" id="{AC9FDE46-25D5-4760-9059-67DF02D77F19}"/>
            </a:ext>
          </a:extLst>
        </xdr:cNvPr>
        <xdr:cNvSpPr>
          <a:spLocks noChangeArrowheads="1"/>
        </xdr:cNvSpPr>
      </xdr:nvSpPr>
      <xdr:spPr bwMode="auto">
        <a:xfrm>
          <a:off x="15425351" y="4046838"/>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453256</xdr:colOff>
      <xdr:row>17</xdr:row>
      <xdr:rowOff>180464</xdr:rowOff>
    </xdr:from>
    <xdr:to>
      <xdr:col>12</xdr:col>
      <xdr:colOff>519931</xdr:colOff>
      <xdr:row>17</xdr:row>
      <xdr:rowOff>247139</xdr:rowOff>
    </xdr:to>
    <xdr:sp macro="" textlink="">
      <xdr:nvSpPr>
        <xdr:cNvPr id="42" name="Oval 161">
          <a:extLst>
            <a:ext uri="{FF2B5EF4-FFF2-40B4-BE49-F238E27FC236}">
              <a16:creationId xmlns:a16="http://schemas.microsoft.com/office/drawing/2014/main" id="{E985C643-F14B-49E7-93A8-2393535C9F79}"/>
            </a:ext>
          </a:extLst>
        </xdr:cNvPr>
        <xdr:cNvSpPr>
          <a:spLocks noChangeArrowheads="1"/>
        </xdr:cNvSpPr>
      </xdr:nvSpPr>
      <xdr:spPr bwMode="auto">
        <a:xfrm>
          <a:off x="15564103" y="4532905"/>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401595</xdr:colOff>
      <xdr:row>18</xdr:row>
      <xdr:rowOff>82378</xdr:rowOff>
    </xdr:from>
    <xdr:to>
      <xdr:col>12</xdr:col>
      <xdr:colOff>468270</xdr:colOff>
      <xdr:row>18</xdr:row>
      <xdr:rowOff>149053</xdr:rowOff>
    </xdr:to>
    <xdr:sp macro="" textlink="">
      <xdr:nvSpPr>
        <xdr:cNvPr id="43" name="Oval 161">
          <a:extLst>
            <a:ext uri="{FF2B5EF4-FFF2-40B4-BE49-F238E27FC236}">
              <a16:creationId xmlns:a16="http://schemas.microsoft.com/office/drawing/2014/main" id="{02406F90-22B8-4DEF-AB7E-77A6D8798BD3}"/>
            </a:ext>
          </a:extLst>
        </xdr:cNvPr>
        <xdr:cNvSpPr>
          <a:spLocks noChangeArrowheads="1"/>
        </xdr:cNvSpPr>
      </xdr:nvSpPr>
      <xdr:spPr bwMode="auto">
        <a:xfrm>
          <a:off x="15415054" y="4469027"/>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401595</xdr:colOff>
      <xdr:row>19</xdr:row>
      <xdr:rowOff>92675</xdr:rowOff>
    </xdr:from>
    <xdr:to>
      <xdr:col>12</xdr:col>
      <xdr:colOff>468270</xdr:colOff>
      <xdr:row>19</xdr:row>
      <xdr:rowOff>159350</xdr:rowOff>
    </xdr:to>
    <xdr:sp macro="" textlink="">
      <xdr:nvSpPr>
        <xdr:cNvPr id="44" name="Oval 161">
          <a:extLst>
            <a:ext uri="{FF2B5EF4-FFF2-40B4-BE49-F238E27FC236}">
              <a16:creationId xmlns:a16="http://schemas.microsoft.com/office/drawing/2014/main" id="{AD56ADC5-B89E-4CB2-9541-838112A598D7}"/>
            </a:ext>
          </a:extLst>
        </xdr:cNvPr>
        <xdr:cNvSpPr>
          <a:spLocks noChangeArrowheads="1"/>
        </xdr:cNvSpPr>
      </xdr:nvSpPr>
      <xdr:spPr bwMode="auto">
        <a:xfrm>
          <a:off x="15415054" y="4705864"/>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411892</xdr:colOff>
      <xdr:row>20</xdr:row>
      <xdr:rowOff>92676</xdr:rowOff>
    </xdr:from>
    <xdr:to>
      <xdr:col>12</xdr:col>
      <xdr:colOff>478567</xdr:colOff>
      <xdr:row>20</xdr:row>
      <xdr:rowOff>159351</xdr:rowOff>
    </xdr:to>
    <xdr:sp macro="" textlink="">
      <xdr:nvSpPr>
        <xdr:cNvPr id="45" name="Oval 161">
          <a:extLst>
            <a:ext uri="{FF2B5EF4-FFF2-40B4-BE49-F238E27FC236}">
              <a16:creationId xmlns:a16="http://schemas.microsoft.com/office/drawing/2014/main" id="{214010E6-616D-4845-8BEB-4F701CC6F970}"/>
            </a:ext>
          </a:extLst>
        </xdr:cNvPr>
        <xdr:cNvSpPr>
          <a:spLocks noChangeArrowheads="1"/>
        </xdr:cNvSpPr>
      </xdr:nvSpPr>
      <xdr:spPr bwMode="auto">
        <a:xfrm>
          <a:off x="15425351" y="4932406"/>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411892</xdr:colOff>
      <xdr:row>21</xdr:row>
      <xdr:rowOff>92676</xdr:rowOff>
    </xdr:from>
    <xdr:to>
      <xdr:col>12</xdr:col>
      <xdr:colOff>478567</xdr:colOff>
      <xdr:row>21</xdr:row>
      <xdr:rowOff>159351</xdr:rowOff>
    </xdr:to>
    <xdr:sp macro="" textlink="">
      <xdr:nvSpPr>
        <xdr:cNvPr id="46" name="Oval 161">
          <a:extLst>
            <a:ext uri="{FF2B5EF4-FFF2-40B4-BE49-F238E27FC236}">
              <a16:creationId xmlns:a16="http://schemas.microsoft.com/office/drawing/2014/main" id="{A2D87F87-AB9B-47EF-A76F-90CA3C43ED03}"/>
            </a:ext>
          </a:extLst>
        </xdr:cNvPr>
        <xdr:cNvSpPr>
          <a:spLocks noChangeArrowheads="1"/>
        </xdr:cNvSpPr>
      </xdr:nvSpPr>
      <xdr:spPr bwMode="auto">
        <a:xfrm>
          <a:off x="15425351" y="5158946"/>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432487</xdr:colOff>
      <xdr:row>41</xdr:row>
      <xdr:rowOff>61783</xdr:rowOff>
    </xdr:from>
    <xdr:to>
      <xdr:col>12</xdr:col>
      <xdr:colOff>499162</xdr:colOff>
      <xdr:row>41</xdr:row>
      <xdr:rowOff>128458</xdr:rowOff>
    </xdr:to>
    <xdr:sp macro="" textlink="">
      <xdr:nvSpPr>
        <xdr:cNvPr id="48" name="Oval 161">
          <a:extLst>
            <a:ext uri="{FF2B5EF4-FFF2-40B4-BE49-F238E27FC236}">
              <a16:creationId xmlns:a16="http://schemas.microsoft.com/office/drawing/2014/main" id="{9D156E27-F472-45B5-A670-E60D493DEF83}"/>
            </a:ext>
          </a:extLst>
        </xdr:cNvPr>
        <xdr:cNvSpPr>
          <a:spLocks noChangeArrowheads="1"/>
        </xdr:cNvSpPr>
      </xdr:nvSpPr>
      <xdr:spPr bwMode="auto">
        <a:xfrm>
          <a:off x="15445946" y="9751540"/>
          <a:ext cx="66675" cy="66675"/>
        </a:xfrm>
        <a:prstGeom prst="ellipse">
          <a:avLst/>
        </a:prstGeom>
        <a:solidFill>
          <a:schemeClr val="tx1"/>
        </a:solidFill>
        <a:ln w="9525">
          <a:solidFill>
            <a:srgbClr val="000000"/>
          </a:solidFill>
          <a:round/>
          <a:headEnd/>
          <a:tailEnd/>
        </a:ln>
      </xdr:spPr>
    </xdr:sp>
    <xdr:clientData/>
  </xdr:twoCellAnchor>
  <xdr:twoCellAnchor>
    <xdr:from>
      <xdr:col>12</xdr:col>
      <xdr:colOff>432487</xdr:colOff>
      <xdr:row>42</xdr:row>
      <xdr:rowOff>92675</xdr:rowOff>
    </xdr:from>
    <xdr:to>
      <xdr:col>12</xdr:col>
      <xdr:colOff>499162</xdr:colOff>
      <xdr:row>42</xdr:row>
      <xdr:rowOff>159350</xdr:rowOff>
    </xdr:to>
    <xdr:sp macro="" textlink="">
      <xdr:nvSpPr>
        <xdr:cNvPr id="49" name="Oval 161">
          <a:extLst>
            <a:ext uri="{FF2B5EF4-FFF2-40B4-BE49-F238E27FC236}">
              <a16:creationId xmlns:a16="http://schemas.microsoft.com/office/drawing/2014/main" id="{AA5506FC-E481-4F79-9162-E6B9D4C33C30}"/>
            </a:ext>
          </a:extLst>
        </xdr:cNvPr>
        <xdr:cNvSpPr>
          <a:spLocks noChangeArrowheads="1"/>
        </xdr:cNvSpPr>
      </xdr:nvSpPr>
      <xdr:spPr bwMode="auto">
        <a:xfrm>
          <a:off x="15445946" y="10008972"/>
          <a:ext cx="66675" cy="66675"/>
        </a:xfrm>
        <a:prstGeom prst="ellipse">
          <a:avLst/>
        </a:prstGeom>
        <a:solidFill>
          <a:schemeClr val="tx1"/>
        </a:solidFill>
        <a:ln w="9525">
          <a:solidFill>
            <a:srgbClr val="000000"/>
          </a:solidFill>
          <a:round/>
          <a:headEnd/>
          <a:tailEnd/>
        </a:ln>
      </xdr:spPr>
    </xdr:sp>
    <xdr:clientData/>
  </xdr:twoCellAnchor>
  <xdr:twoCellAnchor>
    <xdr:from>
      <xdr:col>12</xdr:col>
      <xdr:colOff>432486</xdr:colOff>
      <xdr:row>43</xdr:row>
      <xdr:rowOff>205946</xdr:rowOff>
    </xdr:from>
    <xdr:to>
      <xdr:col>12</xdr:col>
      <xdr:colOff>499161</xdr:colOff>
      <xdr:row>44</xdr:row>
      <xdr:rowOff>46081</xdr:rowOff>
    </xdr:to>
    <xdr:sp macro="" textlink="">
      <xdr:nvSpPr>
        <xdr:cNvPr id="50" name="Oval 161">
          <a:extLst>
            <a:ext uri="{FF2B5EF4-FFF2-40B4-BE49-F238E27FC236}">
              <a16:creationId xmlns:a16="http://schemas.microsoft.com/office/drawing/2014/main" id="{ACDAA734-1208-4F76-82F1-1820023E7C6C}"/>
            </a:ext>
          </a:extLst>
        </xdr:cNvPr>
        <xdr:cNvSpPr>
          <a:spLocks noChangeArrowheads="1"/>
        </xdr:cNvSpPr>
      </xdr:nvSpPr>
      <xdr:spPr bwMode="auto">
        <a:xfrm>
          <a:off x="15445945" y="10348784"/>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422190</xdr:colOff>
      <xdr:row>45</xdr:row>
      <xdr:rowOff>82379</xdr:rowOff>
    </xdr:from>
    <xdr:to>
      <xdr:col>12</xdr:col>
      <xdr:colOff>488865</xdr:colOff>
      <xdr:row>45</xdr:row>
      <xdr:rowOff>149054</xdr:rowOff>
    </xdr:to>
    <xdr:sp macro="" textlink="">
      <xdr:nvSpPr>
        <xdr:cNvPr id="51" name="Oval 161">
          <a:extLst>
            <a:ext uri="{FF2B5EF4-FFF2-40B4-BE49-F238E27FC236}">
              <a16:creationId xmlns:a16="http://schemas.microsoft.com/office/drawing/2014/main" id="{4AA767D3-C4F7-4177-9DC3-6F3E5456B8FD}"/>
            </a:ext>
          </a:extLst>
        </xdr:cNvPr>
        <xdr:cNvSpPr>
          <a:spLocks noChangeArrowheads="1"/>
        </xdr:cNvSpPr>
      </xdr:nvSpPr>
      <xdr:spPr bwMode="auto">
        <a:xfrm>
          <a:off x="15435649" y="10678298"/>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432486</xdr:colOff>
      <xdr:row>46</xdr:row>
      <xdr:rowOff>102973</xdr:rowOff>
    </xdr:from>
    <xdr:to>
      <xdr:col>12</xdr:col>
      <xdr:colOff>499161</xdr:colOff>
      <xdr:row>46</xdr:row>
      <xdr:rowOff>169648</xdr:rowOff>
    </xdr:to>
    <xdr:sp macro="" textlink="">
      <xdr:nvSpPr>
        <xdr:cNvPr id="52" name="Oval 161">
          <a:extLst>
            <a:ext uri="{FF2B5EF4-FFF2-40B4-BE49-F238E27FC236}">
              <a16:creationId xmlns:a16="http://schemas.microsoft.com/office/drawing/2014/main" id="{7C76F210-63C6-4806-BA5A-1306ACA67476}"/>
            </a:ext>
          </a:extLst>
        </xdr:cNvPr>
        <xdr:cNvSpPr>
          <a:spLocks noChangeArrowheads="1"/>
        </xdr:cNvSpPr>
      </xdr:nvSpPr>
      <xdr:spPr bwMode="auto">
        <a:xfrm>
          <a:off x="15445945" y="10925432"/>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442783</xdr:colOff>
      <xdr:row>47</xdr:row>
      <xdr:rowOff>216243</xdr:rowOff>
    </xdr:from>
    <xdr:to>
      <xdr:col>12</xdr:col>
      <xdr:colOff>509458</xdr:colOff>
      <xdr:row>48</xdr:row>
      <xdr:rowOff>56377</xdr:rowOff>
    </xdr:to>
    <xdr:sp macro="" textlink="">
      <xdr:nvSpPr>
        <xdr:cNvPr id="53" name="Oval 161">
          <a:extLst>
            <a:ext uri="{FF2B5EF4-FFF2-40B4-BE49-F238E27FC236}">
              <a16:creationId xmlns:a16="http://schemas.microsoft.com/office/drawing/2014/main" id="{4DB2DC7A-4410-4462-B8D0-BC12ED8E640B}"/>
            </a:ext>
          </a:extLst>
        </xdr:cNvPr>
        <xdr:cNvSpPr>
          <a:spLocks noChangeArrowheads="1"/>
        </xdr:cNvSpPr>
      </xdr:nvSpPr>
      <xdr:spPr bwMode="auto">
        <a:xfrm>
          <a:off x="15456242" y="11265243"/>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432487</xdr:colOff>
      <xdr:row>49</xdr:row>
      <xdr:rowOff>92676</xdr:rowOff>
    </xdr:from>
    <xdr:to>
      <xdr:col>12</xdr:col>
      <xdr:colOff>499162</xdr:colOff>
      <xdr:row>49</xdr:row>
      <xdr:rowOff>159351</xdr:rowOff>
    </xdr:to>
    <xdr:sp macro="" textlink="">
      <xdr:nvSpPr>
        <xdr:cNvPr id="54" name="Oval 161">
          <a:extLst>
            <a:ext uri="{FF2B5EF4-FFF2-40B4-BE49-F238E27FC236}">
              <a16:creationId xmlns:a16="http://schemas.microsoft.com/office/drawing/2014/main" id="{DB25A7CC-9387-423D-8EF3-3821981CE0AD}"/>
            </a:ext>
          </a:extLst>
        </xdr:cNvPr>
        <xdr:cNvSpPr>
          <a:spLocks noChangeArrowheads="1"/>
        </xdr:cNvSpPr>
      </xdr:nvSpPr>
      <xdr:spPr bwMode="auto">
        <a:xfrm>
          <a:off x="15445946" y="11594757"/>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422189</xdr:colOff>
      <xdr:row>50</xdr:row>
      <xdr:rowOff>113271</xdr:rowOff>
    </xdr:from>
    <xdr:to>
      <xdr:col>12</xdr:col>
      <xdr:colOff>488864</xdr:colOff>
      <xdr:row>50</xdr:row>
      <xdr:rowOff>179946</xdr:rowOff>
    </xdr:to>
    <xdr:sp macro="" textlink="">
      <xdr:nvSpPr>
        <xdr:cNvPr id="55" name="Oval 161">
          <a:extLst>
            <a:ext uri="{FF2B5EF4-FFF2-40B4-BE49-F238E27FC236}">
              <a16:creationId xmlns:a16="http://schemas.microsoft.com/office/drawing/2014/main" id="{B486293F-EF75-4355-8882-7149D244B7A6}"/>
            </a:ext>
          </a:extLst>
        </xdr:cNvPr>
        <xdr:cNvSpPr>
          <a:spLocks noChangeArrowheads="1"/>
        </xdr:cNvSpPr>
      </xdr:nvSpPr>
      <xdr:spPr bwMode="auto">
        <a:xfrm>
          <a:off x="15435648" y="11841893"/>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432487</xdr:colOff>
      <xdr:row>51</xdr:row>
      <xdr:rowOff>102973</xdr:rowOff>
    </xdr:from>
    <xdr:to>
      <xdr:col>12</xdr:col>
      <xdr:colOff>499162</xdr:colOff>
      <xdr:row>51</xdr:row>
      <xdr:rowOff>169648</xdr:rowOff>
    </xdr:to>
    <xdr:sp macro="" textlink="">
      <xdr:nvSpPr>
        <xdr:cNvPr id="56" name="Oval 161">
          <a:extLst>
            <a:ext uri="{FF2B5EF4-FFF2-40B4-BE49-F238E27FC236}">
              <a16:creationId xmlns:a16="http://schemas.microsoft.com/office/drawing/2014/main" id="{EBDC2399-810B-43DF-ABFB-8ED1E0851870}"/>
            </a:ext>
          </a:extLst>
        </xdr:cNvPr>
        <xdr:cNvSpPr>
          <a:spLocks noChangeArrowheads="1"/>
        </xdr:cNvSpPr>
      </xdr:nvSpPr>
      <xdr:spPr bwMode="auto">
        <a:xfrm>
          <a:off x="15445946" y="12058135"/>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422189</xdr:colOff>
      <xdr:row>52</xdr:row>
      <xdr:rowOff>82378</xdr:rowOff>
    </xdr:from>
    <xdr:to>
      <xdr:col>12</xdr:col>
      <xdr:colOff>488864</xdr:colOff>
      <xdr:row>52</xdr:row>
      <xdr:rowOff>149053</xdr:rowOff>
    </xdr:to>
    <xdr:sp macro="" textlink="">
      <xdr:nvSpPr>
        <xdr:cNvPr id="57" name="Oval 161">
          <a:extLst>
            <a:ext uri="{FF2B5EF4-FFF2-40B4-BE49-F238E27FC236}">
              <a16:creationId xmlns:a16="http://schemas.microsoft.com/office/drawing/2014/main" id="{74791C2E-D067-41EB-9A3A-8C852B212213}"/>
            </a:ext>
          </a:extLst>
        </xdr:cNvPr>
        <xdr:cNvSpPr>
          <a:spLocks noChangeArrowheads="1"/>
        </xdr:cNvSpPr>
      </xdr:nvSpPr>
      <xdr:spPr bwMode="auto">
        <a:xfrm>
          <a:off x="15435648" y="12264081"/>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432487</xdr:colOff>
      <xdr:row>53</xdr:row>
      <xdr:rowOff>92676</xdr:rowOff>
    </xdr:from>
    <xdr:to>
      <xdr:col>12</xdr:col>
      <xdr:colOff>499162</xdr:colOff>
      <xdr:row>53</xdr:row>
      <xdr:rowOff>159351</xdr:rowOff>
    </xdr:to>
    <xdr:sp macro="" textlink="">
      <xdr:nvSpPr>
        <xdr:cNvPr id="58" name="Oval 161">
          <a:extLst>
            <a:ext uri="{FF2B5EF4-FFF2-40B4-BE49-F238E27FC236}">
              <a16:creationId xmlns:a16="http://schemas.microsoft.com/office/drawing/2014/main" id="{E00051EF-4AF3-469D-8473-9D55BAA57C0B}"/>
            </a:ext>
          </a:extLst>
        </xdr:cNvPr>
        <xdr:cNvSpPr>
          <a:spLocks noChangeArrowheads="1"/>
        </xdr:cNvSpPr>
      </xdr:nvSpPr>
      <xdr:spPr bwMode="auto">
        <a:xfrm>
          <a:off x="15445946" y="12500919"/>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422189</xdr:colOff>
      <xdr:row>54</xdr:row>
      <xdr:rowOff>216244</xdr:rowOff>
    </xdr:from>
    <xdr:to>
      <xdr:col>12</xdr:col>
      <xdr:colOff>488864</xdr:colOff>
      <xdr:row>54</xdr:row>
      <xdr:rowOff>282919</xdr:rowOff>
    </xdr:to>
    <xdr:sp macro="" textlink="">
      <xdr:nvSpPr>
        <xdr:cNvPr id="59" name="Oval 161">
          <a:extLst>
            <a:ext uri="{FF2B5EF4-FFF2-40B4-BE49-F238E27FC236}">
              <a16:creationId xmlns:a16="http://schemas.microsoft.com/office/drawing/2014/main" id="{D5DC9EBA-AE4F-401C-9E1A-FB5AF1A9A518}"/>
            </a:ext>
          </a:extLst>
        </xdr:cNvPr>
        <xdr:cNvSpPr>
          <a:spLocks noChangeArrowheads="1"/>
        </xdr:cNvSpPr>
      </xdr:nvSpPr>
      <xdr:spPr bwMode="auto">
        <a:xfrm>
          <a:off x="15435648" y="12851028"/>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411892</xdr:colOff>
      <xdr:row>55</xdr:row>
      <xdr:rowOff>123568</xdr:rowOff>
    </xdr:from>
    <xdr:to>
      <xdr:col>12</xdr:col>
      <xdr:colOff>478567</xdr:colOff>
      <xdr:row>55</xdr:row>
      <xdr:rowOff>190243</xdr:rowOff>
    </xdr:to>
    <xdr:sp macro="" textlink="">
      <xdr:nvSpPr>
        <xdr:cNvPr id="60" name="Oval 161">
          <a:extLst>
            <a:ext uri="{FF2B5EF4-FFF2-40B4-BE49-F238E27FC236}">
              <a16:creationId xmlns:a16="http://schemas.microsoft.com/office/drawing/2014/main" id="{62F1BD95-F9D9-4580-87EA-34180C9310A5}"/>
            </a:ext>
          </a:extLst>
        </xdr:cNvPr>
        <xdr:cNvSpPr>
          <a:spLocks noChangeArrowheads="1"/>
        </xdr:cNvSpPr>
      </xdr:nvSpPr>
      <xdr:spPr bwMode="auto">
        <a:xfrm>
          <a:off x="15425351" y="13211433"/>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411892</xdr:colOff>
      <xdr:row>57</xdr:row>
      <xdr:rowOff>123568</xdr:rowOff>
    </xdr:from>
    <xdr:to>
      <xdr:col>12</xdr:col>
      <xdr:colOff>478567</xdr:colOff>
      <xdr:row>57</xdr:row>
      <xdr:rowOff>190243</xdr:rowOff>
    </xdr:to>
    <xdr:sp macro="" textlink="">
      <xdr:nvSpPr>
        <xdr:cNvPr id="61" name="Oval 161">
          <a:extLst>
            <a:ext uri="{FF2B5EF4-FFF2-40B4-BE49-F238E27FC236}">
              <a16:creationId xmlns:a16="http://schemas.microsoft.com/office/drawing/2014/main" id="{D28CBA33-7C7A-4872-8DE5-BCCB4DC41148}"/>
            </a:ext>
          </a:extLst>
        </xdr:cNvPr>
        <xdr:cNvSpPr>
          <a:spLocks noChangeArrowheads="1"/>
        </xdr:cNvSpPr>
      </xdr:nvSpPr>
      <xdr:spPr bwMode="auto">
        <a:xfrm>
          <a:off x="15425351" y="13499757"/>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401595</xdr:colOff>
      <xdr:row>58</xdr:row>
      <xdr:rowOff>102973</xdr:rowOff>
    </xdr:from>
    <xdr:to>
      <xdr:col>12</xdr:col>
      <xdr:colOff>468270</xdr:colOff>
      <xdr:row>58</xdr:row>
      <xdr:rowOff>169648</xdr:rowOff>
    </xdr:to>
    <xdr:sp macro="" textlink="">
      <xdr:nvSpPr>
        <xdr:cNvPr id="62" name="Oval 161">
          <a:extLst>
            <a:ext uri="{FF2B5EF4-FFF2-40B4-BE49-F238E27FC236}">
              <a16:creationId xmlns:a16="http://schemas.microsoft.com/office/drawing/2014/main" id="{C246171C-34E0-4D6B-8A3A-0318C1E57FEA}"/>
            </a:ext>
          </a:extLst>
        </xdr:cNvPr>
        <xdr:cNvSpPr>
          <a:spLocks noChangeArrowheads="1"/>
        </xdr:cNvSpPr>
      </xdr:nvSpPr>
      <xdr:spPr bwMode="auto">
        <a:xfrm>
          <a:off x="15415054" y="13757189"/>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401594</xdr:colOff>
      <xdr:row>59</xdr:row>
      <xdr:rowOff>205946</xdr:rowOff>
    </xdr:from>
    <xdr:to>
      <xdr:col>12</xdr:col>
      <xdr:colOff>468269</xdr:colOff>
      <xdr:row>59</xdr:row>
      <xdr:rowOff>272621</xdr:rowOff>
    </xdr:to>
    <xdr:sp macro="" textlink="">
      <xdr:nvSpPr>
        <xdr:cNvPr id="63" name="Oval 161">
          <a:extLst>
            <a:ext uri="{FF2B5EF4-FFF2-40B4-BE49-F238E27FC236}">
              <a16:creationId xmlns:a16="http://schemas.microsoft.com/office/drawing/2014/main" id="{FC004CD9-30EC-4E6B-8170-5E955FD18896}"/>
            </a:ext>
          </a:extLst>
        </xdr:cNvPr>
        <xdr:cNvSpPr>
          <a:spLocks noChangeArrowheads="1"/>
        </xdr:cNvSpPr>
      </xdr:nvSpPr>
      <xdr:spPr bwMode="auto">
        <a:xfrm>
          <a:off x="15415053" y="14086703"/>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411892</xdr:colOff>
      <xdr:row>60</xdr:row>
      <xdr:rowOff>92676</xdr:rowOff>
    </xdr:from>
    <xdr:to>
      <xdr:col>12</xdr:col>
      <xdr:colOff>478567</xdr:colOff>
      <xdr:row>60</xdr:row>
      <xdr:rowOff>159351</xdr:rowOff>
    </xdr:to>
    <xdr:sp macro="" textlink="">
      <xdr:nvSpPr>
        <xdr:cNvPr id="64" name="Oval 161">
          <a:extLst>
            <a:ext uri="{FF2B5EF4-FFF2-40B4-BE49-F238E27FC236}">
              <a16:creationId xmlns:a16="http://schemas.microsoft.com/office/drawing/2014/main" id="{0C93A763-EE7D-46A9-8AE0-2AA1233E9624}"/>
            </a:ext>
          </a:extLst>
        </xdr:cNvPr>
        <xdr:cNvSpPr>
          <a:spLocks noChangeArrowheads="1"/>
        </xdr:cNvSpPr>
      </xdr:nvSpPr>
      <xdr:spPr bwMode="auto">
        <a:xfrm>
          <a:off x="15425351" y="14426514"/>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411892</xdr:colOff>
      <xdr:row>61</xdr:row>
      <xdr:rowOff>102973</xdr:rowOff>
    </xdr:from>
    <xdr:to>
      <xdr:col>12</xdr:col>
      <xdr:colOff>478567</xdr:colOff>
      <xdr:row>61</xdr:row>
      <xdr:rowOff>169648</xdr:rowOff>
    </xdr:to>
    <xdr:sp macro="" textlink="">
      <xdr:nvSpPr>
        <xdr:cNvPr id="65" name="Oval 161">
          <a:extLst>
            <a:ext uri="{FF2B5EF4-FFF2-40B4-BE49-F238E27FC236}">
              <a16:creationId xmlns:a16="http://schemas.microsoft.com/office/drawing/2014/main" id="{B51B01B8-9F0C-4459-AA03-31A3AF8FD3F5}"/>
            </a:ext>
          </a:extLst>
        </xdr:cNvPr>
        <xdr:cNvSpPr>
          <a:spLocks noChangeArrowheads="1"/>
        </xdr:cNvSpPr>
      </xdr:nvSpPr>
      <xdr:spPr bwMode="auto">
        <a:xfrm>
          <a:off x="15425351" y="14663351"/>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432487</xdr:colOff>
      <xdr:row>80</xdr:row>
      <xdr:rowOff>82379</xdr:rowOff>
    </xdr:from>
    <xdr:to>
      <xdr:col>12</xdr:col>
      <xdr:colOff>499162</xdr:colOff>
      <xdr:row>80</xdr:row>
      <xdr:rowOff>149054</xdr:rowOff>
    </xdr:to>
    <xdr:sp macro="" textlink="">
      <xdr:nvSpPr>
        <xdr:cNvPr id="66" name="Oval 161">
          <a:extLst>
            <a:ext uri="{FF2B5EF4-FFF2-40B4-BE49-F238E27FC236}">
              <a16:creationId xmlns:a16="http://schemas.microsoft.com/office/drawing/2014/main" id="{33A75150-75E5-42A8-9F0F-1FD5FB3F9EE5}"/>
            </a:ext>
          </a:extLst>
        </xdr:cNvPr>
        <xdr:cNvSpPr>
          <a:spLocks noChangeArrowheads="1"/>
        </xdr:cNvSpPr>
      </xdr:nvSpPr>
      <xdr:spPr bwMode="auto">
        <a:xfrm>
          <a:off x="15445946" y="19194163"/>
          <a:ext cx="66675" cy="66675"/>
        </a:xfrm>
        <a:prstGeom prst="ellipse">
          <a:avLst/>
        </a:prstGeom>
        <a:solidFill>
          <a:schemeClr val="tx1"/>
        </a:solidFill>
        <a:ln w="9525">
          <a:solidFill>
            <a:srgbClr val="000000"/>
          </a:solidFill>
          <a:round/>
          <a:headEnd/>
          <a:tailEnd/>
        </a:ln>
      </xdr:spPr>
    </xdr:sp>
    <xdr:clientData/>
  </xdr:twoCellAnchor>
  <xdr:twoCellAnchor>
    <xdr:from>
      <xdr:col>12</xdr:col>
      <xdr:colOff>432487</xdr:colOff>
      <xdr:row>81</xdr:row>
      <xdr:rowOff>195649</xdr:rowOff>
    </xdr:from>
    <xdr:to>
      <xdr:col>12</xdr:col>
      <xdr:colOff>499162</xdr:colOff>
      <xdr:row>82</xdr:row>
      <xdr:rowOff>35783</xdr:rowOff>
    </xdr:to>
    <xdr:sp macro="" textlink="">
      <xdr:nvSpPr>
        <xdr:cNvPr id="67" name="Oval 161">
          <a:extLst>
            <a:ext uri="{FF2B5EF4-FFF2-40B4-BE49-F238E27FC236}">
              <a16:creationId xmlns:a16="http://schemas.microsoft.com/office/drawing/2014/main" id="{FC55A8B5-A1F9-41B0-B69C-E985D006994C}"/>
            </a:ext>
          </a:extLst>
        </xdr:cNvPr>
        <xdr:cNvSpPr>
          <a:spLocks noChangeArrowheads="1"/>
        </xdr:cNvSpPr>
      </xdr:nvSpPr>
      <xdr:spPr bwMode="auto">
        <a:xfrm>
          <a:off x="15445946" y="19533973"/>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432486</xdr:colOff>
      <xdr:row>83</xdr:row>
      <xdr:rowOff>92676</xdr:rowOff>
    </xdr:from>
    <xdr:to>
      <xdr:col>12</xdr:col>
      <xdr:colOff>499161</xdr:colOff>
      <xdr:row>83</xdr:row>
      <xdr:rowOff>159351</xdr:rowOff>
    </xdr:to>
    <xdr:sp macro="" textlink="">
      <xdr:nvSpPr>
        <xdr:cNvPr id="68" name="Oval 161">
          <a:extLst>
            <a:ext uri="{FF2B5EF4-FFF2-40B4-BE49-F238E27FC236}">
              <a16:creationId xmlns:a16="http://schemas.microsoft.com/office/drawing/2014/main" id="{47715F93-ED3A-4BA0-84A3-657C401A95A4}"/>
            </a:ext>
          </a:extLst>
        </xdr:cNvPr>
        <xdr:cNvSpPr>
          <a:spLocks noChangeArrowheads="1"/>
        </xdr:cNvSpPr>
      </xdr:nvSpPr>
      <xdr:spPr bwMode="auto">
        <a:xfrm>
          <a:off x="15445945" y="19884081"/>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422190</xdr:colOff>
      <xdr:row>84</xdr:row>
      <xdr:rowOff>102973</xdr:rowOff>
    </xdr:from>
    <xdr:to>
      <xdr:col>12</xdr:col>
      <xdr:colOff>488865</xdr:colOff>
      <xdr:row>84</xdr:row>
      <xdr:rowOff>169648</xdr:rowOff>
    </xdr:to>
    <xdr:sp macro="" textlink="">
      <xdr:nvSpPr>
        <xdr:cNvPr id="69" name="Oval 161">
          <a:extLst>
            <a:ext uri="{FF2B5EF4-FFF2-40B4-BE49-F238E27FC236}">
              <a16:creationId xmlns:a16="http://schemas.microsoft.com/office/drawing/2014/main" id="{9049C594-5438-46D7-8077-8F7A941EE6F2}"/>
            </a:ext>
          </a:extLst>
        </xdr:cNvPr>
        <xdr:cNvSpPr>
          <a:spLocks noChangeArrowheads="1"/>
        </xdr:cNvSpPr>
      </xdr:nvSpPr>
      <xdr:spPr bwMode="auto">
        <a:xfrm>
          <a:off x="15435649" y="20141514"/>
          <a:ext cx="66675" cy="66675"/>
        </a:xfrm>
        <a:prstGeom prst="ellipse">
          <a:avLst/>
        </a:prstGeom>
        <a:solidFill>
          <a:srgbClr val="FFFFFF"/>
        </a:solidFill>
        <a:ln w="9525">
          <a:solidFill>
            <a:srgbClr val="000000"/>
          </a:solidFill>
          <a:round/>
          <a:headEnd/>
          <a:tailEnd/>
        </a:ln>
      </xdr:spPr>
    </xdr:sp>
    <xdr:clientData/>
  </xdr:twoCellAnchor>
  <xdr:twoCellAnchor>
    <xdr:from>
      <xdr:col>12</xdr:col>
      <xdr:colOff>432486</xdr:colOff>
      <xdr:row>85</xdr:row>
      <xdr:rowOff>102973</xdr:rowOff>
    </xdr:from>
    <xdr:to>
      <xdr:col>12</xdr:col>
      <xdr:colOff>499161</xdr:colOff>
      <xdr:row>85</xdr:row>
      <xdr:rowOff>169648</xdr:rowOff>
    </xdr:to>
    <xdr:sp macro="" textlink="">
      <xdr:nvSpPr>
        <xdr:cNvPr id="70" name="Oval 161">
          <a:extLst>
            <a:ext uri="{FF2B5EF4-FFF2-40B4-BE49-F238E27FC236}">
              <a16:creationId xmlns:a16="http://schemas.microsoft.com/office/drawing/2014/main" id="{42724DA4-D42A-4550-8364-A5A2E72344E4}"/>
            </a:ext>
          </a:extLst>
        </xdr:cNvPr>
        <xdr:cNvSpPr>
          <a:spLocks noChangeArrowheads="1"/>
        </xdr:cNvSpPr>
      </xdr:nvSpPr>
      <xdr:spPr bwMode="auto">
        <a:xfrm>
          <a:off x="15445945" y="20368054"/>
          <a:ext cx="66675" cy="66675"/>
        </a:xfrm>
        <a:prstGeom prst="ellipse">
          <a:avLst/>
        </a:prstGeom>
        <a:solidFill>
          <a:srgbClr val="FFFFFF"/>
        </a:solidFill>
        <a:ln w="9525">
          <a:solidFill>
            <a:srgbClr val="000000"/>
          </a:solidFill>
          <a:round/>
          <a:headEnd/>
          <a:tailEnd/>
        </a:ln>
      </xdr:spPr>
    </xdr:sp>
    <xdr:clientData/>
  </xdr:twoCellAnchor>
  <xdr:twoCellAnchor>
    <xdr:from>
      <xdr:col>13</xdr:col>
      <xdr:colOff>308919</xdr:colOff>
      <xdr:row>12</xdr:row>
      <xdr:rowOff>61784</xdr:rowOff>
    </xdr:from>
    <xdr:to>
      <xdr:col>13</xdr:col>
      <xdr:colOff>489894</xdr:colOff>
      <xdr:row>12</xdr:row>
      <xdr:rowOff>166559</xdr:rowOff>
    </xdr:to>
    <xdr:sp macro="" textlink="">
      <xdr:nvSpPr>
        <xdr:cNvPr id="72" name="AutoShape 9">
          <a:extLst>
            <a:ext uri="{FF2B5EF4-FFF2-40B4-BE49-F238E27FC236}">
              <a16:creationId xmlns:a16="http://schemas.microsoft.com/office/drawing/2014/main" id="{4064995D-D323-4DBD-8549-BCC723BAE661}"/>
            </a:ext>
          </a:extLst>
        </xdr:cNvPr>
        <xdr:cNvSpPr>
          <a:spLocks noChangeArrowheads="1"/>
        </xdr:cNvSpPr>
      </xdr:nvSpPr>
      <xdr:spPr bwMode="auto">
        <a:xfrm>
          <a:off x="16280027" y="2965622"/>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308919</xdr:colOff>
      <xdr:row>15</xdr:row>
      <xdr:rowOff>61784</xdr:rowOff>
    </xdr:from>
    <xdr:to>
      <xdr:col>13</xdr:col>
      <xdr:colOff>489894</xdr:colOff>
      <xdr:row>15</xdr:row>
      <xdr:rowOff>166559</xdr:rowOff>
    </xdr:to>
    <xdr:sp macro="" textlink="">
      <xdr:nvSpPr>
        <xdr:cNvPr id="74" name="AutoShape 9">
          <a:extLst>
            <a:ext uri="{FF2B5EF4-FFF2-40B4-BE49-F238E27FC236}">
              <a16:creationId xmlns:a16="http://schemas.microsoft.com/office/drawing/2014/main" id="{41EE1660-35C8-4A2A-9FD8-2A41A33CBEE5}"/>
            </a:ext>
          </a:extLst>
        </xdr:cNvPr>
        <xdr:cNvSpPr>
          <a:spLocks noChangeArrowheads="1"/>
        </xdr:cNvSpPr>
      </xdr:nvSpPr>
      <xdr:spPr bwMode="auto">
        <a:xfrm>
          <a:off x="16280027" y="3768811"/>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308919</xdr:colOff>
      <xdr:row>16</xdr:row>
      <xdr:rowOff>51486</xdr:rowOff>
    </xdr:from>
    <xdr:to>
      <xdr:col>13</xdr:col>
      <xdr:colOff>489894</xdr:colOff>
      <xdr:row>16</xdr:row>
      <xdr:rowOff>156261</xdr:rowOff>
    </xdr:to>
    <xdr:sp macro="" textlink="">
      <xdr:nvSpPr>
        <xdr:cNvPr id="75" name="AutoShape 9">
          <a:extLst>
            <a:ext uri="{FF2B5EF4-FFF2-40B4-BE49-F238E27FC236}">
              <a16:creationId xmlns:a16="http://schemas.microsoft.com/office/drawing/2014/main" id="{5E6706D5-155B-41EC-8526-E098F8BDB268}"/>
            </a:ext>
          </a:extLst>
        </xdr:cNvPr>
        <xdr:cNvSpPr>
          <a:spLocks noChangeArrowheads="1"/>
        </xdr:cNvSpPr>
      </xdr:nvSpPr>
      <xdr:spPr bwMode="auto">
        <a:xfrm>
          <a:off x="16280027" y="3985054"/>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298621</xdr:colOff>
      <xdr:row>17</xdr:row>
      <xdr:rowOff>152190</xdr:rowOff>
    </xdr:from>
    <xdr:to>
      <xdr:col>13</xdr:col>
      <xdr:colOff>479596</xdr:colOff>
      <xdr:row>17</xdr:row>
      <xdr:rowOff>256965</xdr:rowOff>
    </xdr:to>
    <xdr:sp macro="" textlink="">
      <xdr:nvSpPr>
        <xdr:cNvPr id="76" name="AutoShape 9">
          <a:extLst>
            <a:ext uri="{FF2B5EF4-FFF2-40B4-BE49-F238E27FC236}">
              <a16:creationId xmlns:a16="http://schemas.microsoft.com/office/drawing/2014/main" id="{7AB68600-E3AA-4D9D-992F-8BCE8A006147}"/>
            </a:ext>
          </a:extLst>
        </xdr:cNvPr>
        <xdr:cNvSpPr>
          <a:spLocks noChangeArrowheads="1"/>
        </xdr:cNvSpPr>
      </xdr:nvSpPr>
      <xdr:spPr bwMode="auto">
        <a:xfrm>
          <a:off x="16416858" y="4504631"/>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308919</xdr:colOff>
      <xdr:row>18</xdr:row>
      <xdr:rowOff>72081</xdr:rowOff>
    </xdr:from>
    <xdr:to>
      <xdr:col>13</xdr:col>
      <xdr:colOff>489894</xdr:colOff>
      <xdr:row>18</xdr:row>
      <xdr:rowOff>176856</xdr:rowOff>
    </xdr:to>
    <xdr:sp macro="" textlink="">
      <xdr:nvSpPr>
        <xdr:cNvPr id="77" name="AutoShape 9">
          <a:extLst>
            <a:ext uri="{FF2B5EF4-FFF2-40B4-BE49-F238E27FC236}">
              <a16:creationId xmlns:a16="http://schemas.microsoft.com/office/drawing/2014/main" id="{397FBD9B-6DF0-4BCD-9D3D-2F5733F92CA4}"/>
            </a:ext>
          </a:extLst>
        </xdr:cNvPr>
        <xdr:cNvSpPr>
          <a:spLocks noChangeArrowheads="1"/>
        </xdr:cNvSpPr>
      </xdr:nvSpPr>
      <xdr:spPr bwMode="auto">
        <a:xfrm>
          <a:off x="16280027" y="4458730"/>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308918</xdr:colOff>
      <xdr:row>19</xdr:row>
      <xdr:rowOff>61784</xdr:rowOff>
    </xdr:from>
    <xdr:to>
      <xdr:col>13</xdr:col>
      <xdr:colOff>489893</xdr:colOff>
      <xdr:row>19</xdr:row>
      <xdr:rowOff>166559</xdr:rowOff>
    </xdr:to>
    <xdr:sp macro="" textlink="">
      <xdr:nvSpPr>
        <xdr:cNvPr id="78" name="AutoShape 9">
          <a:extLst>
            <a:ext uri="{FF2B5EF4-FFF2-40B4-BE49-F238E27FC236}">
              <a16:creationId xmlns:a16="http://schemas.microsoft.com/office/drawing/2014/main" id="{D10758EA-A805-48D2-951E-A6FB92A3A8AB}"/>
            </a:ext>
          </a:extLst>
        </xdr:cNvPr>
        <xdr:cNvSpPr>
          <a:spLocks noChangeArrowheads="1"/>
        </xdr:cNvSpPr>
      </xdr:nvSpPr>
      <xdr:spPr bwMode="auto">
        <a:xfrm>
          <a:off x="16280026" y="4674973"/>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319216</xdr:colOff>
      <xdr:row>20</xdr:row>
      <xdr:rowOff>51487</xdr:rowOff>
    </xdr:from>
    <xdr:to>
      <xdr:col>13</xdr:col>
      <xdr:colOff>500191</xdr:colOff>
      <xdr:row>20</xdr:row>
      <xdr:rowOff>156262</xdr:rowOff>
    </xdr:to>
    <xdr:sp macro="" textlink="">
      <xdr:nvSpPr>
        <xdr:cNvPr id="79" name="AutoShape 9">
          <a:extLst>
            <a:ext uri="{FF2B5EF4-FFF2-40B4-BE49-F238E27FC236}">
              <a16:creationId xmlns:a16="http://schemas.microsoft.com/office/drawing/2014/main" id="{715CD980-4C25-4E19-AD7D-F1E86B387396}"/>
            </a:ext>
          </a:extLst>
        </xdr:cNvPr>
        <xdr:cNvSpPr>
          <a:spLocks noChangeArrowheads="1"/>
        </xdr:cNvSpPr>
      </xdr:nvSpPr>
      <xdr:spPr bwMode="auto">
        <a:xfrm>
          <a:off x="16290324" y="4891217"/>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319217</xdr:colOff>
      <xdr:row>21</xdr:row>
      <xdr:rowOff>82378</xdr:rowOff>
    </xdr:from>
    <xdr:to>
      <xdr:col>13</xdr:col>
      <xdr:colOff>500192</xdr:colOff>
      <xdr:row>21</xdr:row>
      <xdr:rowOff>187153</xdr:rowOff>
    </xdr:to>
    <xdr:sp macro="" textlink="">
      <xdr:nvSpPr>
        <xdr:cNvPr id="80" name="AutoShape 9">
          <a:extLst>
            <a:ext uri="{FF2B5EF4-FFF2-40B4-BE49-F238E27FC236}">
              <a16:creationId xmlns:a16="http://schemas.microsoft.com/office/drawing/2014/main" id="{07D416D7-A8E4-4E96-8D56-CD5A4CF93456}"/>
            </a:ext>
          </a:extLst>
        </xdr:cNvPr>
        <xdr:cNvSpPr>
          <a:spLocks noChangeArrowheads="1"/>
        </xdr:cNvSpPr>
      </xdr:nvSpPr>
      <xdr:spPr bwMode="auto">
        <a:xfrm>
          <a:off x="16290325" y="5148648"/>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319216</xdr:colOff>
      <xdr:row>41</xdr:row>
      <xdr:rowOff>61784</xdr:rowOff>
    </xdr:from>
    <xdr:to>
      <xdr:col>13</xdr:col>
      <xdr:colOff>500191</xdr:colOff>
      <xdr:row>41</xdr:row>
      <xdr:rowOff>166559</xdr:rowOff>
    </xdr:to>
    <xdr:sp macro="" textlink="">
      <xdr:nvSpPr>
        <xdr:cNvPr id="82" name="AutoShape 9">
          <a:extLst>
            <a:ext uri="{FF2B5EF4-FFF2-40B4-BE49-F238E27FC236}">
              <a16:creationId xmlns:a16="http://schemas.microsoft.com/office/drawing/2014/main" id="{0D39AB98-AACD-4A94-9C76-FEB3B87ED864}"/>
            </a:ext>
          </a:extLst>
        </xdr:cNvPr>
        <xdr:cNvSpPr>
          <a:spLocks noChangeArrowheads="1"/>
        </xdr:cNvSpPr>
      </xdr:nvSpPr>
      <xdr:spPr bwMode="auto">
        <a:xfrm>
          <a:off x="16290324" y="9751541"/>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319216</xdr:colOff>
      <xdr:row>42</xdr:row>
      <xdr:rowOff>72081</xdr:rowOff>
    </xdr:from>
    <xdr:to>
      <xdr:col>13</xdr:col>
      <xdr:colOff>500191</xdr:colOff>
      <xdr:row>42</xdr:row>
      <xdr:rowOff>176856</xdr:rowOff>
    </xdr:to>
    <xdr:sp macro="" textlink="">
      <xdr:nvSpPr>
        <xdr:cNvPr id="83" name="AutoShape 9">
          <a:extLst>
            <a:ext uri="{FF2B5EF4-FFF2-40B4-BE49-F238E27FC236}">
              <a16:creationId xmlns:a16="http://schemas.microsoft.com/office/drawing/2014/main" id="{FCE3240A-8355-4734-9C8F-131E2C8D9B1B}"/>
            </a:ext>
          </a:extLst>
        </xdr:cNvPr>
        <xdr:cNvSpPr>
          <a:spLocks noChangeArrowheads="1"/>
        </xdr:cNvSpPr>
      </xdr:nvSpPr>
      <xdr:spPr bwMode="auto">
        <a:xfrm>
          <a:off x="16290324" y="9988378"/>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319216</xdr:colOff>
      <xdr:row>43</xdr:row>
      <xdr:rowOff>164757</xdr:rowOff>
    </xdr:from>
    <xdr:to>
      <xdr:col>13</xdr:col>
      <xdr:colOff>500191</xdr:colOff>
      <xdr:row>44</xdr:row>
      <xdr:rowOff>42992</xdr:rowOff>
    </xdr:to>
    <xdr:sp macro="" textlink="">
      <xdr:nvSpPr>
        <xdr:cNvPr id="84" name="AutoShape 9">
          <a:extLst>
            <a:ext uri="{FF2B5EF4-FFF2-40B4-BE49-F238E27FC236}">
              <a16:creationId xmlns:a16="http://schemas.microsoft.com/office/drawing/2014/main" id="{A09F46F1-65B5-4F7A-9BF8-E0D5CF7E8FC0}"/>
            </a:ext>
          </a:extLst>
        </xdr:cNvPr>
        <xdr:cNvSpPr>
          <a:spLocks noChangeArrowheads="1"/>
        </xdr:cNvSpPr>
      </xdr:nvSpPr>
      <xdr:spPr bwMode="auto">
        <a:xfrm>
          <a:off x="16290324" y="10307595"/>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319217</xdr:colOff>
      <xdr:row>45</xdr:row>
      <xdr:rowOff>72081</xdr:rowOff>
    </xdr:from>
    <xdr:to>
      <xdr:col>13</xdr:col>
      <xdr:colOff>500192</xdr:colOff>
      <xdr:row>45</xdr:row>
      <xdr:rowOff>176856</xdr:rowOff>
    </xdr:to>
    <xdr:sp macro="" textlink="">
      <xdr:nvSpPr>
        <xdr:cNvPr id="85" name="AutoShape 9">
          <a:extLst>
            <a:ext uri="{FF2B5EF4-FFF2-40B4-BE49-F238E27FC236}">
              <a16:creationId xmlns:a16="http://schemas.microsoft.com/office/drawing/2014/main" id="{651E4B1B-5A8F-4DA3-8535-2DB1489ECFE5}"/>
            </a:ext>
          </a:extLst>
        </xdr:cNvPr>
        <xdr:cNvSpPr>
          <a:spLocks noChangeArrowheads="1"/>
        </xdr:cNvSpPr>
      </xdr:nvSpPr>
      <xdr:spPr bwMode="auto">
        <a:xfrm>
          <a:off x="16290325" y="10668000"/>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319216</xdr:colOff>
      <xdr:row>46</xdr:row>
      <xdr:rowOff>61784</xdr:rowOff>
    </xdr:from>
    <xdr:to>
      <xdr:col>13</xdr:col>
      <xdr:colOff>500191</xdr:colOff>
      <xdr:row>46</xdr:row>
      <xdr:rowOff>166559</xdr:rowOff>
    </xdr:to>
    <xdr:sp macro="" textlink="">
      <xdr:nvSpPr>
        <xdr:cNvPr id="86" name="AutoShape 9">
          <a:extLst>
            <a:ext uri="{FF2B5EF4-FFF2-40B4-BE49-F238E27FC236}">
              <a16:creationId xmlns:a16="http://schemas.microsoft.com/office/drawing/2014/main" id="{FF53E18B-EC35-420A-8693-2284FDE01E44}"/>
            </a:ext>
          </a:extLst>
        </xdr:cNvPr>
        <xdr:cNvSpPr>
          <a:spLocks noChangeArrowheads="1"/>
        </xdr:cNvSpPr>
      </xdr:nvSpPr>
      <xdr:spPr bwMode="auto">
        <a:xfrm>
          <a:off x="16290324" y="10884243"/>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329513</xdr:colOff>
      <xdr:row>47</xdr:row>
      <xdr:rowOff>185351</xdr:rowOff>
    </xdr:from>
    <xdr:to>
      <xdr:col>13</xdr:col>
      <xdr:colOff>510488</xdr:colOff>
      <xdr:row>48</xdr:row>
      <xdr:rowOff>63585</xdr:rowOff>
    </xdr:to>
    <xdr:sp macro="" textlink="">
      <xdr:nvSpPr>
        <xdr:cNvPr id="87" name="AutoShape 9">
          <a:extLst>
            <a:ext uri="{FF2B5EF4-FFF2-40B4-BE49-F238E27FC236}">
              <a16:creationId xmlns:a16="http://schemas.microsoft.com/office/drawing/2014/main" id="{2914195C-73E9-41C6-9149-318BB7BA8C7C}"/>
            </a:ext>
          </a:extLst>
        </xdr:cNvPr>
        <xdr:cNvSpPr>
          <a:spLocks noChangeArrowheads="1"/>
        </xdr:cNvSpPr>
      </xdr:nvSpPr>
      <xdr:spPr bwMode="auto">
        <a:xfrm>
          <a:off x="16300621" y="11234351"/>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329514</xdr:colOff>
      <xdr:row>49</xdr:row>
      <xdr:rowOff>61784</xdr:rowOff>
    </xdr:from>
    <xdr:to>
      <xdr:col>13</xdr:col>
      <xdr:colOff>510489</xdr:colOff>
      <xdr:row>49</xdr:row>
      <xdr:rowOff>166559</xdr:rowOff>
    </xdr:to>
    <xdr:sp macro="" textlink="">
      <xdr:nvSpPr>
        <xdr:cNvPr id="88" name="AutoShape 9">
          <a:extLst>
            <a:ext uri="{FF2B5EF4-FFF2-40B4-BE49-F238E27FC236}">
              <a16:creationId xmlns:a16="http://schemas.microsoft.com/office/drawing/2014/main" id="{60B22A14-6352-479B-BD04-1602422CC7F7}"/>
            </a:ext>
          </a:extLst>
        </xdr:cNvPr>
        <xdr:cNvSpPr>
          <a:spLocks noChangeArrowheads="1"/>
        </xdr:cNvSpPr>
      </xdr:nvSpPr>
      <xdr:spPr bwMode="auto">
        <a:xfrm>
          <a:off x="16300622" y="11563865"/>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329514</xdr:colOff>
      <xdr:row>50</xdr:row>
      <xdr:rowOff>61784</xdr:rowOff>
    </xdr:from>
    <xdr:to>
      <xdr:col>13</xdr:col>
      <xdr:colOff>510489</xdr:colOff>
      <xdr:row>50</xdr:row>
      <xdr:rowOff>166559</xdr:rowOff>
    </xdr:to>
    <xdr:sp macro="" textlink="">
      <xdr:nvSpPr>
        <xdr:cNvPr id="89" name="AutoShape 9">
          <a:extLst>
            <a:ext uri="{FF2B5EF4-FFF2-40B4-BE49-F238E27FC236}">
              <a16:creationId xmlns:a16="http://schemas.microsoft.com/office/drawing/2014/main" id="{B12AF47E-D339-435E-92F7-4A79FC660187}"/>
            </a:ext>
          </a:extLst>
        </xdr:cNvPr>
        <xdr:cNvSpPr>
          <a:spLocks noChangeArrowheads="1"/>
        </xdr:cNvSpPr>
      </xdr:nvSpPr>
      <xdr:spPr bwMode="auto">
        <a:xfrm>
          <a:off x="16300622" y="11790406"/>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308919</xdr:colOff>
      <xdr:row>51</xdr:row>
      <xdr:rowOff>61784</xdr:rowOff>
    </xdr:from>
    <xdr:to>
      <xdr:col>13</xdr:col>
      <xdr:colOff>489894</xdr:colOff>
      <xdr:row>51</xdr:row>
      <xdr:rowOff>166559</xdr:rowOff>
    </xdr:to>
    <xdr:sp macro="" textlink="">
      <xdr:nvSpPr>
        <xdr:cNvPr id="90" name="AutoShape 9">
          <a:extLst>
            <a:ext uri="{FF2B5EF4-FFF2-40B4-BE49-F238E27FC236}">
              <a16:creationId xmlns:a16="http://schemas.microsoft.com/office/drawing/2014/main" id="{9B58556F-675E-4E7C-9463-240982D790F7}"/>
            </a:ext>
          </a:extLst>
        </xdr:cNvPr>
        <xdr:cNvSpPr>
          <a:spLocks noChangeArrowheads="1"/>
        </xdr:cNvSpPr>
      </xdr:nvSpPr>
      <xdr:spPr bwMode="auto">
        <a:xfrm>
          <a:off x="16280027" y="12016946"/>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319216</xdr:colOff>
      <xdr:row>52</xdr:row>
      <xdr:rowOff>61784</xdr:rowOff>
    </xdr:from>
    <xdr:to>
      <xdr:col>13</xdr:col>
      <xdr:colOff>500191</xdr:colOff>
      <xdr:row>52</xdr:row>
      <xdr:rowOff>166559</xdr:rowOff>
    </xdr:to>
    <xdr:sp macro="" textlink="">
      <xdr:nvSpPr>
        <xdr:cNvPr id="91" name="AutoShape 9">
          <a:extLst>
            <a:ext uri="{FF2B5EF4-FFF2-40B4-BE49-F238E27FC236}">
              <a16:creationId xmlns:a16="http://schemas.microsoft.com/office/drawing/2014/main" id="{DA393551-7B7E-42B8-81DF-F6835097F89D}"/>
            </a:ext>
          </a:extLst>
        </xdr:cNvPr>
        <xdr:cNvSpPr>
          <a:spLocks noChangeArrowheads="1"/>
        </xdr:cNvSpPr>
      </xdr:nvSpPr>
      <xdr:spPr bwMode="auto">
        <a:xfrm>
          <a:off x="16290324" y="12243487"/>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308919</xdr:colOff>
      <xdr:row>53</xdr:row>
      <xdr:rowOff>61783</xdr:rowOff>
    </xdr:from>
    <xdr:to>
      <xdr:col>13</xdr:col>
      <xdr:colOff>489894</xdr:colOff>
      <xdr:row>53</xdr:row>
      <xdr:rowOff>166558</xdr:rowOff>
    </xdr:to>
    <xdr:sp macro="" textlink="">
      <xdr:nvSpPr>
        <xdr:cNvPr id="92" name="AutoShape 9">
          <a:extLst>
            <a:ext uri="{FF2B5EF4-FFF2-40B4-BE49-F238E27FC236}">
              <a16:creationId xmlns:a16="http://schemas.microsoft.com/office/drawing/2014/main" id="{5A93F5D5-A942-49A2-A9F6-14EDF6ABA9F0}"/>
            </a:ext>
          </a:extLst>
        </xdr:cNvPr>
        <xdr:cNvSpPr>
          <a:spLocks noChangeArrowheads="1"/>
        </xdr:cNvSpPr>
      </xdr:nvSpPr>
      <xdr:spPr bwMode="auto">
        <a:xfrm>
          <a:off x="16280027" y="12470026"/>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308919</xdr:colOff>
      <xdr:row>54</xdr:row>
      <xdr:rowOff>185352</xdr:rowOff>
    </xdr:from>
    <xdr:to>
      <xdr:col>13</xdr:col>
      <xdr:colOff>489894</xdr:colOff>
      <xdr:row>54</xdr:row>
      <xdr:rowOff>290127</xdr:rowOff>
    </xdr:to>
    <xdr:sp macro="" textlink="">
      <xdr:nvSpPr>
        <xdr:cNvPr id="93" name="AutoShape 9">
          <a:extLst>
            <a:ext uri="{FF2B5EF4-FFF2-40B4-BE49-F238E27FC236}">
              <a16:creationId xmlns:a16="http://schemas.microsoft.com/office/drawing/2014/main" id="{CDBEBFE7-902C-4DB4-9EF4-75DD840AC5F6}"/>
            </a:ext>
          </a:extLst>
        </xdr:cNvPr>
        <xdr:cNvSpPr>
          <a:spLocks noChangeArrowheads="1"/>
        </xdr:cNvSpPr>
      </xdr:nvSpPr>
      <xdr:spPr bwMode="auto">
        <a:xfrm>
          <a:off x="16280027" y="12820136"/>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298622</xdr:colOff>
      <xdr:row>55</xdr:row>
      <xdr:rowOff>102973</xdr:rowOff>
    </xdr:from>
    <xdr:to>
      <xdr:col>13</xdr:col>
      <xdr:colOff>479597</xdr:colOff>
      <xdr:row>55</xdr:row>
      <xdr:rowOff>207748</xdr:rowOff>
    </xdr:to>
    <xdr:sp macro="" textlink="">
      <xdr:nvSpPr>
        <xdr:cNvPr id="94" name="AutoShape 9">
          <a:extLst>
            <a:ext uri="{FF2B5EF4-FFF2-40B4-BE49-F238E27FC236}">
              <a16:creationId xmlns:a16="http://schemas.microsoft.com/office/drawing/2014/main" id="{4662FC04-8F5E-4FD9-824A-3C65094BD538}"/>
            </a:ext>
          </a:extLst>
        </xdr:cNvPr>
        <xdr:cNvSpPr>
          <a:spLocks noChangeArrowheads="1"/>
        </xdr:cNvSpPr>
      </xdr:nvSpPr>
      <xdr:spPr bwMode="auto">
        <a:xfrm>
          <a:off x="16269730" y="13190838"/>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298621</xdr:colOff>
      <xdr:row>57</xdr:row>
      <xdr:rowOff>72081</xdr:rowOff>
    </xdr:from>
    <xdr:to>
      <xdr:col>13</xdr:col>
      <xdr:colOff>479596</xdr:colOff>
      <xdr:row>57</xdr:row>
      <xdr:rowOff>176856</xdr:rowOff>
    </xdr:to>
    <xdr:sp macro="" textlink="">
      <xdr:nvSpPr>
        <xdr:cNvPr id="95" name="AutoShape 9">
          <a:extLst>
            <a:ext uri="{FF2B5EF4-FFF2-40B4-BE49-F238E27FC236}">
              <a16:creationId xmlns:a16="http://schemas.microsoft.com/office/drawing/2014/main" id="{711B5DAF-8953-42A9-A204-7346DDD90DE5}"/>
            </a:ext>
          </a:extLst>
        </xdr:cNvPr>
        <xdr:cNvSpPr>
          <a:spLocks noChangeArrowheads="1"/>
        </xdr:cNvSpPr>
      </xdr:nvSpPr>
      <xdr:spPr bwMode="auto">
        <a:xfrm>
          <a:off x="16269729" y="13448270"/>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288324</xdr:colOff>
      <xdr:row>58</xdr:row>
      <xdr:rowOff>51486</xdr:rowOff>
    </xdr:from>
    <xdr:to>
      <xdr:col>13</xdr:col>
      <xdr:colOff>469299</xdr:colOff>
      <xdr:row>58</xdr:row>
      <xdr:rowOff>156261</xdr:rowOff>
    </xdr:to>
    <xdr:sp macro="" textlink="">
      <xdr:nvSpPr>
        <xdr:cNvPr id="96" name="AutoShape 9">
          <a:extLst>
            <a:ext uri="{FF2B5EF4-FFF2-40B4-BE49-F238E27FC236}">
              <a16:creationId xmlns:a16="http://schemas.microsoft.com/office/drawing/2014/main" id="{4FC9F072-4F84-419E-AFC3-D7D75CF66AB1}"/>
            </a:ext>
          </a:extLst>
        </xdr:cNvPr>
        <xdr:cNvSpPr>
          <a:spLocks noChangeArrowheads="1"/>
        </xdr:cNvSpPr>
      </xdr:nvSpPr>
      <xdr:spPr bwMode="auto">
        <a:xfrm>
          <a:off x="16259432" y="13705702"/>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298622</xdr:colOff>
      <xdr:row>59</xdr:row>
      <xdr:rowOff>175054</xdr:rowOff>
    </xdr:from>
    <xdr:to>
      <xdr:col>13</xdr:col>
      <xdr:colOff>479597</xdr:colOff>
      <xdr:row>59</xdr:row>
      <xdr:rowOff>279829</xdr:rowOff>
    </xdr:to>
    <xdr:sp macro="" textlink="">
      <xdr:nvSpPr>
        <xdr:cNvPr id="97" name="AutoShape 9">
          <a:extLst>
            <a:ext uri="{FF2B5EF4-FFF2-40B4-BE49-F238E27FC236}">
              <a16:creationId xmlns:a16="http://schemas.microsoft.com/office/drawing/2014/main" id="{AE533217-5BE1-479D-8328-EE6F9CEAC582}"/>
            </a:ext>
          </a:extLst>
        </xdr:cNvPr>
        <xdr:cNvSpPr>
          <a:spLocks noChangeArrowheads="1"/>
        </xdr:cNvSpPr>
      </xdr:nvSpPr>
      <xdr:spPr bwMode="auto">
        <a:xfrm>
          <a:off x="16269730" y="14055811"/>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298622</xdr:colOff>
      <xdr:row>60</xdr:row>
      <xdr:rowOff>61784</xdr:rowOff>
    </xdr:from>
    <xdr:to>
      <xdr:col>13</xdr:col>
      <xdr:colOff>479597</xdr:colOff>
      <xdr:row>60</xdr:row>
      <xdr:rowOff>166559</xdr:rowOff>
    </xdr:to>
    <xdr:sp macro="" textlink="">
      <xdr:nvSpPr>
        <xdr:cNvPr id="98" name="AutoShape 9">
          <a:extLst>
            <a:ext uri="{FF2B5EF4-FFF2-40B4-BE49-F238E27FC236}">
              <a16:creationId xmlns:a16="http://schemas.microsoft.com/office/drawing/2014/main" id="{4C847DF2-28AF-43B0-A334-7B79A7F1C3EE}"/>
            </a:ext>
          </a:extLst>
        </xdr:cNvPr>
        <xdr:cNvSpPr>
          <a:spLocks noChangeArrowheads="1"/>
        </xdr:cNvSpPr>
      </xdr:nvSpPr>
      <xdr:spPr bwMode="auto">
        <a:xfrm>
          <a:off x="16269730" y="14395622"/>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308919</xdr:colOff>
      <xdr:row>61</xdr:row>
      <xdr:rowOff>82378</xdr:rowOff>
    </xdr:from>
    <xdr:to>
      <xdr:col>13</xdr:col>
      <xdr:colOff>489894</xdr:colOff>
      <xdr:row>61</xdr:row>
      <xdr:rowOff>187153</xdr:rowOff>
    </xdr:to>
    <xdr:sp macro="" textlink="">
      <xdr:nvSpPr>
        <xdr:cNvPr id="99" name="AutoShape 9">
          <a:extLst>
            <a:ext uri="{FF2B5EF4-FFF2-40B4-BE49-F238E27FC236}">
              <a16:creationId xmlns:a16="http://schemas.microsoft.com/office/drawing/2014/main" id="{C0EBC65D-9DC6-4C20-9ED3-0BD54417C14B}"/>
            </a:ext>
          </a:extLst>
        </xdr:cNvPr>
        <xdr:cNvSpPr>
          <a:spLocks noChangeArrowheads="1"/>
        </xdr:cNvSpPr>
      </xdr:nvSpPr>
      <xdr:spPr bwMode="auto">
        <a:xfrm>
          <a:off x="16280027" y="14642756"/>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298622</xdr:colOff>
      <xdr:row>80</xdr:row>
      <xdr:rowOff>61783</xdr:rowOff>
    </xdr:from>
    <xdr:to>
      <xdr:col>13</xdr:col>
      <xdr:colOff>479597</xdr:colOff>
      <xdr:row>80</xdr:row>
      <xdr:rowOff>166558</xdr:rowOff>
    </xdr:to>
    <xdr:sp macro="" textlink="">
      <xdr:nvSpPr>
        <xdr:cNvPr id="100" name="AutoShape 9">
          <a:extLst>
            <a:ext uri="{FF2B5EF4-FFF2-40B4-BE49-F238E27FC236}">
              <a16:creationId xmlns:a16="http://schemas.microsoft.com/office/drawing/2014/main" id="{8BE0E4E3-0596-424A-9D19-6E7D5D178255}"/>
            </a:ext>
          </a:extLst>
        </xdr:cNvPr>
        <xdr:cNvSpPr>
          <a:spLocks noChangeArrowheads="1"/>
        </xdr:cNvSpPr>
      </xdr:nvSpPr>
      <xdr:spPr bwMode="auto">
        <a:xfrm>
          <a:off x="16269730" y="19173567"/>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288325</xdr:colOff>
      <xdr:row>81</xdr:row>
      <xdr:rowOff>185351</xdr:rowOff>
    </xdr:from>
    <xdr:to>
      <xdr:col>13</xdr:col>
      <xdr:colOff>469300</xdr:colOff>
      <xdr:row>82</xdr:row>
      <xdr:rowOff>63585</xdr:rowOff>
    </xdr:to>
    <xdr:sp macro="" textlink="">
      <xdr:nvSpPr>
        <xdr:cNvPr id="101" name="AutoShape 9">
          <a:extLst>
            <a:ext uri="{FF2B5EF4-FFF2-40B4-BE49-F238E27FC236}">
              <a16:creationId xmlns:a16="http://schemas.microsoft.com/office/drawing/2014/main" id="{9A05EE70-BA6B-49B1-8D62-813523CA0152}"/>
            </a:ext>
          </a:extLst>
        </xdr:cNvPr>
        <xdr:cNvSpPr>
          <a:spLocks noChangeArrowheads="1"/>
        </xdr:cNvSpPr>
      </xdr:nvSpPr>
      <xdr:spPr bwMode="auto">
        <a:xfrm>
          <a:off x="16259433" y="19523675"/>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298621</xdr:colOff>
      <xdr:row>83</xdr:row>
      <xdr:rowOff>82378</xdr:rowOff>
    </xdr:from>
    <xdr:to>
      <xdr:col>13</xdr:col>
      <xdr:colOff>479596</xdr:colOff>
      <xdr:row>83</xdr:row>
      <xdr:rowOff>187153</xdr:rowOff>
    </xdr:to>
    <xdr:sp macro="" textlink="">
      <xdr:nvSpPr>
        <xdr:cNvPr id="102" name="AutoShape 9">
          <a:extLst>
            <a:ext uri="{FF2B5EF4-FFF2-40B4-BE49-F238E27FC236}">
              <a16:creationId xmlns:a16="http://schemas.microsoft.com/office/drawing/2014/main" id="{9DA0146A-E254-439D-AA47-204202F65AA7}"/>
            </a:ext>
          </a:extLst>
        </xdr:cNvPr>
        <xdr:cNvSpPr>
          <a:spLocks noChangeArrowheads="1"/>
        </xdr:cNvSpPr>
      </xdr:nvSpPr>
      <xdr:spPr bwMode="auto">
        <a:xfrm>
          <a:off x="16269729" y="19873783"/>
          <a:ext cx="180975" cy="104775"/>
        </a:xfrm>
        <a:prstGeom prst="rightArrow">
          <a:avLst>
            <a:gd name="adj1" fmla="val 50000"/>
            <a:gd name="adj2" fmla="val 43182"/>
          </a:avLst>
        </a:prstGeom>
        <a:solidFill>
          <a:schemeClr val="tx1"/>
        </a:solidFill>
        <a:ln w="9525">
          <a:solidFill>
            <a:srgbClr val="000000"/>
          </a:solidFill>
          <a:miter lim="800000"/>
          <a:headEnd/>
          <a:tailEnd/>
        </a:ln>
      </xdr:spPr>
    </xdr:sp>
    <xdr:clientData/>
  </xdr:twoCellAnchor>
  <xdr:twoCellAnchor>
    <xdr:from>
      <xdr:col>13</xdr:col>
      <xdr:colOff>298622</xdr:colOff>
      <xdr:row>84</xdr:row>
      <xdr:rowOff>61783</xdr:rowOff>
    </xdr:from>
    <xdr:to>
      <xdr:col>13</xdr:col>
      <xdr:colOff>479597</xdr:colOff>
      <xdr:row>84</xdr:row>
      <xdr:rowOff>166558</xdr:rowOff>
    </xdr:to>
    <xdr:sp macro="" textlink="">
      <xdr:nvSpPr>
        <xdr:cNvPr id="103" name="AutoShape 9">
          <a:extLst>
            <a:ext uri="{FF2B5EF4-FFF2-40B4-BE49-F238E27FC236}">
              <a16:creationId xmlns:a16="http://schemas.microsoft.com/office/drawing/2014/main" id="{6CCE436F-294D-483A-9E31-1E48F5B5B68B}"/>
            </a:ext>
          </a:extLst>
        </xdr:cNvPr>
        <xdr:cNvSpPr>
          <a:spLocks noChangeArrowheads="1"/>
        </xdr:cNvSpPr>
      </xdr:nvSpPr>
      <xdr:spPr bwMode="auto">
        <a:xfrm>
          <a:off x="16269730" y="20100324"/>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298621</xdr:colOff>
      <xdr:row>85</xdr:row>
      <xdr:rowOff>72081</xdr:rowOff>
    </xdr:from>
    <xdr:to>
      <xdr:col>13</xdr:col>
      <xdr:colOff>479596</xdr:colOff>
      <xdr:row>85</xdr:row>
      <xdr:rowOff>176856</xdr:rowOff>
    </xdr:to>
    <xdr:sp macro="" textlink="">
      <xdr:nvSpPr>
        <xdr:cNvPr id="104" name="AutoShape 9">
          <a:extLst>
            <a:ext uri="{FF2B5EF4-FFF2-40B4-BE49-F238E27FC236}">
              <a16:creationId xmlns:a16="http://schemas.microsoft.com/office/drawing/2014/main" id="{51D34C9D-34AD-4A96-B92D-D532CDFE879D}"/>
            </a:ext>
          </a:extLst>
        </xdr:cNvPr>
        <xdr:cNvSpPr>
          <a:spLocks noChangeArrowheads="1"/>
        </xdr:cNvSpPr>
      </xdr:nvSpPr>
      <xdr:spPr bwMode="auto">
        <a:xfrm>
          <a:off x="16269729" y="20337162"/>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14</xdr:col>
      <xdr:colOff>236838</xdr:colOff>
      <xdr:row>12</xdr:row>
      <xdr:rowOff>51487</xdr:rowOff>
    </xdr:from>
    <xdr:to>
      <xdr:col>14</xdr:col>
      <xdr:colOff>379713</xdr:colOff>
      <xdr:row>12</xdr:row>
      <xdr:rowOff>175312</xdr:rowOff>
    </xdr:to>
    <xdr:sp macro="" textlink="">
      <xdr:nvSpPr>
        <xdr:cNvPr id="106" name="Rectangle 4">
          <a:extLst>
            <a:ext uri="{FF2B5EF4-FFF2-40B4-BE49-F238E27FC236}">
              <a16:creationId xmlns:a16="http://schemas.microsoft.com/office/drawing/2014/main" id="{1B89D530-F001-4062-87D2-969B990EFDF2}"/>
            </a:ext>
          </a:extLst>
        </xdr:cNvPr>
        <xdr:cNvSpPr>
          <a:spLocks noChangeArrowheads="1"/>
        </xdr:cNvSpPr>
      </xdr:nvSpPr>
      <xdr:spPr bwMode="auto">
        <a:xfrm>
          <a:off x="17042027" y="2955325"/>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226541</xdr:colOff>
      <xdr:row>13</xdr:row>
      <xdr:rowOff>216245</xdr:rowOff>
    </xdr:from>
    <xdr:to>
      <xdr:col>14</xdr:col>
      <xdr:colOff>374542</xdr:colOff>
      <xdr:row>13</xdr:row>
      <xdr:rowOff>374543</xdr:rowOff>
    </xdr:to>
    <xdr:sp macro="" textlink="">
      <xdr:nvSpPr>
        <xdr:cNvPr id="107" name="Rectangle 4">
          <a:extLst>
            <a:ext uri="{FF2B5EF4-FFF2-40B4-BE49-F238E27FC236}">
              <a16:creationId xmlns:a16="http://schemas.microsoft.com/office/drawing/2014/main" id="{46BE5C6D-2B3C-497F-8800-6FFC64709179}"/>
            </a:ext>
          </a:extLst>
        </xdr:cNvPr>
        <xdr:cNvSpPr>
          <a:spLocks noChangeArrowheads="1"/>
        </xdr:cNvSpPr>
      </xdr:nvSpPr>
      <xdr:spPr bwMode="auto">
        <a:xfrm>
          <a:off x="17223016" y="3367567"/>
          <a:ext cx="148001" cy="158298"/>
        </a:xfrm>
        <a:prstGeom prst="rect">
          <a:avLst/>
        </a:prstGeom>
        <a:solidFill>
          <a:schemeClr val="tx1"/>
        </a:solidFill>
        <a:ln w="9525">
          <a:solidFill>
            <a:srgbClr val="000000"/>
          </a:solidFill>
          <a:miter lim="800000"/>
          <a:headEnd/>
          <a:tailEnd/>
        </a:ln>
      </xdr:spPr>
    </xdr:sp>
    <xdr:clientData/>
  </xdr:twoCellAnchor>
  <xdr:twoCellAnchor>
    <xdr:from>
      <xdr:col>14</xdr:col>
      <xdr:colOff>216244</xdr:colOff>
      <xdr:row>15</xdr:row>
      <xdr:rowOff>61784</xdr:rowOff>
    </xdr:from>
    <xdr:to>
      <xdr:col>14</xdr:col>
      <xdr:colOff>359119</xdr:colOff>
      <xdr:row>15</xdr:row>
      <xdr:rowOff>185609</xdr:rowOff>
    </xdr:to>
    <xdr:sp macro="" textlink="">
      <xdr:nvSpPr>
        <xdr:cNvPr id="108" name="Rectangle 4">
          <a:extLst>
            <a:ext uri="{FF2B5EF4-FFF2-40B4-BE49-F238E27FC236}">
              <a16:creationId xmlns:a16="http://schemas.microsoft.com/office/drawing/2014/main" id="{3C772D1C-89EC-471B-8558-B3EC84F321AB}"/>
            </a:ext>
          </a:extLst>
        </xdr:cNvPr>
        <xdr:cNvSpPr>
          <a:spLocks noChangeArrowheads="1"/>
        </xdr:cNvSpPr>
      </xdr:nvSpPr>
      <xdr:spPr bwMode="auto">
        <a:xfrm>
          <a:off x="17021433" y="3768811"/>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249753</xdr:colOff>
      <xdr:row>16</xdr:row>
      <xdr:rowOff>64401</xdr:rowOff>
    </xdr:from>
    <xdr:to>
      <xdr:col>14</xdr:col>
      <xdr:colOff>392628</xdr:colOff>
      <xdr:row>16</xdr:row>
      <xdr:rowOff>188226</xdr:rowOff>
    </xdr:to>
    <xdr:sp macro="" textlink="">
      <xdr:nvSpPr>
        <xdr:cNvPr id="109" name="Rectangle 4">
          <a:extLst>
            <a:ext uri="{FF2B5EF4-FFF2-40B4-BE49-F238E27FC236}">
              <a16:creationId xmlns:a16="http://schemas.microsoft.com/office/drawing/2014/main" id="{A558C236-27D6-452B-8A8B-9D8A447D7F5B}"/>
            </a:ext>
          </a:extLst>
        </xdr:cNvPr>
        <xdr:cNvSpPr>
          <a:spLocks noChangeArrowheads="1"/>
        </xdr:cNvSpPr>
      </xdr:nvSpPr>
      <xdr:spPr bwMode="auto">
        <a:xfrm>
          <a:off x="17246228" y="4184367"/>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260050</xdr:colOff>
      <xdr:row>17</xdr:row>
      <xdr:rowOff>167724</xdr:rowOff>
    </xdr:from>
    <xdr:to>
      <xdr:col>14</xdr:col>
      <xdr:colOff>402925</xdr:colOff>
      <xdr:row>17</xdr:row>
      <xdr:rowOff>291549</xdr:rowOff>
    </xdr:to>
    <xdr:sp macro="" textlink="">
      <xdr:nvSpPr>
        <xdr:cNvPr id="110" name="Rectangle 4">
          <a:extLst>
            <a:ext uri="{FF2B5EF4-FFF2-40B4-BE49-F238E27FC236}">
              <a16:creationId xmlns:a16="http://schemas.microsoft.com/office/drawing/2014/main" id="{D46E14B2-FBF0-4098-A720-CCE061BF39C7}"/>
            </a:ext>
          </a:extLst>
        </xdr:cNvPr>
        <xdr:cNvSpPr>
          <a:spLocks noChangeArrowheads="1"/>
        </xdr:cNvSpPr>
      </xdr:nvSpPr>
      <xdr:spPr bwMode="auto">
        <a:xfrm>
          <a:off x="17256525" y="4520165"/>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226540</xdr:colOff>
      <xdr:row>18</xdr:row>
      <xdr:rowOff>61783</xdr:rowOff>
    </xdr:from>
    <xdr:to>
      <xdr:col>14</xdr:col>
      <xdr:colOff>369415</xdr:colOff>
      <xdr:row>18</xdr:row>
      <xdr:rowOff>185608</xdr:rowOff>
    </xdr:to>
    <xdr:sp macro="" textlink="">
      <xdr:nvSpPr>
        <xdr:cNvPr id="111" name="Rectangle 4">
          <a:extLst>
            <a:ext uri="{FF2B5EF4-FFF2-40B4-BE49-F238E27FC236}">
              <a16:creationId xmlns:a16="http://schemas.microsoft.com/office/drawing/2014/main" id="{0E37426A-40AC-4B99-BEAD-0F113B54511E}"/>
            </a:ext>
          </a:extLst>
        </xdr:cNvPr>
        <xdr:cNvSpPr>
          <a:spLocks noChangeArrowheads="1"/>
        </xdr:cNvSpPr>
      </xdr:nvSpPr>
      <xdr:spPr bwMode="auto">
        <a:xfrm>
          <a:off x="17031729" y="4448432"/>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19</xdr:row>
      <xdr:rowOff>61784</xdr:rowOff>
    </xdr:from>
    <xdr:to>
      <xdr:col>14</xdr:col>
      <xdr:colOff>379713</xdr:colOff>
      <xdr:row>19</xdr:row>
      <xdr:rowOff>185609</xdr:rowOff>
    </xdr:to>
    <xdr:sp macro="" textlink="">
      <xdr:nvSpPr>
        <xdr:cNvPr id="112" name="Rectangle 4">
          <a:extLst>
            <a:ext uri="{FF2B5EF4-FFF2-40B4-BE49-F238E27FC236}">
              <a16:creationId xmlns:a16="http://schemas.microsoft.com/office/drawing/2014/main" id="{E855E5B5-1D9F-47F2-9D15-8321B8FC2538}"/>
            </a:ext>
          </a:extLst>
        </xdr:cNvPr>
        <xdr:cNvSpPr>
          <a:spLocks noChangeArrowheads="1"/>
        </xdr:cNvSpPr>
      </xdr:nvSpPr>
      <xdr:spPr bwMode="auto">
        <a:xfrm>
          <a:off x="17042027" y="4674973"/>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216244</xdr:colOff>
      <xdr:row>20</xdr:row>
      <xdr:rowOff>51486</xdr:rowOff>
    </xdr:from>
    <xdr:to>
      <xdr:col>14</xdr:col>
      <xdr:colOff>359119</xdr:colOff>
      <xdr:row>20</xdr:row>
      <xdr:rowOff>175311</xdr:rowOff>
    </xdr:to>
    <xdr:sp macro="" textlink="">
      <xdr:nvSpPr>
        <xdr:cNvPr id="113" name="Rectangle 4">
          <a:extLst>
            <a:ext uri="{FF2B5EF4-FFF2-40B4-BE49-F238E27FC236}">
              <a16:creationId xmlns:a16="http://schemas.microsoft.com/office/drawing/2014/main" id="{B4F5AB31-8C55-4D6D-B977-5D74237EBB04}"/>
            </a:ext>
          </a:extLst>
        </xdr:cNvPr>
        <xdr:cNvSpPr>
          <a:spLocks noChangeArrowheads="1"/>
        </xdr:cNvSpPr>
      </xdr:nvSpPr>
      <xdr:spPr bwMode="auto">
        <a:xfrm>
          <a:off x="17021433" y="4891216"/>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226540</xdr:colOff>
      <xdr:row>21</xdr:row>
      <xdr:rowOff>61784</xdr:rowOff>
    </xdr:from>
    <xdr:to>
      <xdr:col>14</xdr:col>
      <xdr:colOff>369415</xdr:colOff>
      <xdr:row>21</xdr:row>
      <xdr:rowOff>185609</xdr:rowOff>
    </xdr:to>
    <xdr:sp macro="" textlink="">
      <xdr:nvSpPr>
        <xdr:cNvPr id="114" name="Rectangle 4">
          <a:extLst>
            <a:ext uri="{FF2B5EF4-FFF2-40B4-BE49-F238E27FC236}">
              <a16:creationId xmlns:a16="http://schemas.microsoft.com/office/drawing/2014/main" id="{AE445A95-A4A7-4F2C-8FB8-A123BBE2DEA7}"/>
            </a:ext>
          </a:extLst>
        </xdr:cNvPr>
        <xdr:cNvSpPr>
          <a:spLocks noChangeArrowheads="1"/>
        </xdr:cNvSpPr>
      </xdr:nvSpPr>
      <xdr:spPr bwMode="auto">
        <a:xfrm>
          <a:off x="17031729" y="5128054"/>
          <a:ext cx="142875" cy="123825"/>
        </a:xfrm>
        <a:prstGeom prst="rect">
          <a:avLst/>
        </a:prstGeom>
        <a:noFill/>
        <a:ln w="9525">
          <a:solidFill>
            <a:srgbClr val="000000"/>
          </a:solidFill>
          <a:miter lim="800000"/>
          <a:headEnd/>
          <a:tailEnd/>
        </a:ln>
      </xdr:spPr>
    </xdr:sp>
    <xdr:clientData/>
  </xdr:twoCellAnchor>
  <xdr:twoCellAnchor>
    <xdr:from>
      <xdr:col>14</xdr:col>
      <xdr:colOff>236838</xdr:colOff>
      <xdr:row>41</xdr:row>
      <xdr:rowOff>51487</xdr:rowOff>
    </xdr:from>
    <xdr:to>
      <xdr:col>14</xdr:col>
      <xdr:colOff>379713</xdr:colOff>
      <xdr:row>41</xdr:row>
      <xdr:rowOff>175312</xdr:rowOff>
    </xdr:to>
    <xdr:sp macro="" textlink="">
      <xdr:nvSpPr>
        <xdr:cNvPr id="115" name="Rectangle 4">
          <a:extLst>
            <a:ext uri="{FF2B5EF4-FFF2-40B4-BE49-F238E27FC236}">
              <a16:creationId xmlns:a16="http://schemas.microsoft.com/office/drawing/2014/main" id="{64F483E5-33B0-478C-A447-45B87E6323F3}"/>
            </a:ext>
          </a:extLst>
        </xdr:cNvPr>
        <xdr:cNvSpPr>
          <a:spLocks noChangeArrowheads="1"/>
        </xdr:cNvSpPr>
      </xdr:nvSpPr>
      <xdr:spPr bwMode="auto">
        <a:xfrm>
          <a:off x="17042027" y="9741244"/>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42</xdr:row>
      <xdr:rowOff>41189</xdr:rowOff>
    </xdr:from>
    <xdr:to>
      <xdr:col>14</xdr:col>
      <xdr:colOff>379713</xdr:colOff>
      <xdr:row>42</xdr:row>
      <xdr:rowOff>165014</xdr:rowOff>
    </xdr:to>
    <xdr:sp macro="" textlink="">
      <xdr:nvSpPr>
        <xdr:cNvPr id="116" name="Rectangle 4">
          <a:extLst>
            <a:ext uri="{FF2B5EF4-FFF2-40B4-BE49-F238E27FC236}">
              <a16:creationId xmlns:a16="http://schemas.microsoft.com/office/drawing/2014/main" id="{B8D812B4-59E2-4710-9C07-43E64E4CE013}"/>
            </a:ext>
          </a:extLst>
        </xdr:cNvPr>
        <xdr:cNvSpPr>
          <a:spLocks noChangeArrowheads="1"/>
        </xdr:cNvSpPr>
      </xdr:nvSpPr>
      <xdr:spPr bwMode="auto">
        <a:xfrm>
          <a:off x="17042027" y="9957486"/>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43</xdr:row>
      <xdr:rowOff>164757</xdr:rowOff>
    </xdr:from>
    <xdr:to>
      <xdr:col>14</xdr:col>
      <xdr:colOff>379713</xdr:colOff>
      <xdr:row>44</xdr:row>
      <xdr:rowOff>62042</xdr:rowOff>
    </xdr:to>
    <xdr:sp macro="" textlink="">
      <xdr:nvSpPr>
        <xdr:cNvPr id="117" name="Rectangle 4">
          <a:extLst>
            <a:ext uri="{FF2B5EF4-FFF2-40B4-BE49-F238E27FC236}">
              <a16:creationId xmlns:a16="http://schemas.microsoft.com/office/drawing/2014/main" id="{F0B1F270-7AF1-4FCD-92B4-09CD12345FB0}"/>
            </a:ext>
          </a:extLst>
        </xdr:cNvPr>
        <xdr:cNvSpPr>
          <a:spLocks noChangeArrowheads="1"/>
        </xdr:cNvSpPr>
      </xdr:nvSpPr>
      <xdr:spPr bwMode="auto">
        <a:xfrm>
          <a:off x="17042027" y="10307595"/>
          <a:ext cx="142875" cy="123825"/>
        </a:xfrm>
        <a:prstGeom prst="rect">
          <a:avLst/>
        </a:prstGeom>
        <a:solidFill>
          <a:schemeClr val="tx1"/>
        </a:solidFill>
        <a:ln w="9525">
          <a:solidFill>
            <a:srgbClr val="000000"/>
          </a:solidFill>
          <a:miter lim="800000"/>
          <a:headEnd/>
          <a:tailEnd/>
        </a:ln>
      </xdr:spPr>
    </xdr:sp>
    <xdr:clientData/>
  </xdr:twoCellAnchor>
  <xdr:twoCellAnchor>
    <xdr:from>
      <xdr:col>14</xdr:col>
      <xdr:colOff>236837</xdr:colOff>
      <xdr:row>45</xdr:row>
      <xdr:rowOff>51486</xdr:rowOff>
    </xdr:from>
    <xdr:to>
      <xdr:col>14</xdr:col>
      <xdr:colOff>379712</xdr:colOff>
      <xdr:row>45</xdr:row>
      <xdr:rowOff>175311</xdr:rowOff>
    </xdr:to>
    <xdr:sp macro="" textlink="">
      <xdr:nvSpPr>
        <xdr:cNvPr id="118" name="Rectangle 4">
          <a:extLst>
            <a:ext uri="{FF2B5EF4-FFF2-40B4-BE49-F238E27FC236}">
              <a16:creationId xmlns:a16="http://schemas.microsoft.com/office/drawing/2014/main" id="{94162FB1-E68C-4848-B8E0-1EC2C8FC4CB6}"/>
            </a:ext>
          </a:extLst>
        </xdr:cNvPr>
        <xdr:cNvSpPr>
          <a:spLocks noChangeArrowheads="1"/>
        </xdr:cNvSpPr>
      </xdr:nvSpPr>
      <xdr:spPr bwMode="auto">
        <a:xfrm>
          <a:off x="17042026" y="10647405"/>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236837</xdr:colOff>
      <xdr:row>46</xdr:row>
      <xdr:rowOff>51486</xdr:rowOff>
    </xdr:from>
    <xdr:to>
      <xdr:col>14</xdr:col>
      <xdr:colOff>379712</xdr:colOff>
      <xdr:row>46</xdr:row>
      <xdr:rowOff>175311</xdr:rowOff>
    </xdr:to>
    <xdr:sp macro="" textlink="">
      <xdr:nvSpPr>
        <xdr:cNvPr id="119" name="Rectangle 4">
          <a:extLst>
            <a:ext uri="{FF2B5EF4-FFF2-40B4-BE49-F238E27FC236}">
              <a16:creationId xmlns:a16="http://schemas.microsoft.com/office/drawing/2014/main" id="{F3359457-2869-4F29-ADDD-2F2E8216CF83}"/>
            </a:ext>
          </a:extLst>
        </xdr:cNvPr>
        <xdr:cNvSpPr>
          <a:spLocks noChangeArrowheads="1"/>
        </xdr:cNvSpPr>
      </xdr:nvSpPr>
      <xdr:spPr bwMode="auto">
        <a:xfrm>
          <a:off x="17042026" y="10873945"/>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47</xdr:row>
      <xdr:rowOff>185351</xdr:rowOff>
    </xdr:from>
    <xdr:to>
      <xdr:col>14</xdr:col>
      <xdr:colOff>379713</xdr:colOff>
      <xdr:row>48</xdr:row>
      <xdr:rowOff>82635</xdr:rowOff>
    </xdr:to>
    <xdr:sp macro="" textlink="">
      <xdr:nvSpPr>
        <xdr:cNvPr id="120" name="Rectangle 4">
          <a:extLst>
            <a:ext uri="{FF2B5EF4-FFF2-40B4-BE49-F238E27FC236}">
              <a16:creationId xmlns:a16="http://schemas.microsoft.com/office/drawing/2014/main" id="{0632D825-4C8B-4F0C-A785-40AA81FD1172}"/>
            </a:ext>
          </a:extLst>
        </xdr:cNvPr>
        <xdr:cNvSpPr>
          <a:spLocks noChangeArrowheads="1"/>
        </xdr:cNvSpPr>
      </xdr:nvSpPr>
      <xdr:spPr bwMode="auto">
        <a:xfrm>
          <a:off x="17042027" y="11234351"/>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247135</xdr:colOff>
      <xdr:row>49</xdr:row>
      <xdr:rowOff>51487</xdr:rowOff>
    </xdr:from>
    <xdr:to>
      <xdr:col>14</xdr:col>
      <xdr:colOff>390010</xdr:colOff>
      <xdr:row>49</xdr:row>
      <xdr:rowOff>175312</xdr:rowOff>
    </xdr:to>
    <xdr:sp macro="" textlink="">
      <xdr:nvSpPr>
        <xdr:cNvPr id="121" name="Rectangle 4">
          <a:extLst>
            <a:ext uri="{FF2B5EF4-FFF2-40B4-BE49-F238E27FC236}">
              <a16:creationId xmlns:a16="http://schemas.microsoft.com/office/drawing/2014/main" id="{5B2FC1C7-1135-439D-BC24-4FF17DA2C3CF}"/>
            </a:ext>
          </a:extLst>
        </xdr:cNvPr>
        <xdr:cNvSpPr>
          <a:spLocks noChangeArrowheads="1"/>
        </xdr:cNvSpPr>
      </xdr:nvSpPr>
      <xdr:spPr bwMode="auto">
        <a:xfrm>
          <a:off x="17052324" y="11553568"/>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50</xdr:row>
      <xdr:rowOff>51487</xdr:rowOff>
    </xdr:from>
    <xdr:to>
      <xdr:col>14</xdr:col>
      <xdr:colOff>379713</xdr:colOff>
      <xdr:row>50</xdr:row>
      <xdr:rowOff>175312</xdr:rowOff>
    </xdr:to>
    <xdr:sp macro="" textlink="">
      <xdr:nvSpPr>
        <xdr:cNvPr id="122" name="Rectangle 4">
          <a:extLst>
            <a:ext uri="{FF2B5EF4-FFF2-40B4-BE49-F238E27FC236}">
              <a16:creationId xmlns:a16="http://schemas.microsoft.com/office/drawing/2014/main" id="{B8E0E2EE-C4A0-48AF-9F10-A4A34C5ADD14}"/>
            </a:ext>
          </a:extLst>
        </xdr:cNvPr>
        <xdr:cNvSpPr>
          <a:spLocks noChangeArrowheads="1"/>
        </xdr:cNvSpPr>
      </xdr:nvSpPr>
      <xdr:spPr bwMode="auto">
        <a:xfrm>
          <a:off x="17042027" y="11780109"/>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247135</xdr:colOff>
      <xdr:row>51</xdr:row>
      <xdr:rowOff>61784</xdr:rowOff>
    </xdr:from>
    <xdr:to>
      <xdr:col>14</xdr:col>
      <xdr:colOff>390010</xdr:colOff>
      <xdr:row>51</xdr:row>
      <xdr:rowOff>185609</xdr:rowOff>
    </xdr:to>
    <xdr:sp macro="" textlink="">
      <xdr:nvSpPr>
        <xdr:cNvPr id="123" name="Rectangle 4">
          <a:extLst>
            <a:ext uri="{FF2B5EF4-FFF2-40B4-BE49-F238E27FC236}">
              <a16:creationId xmlns:a16="http://schemas.microsoft.com/office/drawing/2014/main" id="{CD8ECFF3-CBCA-4A21-AF6B-5428FA6690D6}"/>
            </a:ext>
          </a:extLst>
        </xdr:cNvPr>
        <xdr:cNvSpPr>
          <a:spLocks noChangeArrowheads="1"/>
        </xdr:cNvSpPr>
      </xdr:nvSpPr>
      <xdr:spPr bwMode="auto">
        <a:xfrm>
          <a:off x="17052324" y="12016946"/>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236837</xdr:colOff>
      <xdr:row>52</xdr:row>
      <xdr:rowOff>72081</xdr:rowOff>
    </xdr:from>
    <xdr:to>
      <xdr:col>14</xdr:col>
      <xdr:colOff>379712</xdr:colOff>
      <xdr:row>52</xdr:row>
      <xdr:rowOff>195906</xdr:rowOff>
    </xdr:to>
    <xdr:sp macro="" textlink="">
      <xdr:nvSpPr>
        <xdr:cNvPr id="124" name="Rectangle 4">
          <a:extLst>
            <a:ext uri="{FF2B5EF4-FFF2-40B4-BE49-F238E27FC236}">
              <a16:creationId xmlns:a16="http://schemas.microsoft.com/office/drawing/2014/main" id="{0D82C2AB-65B1-43C9-8227-5203EFB45C85}"/>
            </a:ext>
          </a:extLst>
        </xdr:cNvPr>
        <xdr:cNvSpPr>
          <a:spLocks noChangeArrowheads="1"/>
        </xdr:cNvSpPr>
      </xdr:nvSpPr>
      <xdr:spPr bwMode="auto">
        <a:xfrm>
          <a:off x="17042026" y="12253784"/>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53</xdr:row>
      <xdr:rowOff>51487</xdr:rowOff>
    </xdr:from>
    <xdr:to>
      <xdr:col>14</xdr:col>
      <xdr:colOff>379713</xdr:colOff>
      <xdr:row>53</xdr:row>
      <xdr:rowOff>175312</xdr:rowOff>
    </xdr:to>
    <xdr:sp macro="" textlink="">
      <xdr:nvSpPr>
        <xdr:cNvPr id="125" name="Rectangle 4">
          <a:extLst>
            <a:ext uri="{FF2B5EF4-FFF2-40B4-BE49-F238E27FC236}">
              <a16:creationId xmlns:a16="http://schemas.microsoft.com/office/drawing/2014/main" id="{023452B8-76E2-43B1-B1DD-2212B6B728A4}"/>
            </a:ext>
          </a:extLst>
        </xdr:cNvPr>
        <xdr:cNvSpPr>
          <a:spLocks noChangeArrowheads="1"/>
        </xdr:cNvSpPr>
      </xdr:nvSpPr>
      <xdr:spPr bwMode="auto">
        <a:xfrm>
          <a:off x="17042027" y="12459730"/>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236837</xdr:colOff>
      <xdr:row>54</xdr:row>
      <xdr:rowOff>164756</xdr:rowOff>
    </xdr:from>
    <xdr:to>
      <xdr:col>14</xdr:col>
      <xdr:colOff>379712</xdr:colOff>
      <xdr:row>54</xdr:row>
      <xdr:rowOff>288581</xdr:rowOff>
    </xdr:to>
    <xdr:sp macro="" textlink="">
      <xdr:nvSpPr>
        <xdr:cNvPr id="126" name="Rectangle 4">
          <a:extLst>
            <a:ext uri="{FF2B5EF4-FFF2-40B4-BE49-F238E27FC236}">
              <a16:creationId xmlns:a16="http://schemas.microsoft.com/office/drawing/2014/main" id="{741010D9-2EA4-46EE-AB60-C7BD6D73F5C2}"/>
            </a:ext>
          </a:extLst>
        </xdr:cNvPr>
        <xdr:cNvSpPr>
          <a:spLocks noChangeArrowheads="1"/>
        </xdr:cNvSpPr>
      </xdr:nvSpPr>
      <xdr:spPr bwMode="auto">
        <a:xfrm>
          <a:off x="17042026" y="12799540"/>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226540</xdr:colOff>
      <xdr:row>55</xdr:row>
      <xdr:rowOff>102973</xdr:rowOff>
    </xdr:from>
    <xdr:to>
      <xdr:col>14</xdr:col>
      <xdr:colOff>369415</xdr:colOff>
      <xdr:row>55</xdr:row>
      <xdr:rowOff>226798</xdr:rowOff>
    </xdr:to>
    <xdr:sp macro="" textlink="">
      <xdr:nvSpPr>
        <xdr:cNvPr id="127" name="Rectangle 4">
          <a:extLst>
            <a:ext uri="{FF2B5EF4-FFF2-40B4-BE49-F238E27FC236}">
              <a16:creationId xmlns:a16="http://schemas.microsoft.com/office/drawing/2014/main" id="{30FB453C-A2C8-441C-9FCB-094596C996B4}"/>
            </a:ext>
          </a:extLst>
        </xdr:cNvPr>
        <xdr:cNvSpPr>
          <a:spLocks noChangeArrowheads="1"/>
        </xdr:cNvSpPr>
      </xdr:nvSpPr>
      <xdr:spPr bwMode="auto">
        <a:xfrm>
          <a:off x="17031729" y="13190838"/>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226541</xdr:colOff>
      <xdr:row>57</xdr:row>
      <xdr:rowOff>82378</xdr:rowOff>
    </xdr:from>
    <xdr:to>
      <xdr:col>14</xdr:col>
      <xdr:colOff>369416</xdr:colOff>
      <xdr:row>57</xdr:row>
      <xdr:rowOff>206203</xdr:rowOff>
    </xdr:to>
    <xdr:sp macro="" textlink="">
      <xdr:nvSpPr>
        <xdr:cNvPr id="128" name="Rectangle 4">
          <a:extLst>
            <a:ext uri="{FF2B5EF4-FFF2-40B4-BE49-F238E27FC236}">
              <a16:creationId xmlns:a16="http://schemas.microsoft.com/office/drawing/2014/main" id="{71BBB1E9-3C28-4529-BD53-1A563A344509}"/>
            </a:ext>
          </a:extLst>
        </xdr:cNvPr>
        <xdr:cNvSpPr>
          <a:spLocks noChangeArrowheads="1"/>
        </xdr:cNvSpPr>
      </xdr:nvSpPr>
      <xdr:spPr bwMode="auto">
        <a:xfrm>
          <a:off x="17031730" y="13458567"/>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226541</xdr:colOff>
      <xdr:row>58</xdr:row>
      <xdr:rowOff>61783</xdr:rowOff>
    </xdr:from>
    <xdr:to>
      <xdr:col>14</xdr:col>
      <xdr:colOff>369416</xdr:colOff>
      <xdr:row>58</xdr:row>
      <xdr:rowOff>185608</xdr:rowOff>
    </xdr:to>
    <xdr:sp macro="" textlink="">
      <xdr:nvSpPr>
        <xdr:cNvPr id="129" name="Rectangle 4">
          <a:extLst>
            <a:ext uri="{FF2B5EF4-FFF2-40B4-BE49-F238E27FC236}">
              <a16:creationId xmlns:a16="http://schemas.microsoft.com/office/drawing/2014/main" id="{DEE602A5-28FD-4638-BF21-34D6370AD69C}"/>
            </a:ext>
          </a:extLst>
        </xdr:cNvPr>
        <xdr:cNvSpPr>
          <a:spLocks noChangeArrowheads="1"/>
        </xdr:cNvSpPr>
      </xdr:nvSpPr>
      <xdr:spPr bwMode="auto">
        <a:xfrm>
          <a:off x="17031730" y="13715999"/>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226541</xdr:colOff>
      <xdr:row>59</xdr:row>
      <xdr:rowOff>164757</xdr:rowOff>
    </xdr:from>
    <xdr:to>
      <xdr:col>14</xdr:col>
      <xdr:colOff>369416</xdr:colOff>
      <xdr:row>59</xdr:row>
      <xdr:rowOff>288582</xdr:rowOff>
    </xdr:to>
    <xdr:sp macro="" textlink="">
      <xdr:nvSpPr>
        <xdr:cNvPr id="130" name="Rectangle 4">
          <a:extLst>
            <a:ext uri="{FF2B5EF4-FFF2-40B4-BE49-F238E27FC236}">
              <a16:creationId xmlns:a16="http://schemas.microsoft.com/office/drawing/2014/main" id="{5A39F613-9448-438F-99EB-4C32B82FA590}"/>
            </a:ext>
          </a:extLst>
        </xdr:cNvPr>
        <xdr:cNvSpPr>
          <a:spLocks noChangeArrowheads="1"/>
        </xdr:cNvSpPr>
      </xdr:nvSpPr>
      <xdr:spPr bwMode="auto">
        <a:xfrm>
          <a:off x="17031730" y="14045514"/>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60</xdr:row>
      <xdr:rowOff>51487</xdr:rowOff>
    </xdr:from>
    <xdr:to>
      <xdr:col>14</xdr:col>
      <xdr:colOff>379713</xdr:colOff>
      <xdr:row>60</xdr:row>
      <xdr:rowOff>175312</xdr:rowOff>
    </xdr:to>
    <xdr:sp macro="" textlink="">
      <xdr:nvSpPr>
        <xdr:cNvPr id="131" name="Rectangle 4">
          <a:extLst>
            <a:ext uri="{FF2B5EF4-FFF2-40B4-BE49-F238E27FC236}">
              <a16:creationId xmlns:a16="http://schemas.microsoft.com/office/drawing/2014/main" id="{56CE473F-B64E-4912-AA1F-7E68716B7911}"/>
            </a:ext>
          </a:extLst>
        </xdr:cNvPr>
        <xdr:cNvSpPr>
          <a:spLocks noChangeArrowheads="1"/>
        </xdr:cNvSpPr>
      </xdr:nvSpPr>
      <xdr:spPr bwMode="auto">
        <a:xfrm>
          <a:off x="17042027" y="14385325"/>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226541</xdr:colOff>
      <xdr:row>61</xdr:row>
      <xdr:rowOff>61783</xdr:rowOff>
    </xdr:from>
    <xdr:to>
      <xdr:col>14</xdr:col>
      <xdr:colOff>369416</xdr:colOff>
      <xdr:row>61</xdr:row>
      <xdr:rowOff>185608</xdr:rowOff>
    </xdr:to>
    <xdr:sp macro="" textlink="">
      <xdr:nvSpPr>
        <xdr:cNvPr id="132" name="Rectangle 4">
          <a:extLst>
            <a:ext uri="{FF2B5EF4-FFF2-40B4-BE49-F238E27FC236}">
              <a16:creationId xmlns:a16="http://schemas.microsoft.com/office/drawing/2014/main" id="{FA87FA5A-E6FC-42FE-86B8-72F067403DD7}"/>
            </a:ext>
          </a:extLst>
        </xdr:cNvPr>
        <xdr:cNvSpPr>
          <a:spLocks noChangeArrowheads="1"/>
        </xdr:cNvSpPr>
      </xdr:nvSpPr>
      <xdr:spPr bwMode="auto">
        <a:xfrm>
          <a:off x="17031730" y="14622161"/>
          <a:ext cx="142875" cy="123825"/>
        </a:xfrm>
        <a:prstGeom prst="rect">
          <a:avLst/>
        </a:prstGeom>
        <a:solidFill>
          <a:schemeClr val="tx1"/>
        </a:solidFill>
        <a:ln w="9525">
          <a:solidFill>
            <a:srgbClr val="000000"/>
          </a:solidFill>
          <a:miter lim="800000"/>
          <a:headEnd/>
          <a:tailEnd/>
        </a:ln>
      </xdr:spPr>
    </xdr:sp>
    <xdr:clientData/>
  </xdr:twoCellAnchor>
  <xdr:twoCellAnchor>
    <xdr:from>
      <xdr:col>14</xdr:col>
      <xdr:colOff>236838</xdr:colOff>
      <xdr:row>80</xdr:row>
      <xdr:rowOff>51486</xdr:rowOff>
    </xdr:from>
    <xdr:to>
      <xdr:col>14</xdr:col>
      <xdr:colOff>379713</xdr:colOff>
      <xdr:row>80</xdr:row>
      <xdr:rowOff>175311</xdr:rowOff>
    </xdr:to>
    <xdr:sp macro="" textlink="">
      <xdr:nvSpPr>
        <xdr:cNvPr id="133" name="Rectangle 4">
          <a:extLst>
            <a:ext uri="{FF2B5EF4-FFF2-40B4-BE49-F238E27FC236}">
              <a16:creationId xmlns:a16="http://schemas.microsoft.com/office/drawing/2014/main" id="{FAE8CC85-61B7-4E9E-8094-636625E318BE}"/>
            </a:ext>
          </a:extLst>
        </xdr:cNvPr>
        <xdr:cNvSpPr>
          <a:spLocks noChangeArrowheads="1"/>
        </xdr:cNvSpPr>
      </xdr:nvSpPr>
      <xdr:spPr bwMode="auto">
        <a:xfrm>
          <a:off x="17042027" y="19163270"/>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81</xdr:row>
      <xdr:rowOff>195649</xdr:rowOff>
    </xdr:from>
    <xdr:to>
      <xdr:col>14</xdr:col>
      <xdr:colOff>379713</xdr:colOff>
      <xdr:row>82</xdr:row>
      <xdr:rowOff>92933</xdr:rowOff>
    </xdr:to>
    <xdr:sp macro="" textlink="">
      <xdr:nvSpPr>
        <xdr:cNvPr id="134" name="Rectangle 4">
          <a:extLst>
            <a:ext uri="{FF2B5EF4-FFF2-40B4-BE49-F238E27FC236}">
              <a16:creationId xmlns:a16="http://schemas.microsoft.com/office/drawing/2014/main" id="{3FB7B46D-290D-42FE-BB72-6A149CA60036}"/>
            </a:ext>
          </a:extLst>
        </xdr:cNvPr>
        <xdr:cNvSpPr>
          <a:spLocks noChangeArrowheads="1"/>
        </xdr:cNvSpPr>
      </xdr:nvSpPr>
      <xdr:spPr bwMode="auto">
        <a:xfrm>
          <a:off x="17042027" y="19533973"/>
          <a:ext cx="142875" cy="123825"/>
        </a:xfrm>
        <a:prstGeom prst="rect">
          <a:avLst/>
        </a:prstGeom>
        <a:solidFill>
          <a:schemeClr val="tx1"/>
        </a:solidFill>
        <a:ln w="9525">
          <a:solidFill>
            <a:srgbClr val="000000"/>
          </a:solidFill>
          <a:miter lim="800000"/>
          <a:headEnd/>
          <a:tailEnd/>
        </a:ln>
      </xdr:spPr>
    </xdr:sp>
    <xdr:clientData/>
  </xdr:twoCellAnchor>
  <xdr:twoCellAnchor>
    <xdr:from>
      <xdr:col>14</xdr:col>
      <xdr:colOff>247135</xdr:colOff>
      <xdr:row>83</xdr:row>
      <xdr:rowOff>61783</xdr:rowOff>
    </xdr:from>
    <xdr:to>
      <xdr:col>14</xdr:col>
      <xdr:colOff>390010</xdr:colOff>
      <xdr:row>83</xdr:row>
      <xdr:rowOff>185608</xdr:rowOff>
    </xdr:to>
    <xdr:sp macro="" textlink="">
      <xdr:nvSpPr>
        <xdr:cNvPr id="135" name="Rectangle 4">
          <a:extLst>
            <a:ext uri="{FF2B5EF4-FFF2-40B4-BE49-F238E27FC236}">
              <a16:creationId xmlns:a16="http://schemas.microsoft.com/office/drawing/2014/main" id="{E0103411-920E-482B-A162-846A560C4A45}"/>
            </a:ext>
          </a:extLst>
        </xdr:cNvPr>
        <xdr:cNvSpPr>
          <a:spLocks noChangeArrowheads="1"/>
        </xdr:cNvSpPr>
      </xdr:nvSpPr>
      <xdr:spPr bwMode="auto">
        <a:xfrm>
          <a:off x="17052324" y="19853188"/>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236838</xdr:colOff>
      <xdr:row>84</xdr:row>
      <xdr:rowOff>51487</xdr:rowOff>
    </xdr:from>
    <xdr:to>
      <xdr:col>14</xdr:col>
      <xdr:colOff>379713</xdr:colOff>
      <xdr:row>84</xdr:row>
      <xdr:rowOff>175312</xdr:rowOff>
    </xdr:to>
    <xdr:sp macro="" textlink="">
      <xdr:nvSpPr>
        <xdr:cNvPr id="136" name="Rectangle 4">
          <a:extLst>
            <a:ext uri="{FF2B5EF4-FFF2-40B4-BE49-F238E27FC236}">
              <a16:creationId xmlns:a16="http://schemas.microsoft.com/office/drawing/2014/main" id="{D6E61EF6-8899-4B13-A282-5EC89ADA1488}"/>
            </a:ext>
          </a:extLst>
        </xdr:cNvPr>
        <xdr:cNvSpPr>
          <a:spLocks noChangeArrowheads="1"/>
        </xdr:cNvSpPr>
      </xdr:nvSpPr>
      <xdr:spPr bwMode="auto">
        <a:xfrm>
          <a:off x="17042027" y="20090028"/>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226541</xdr:colOff>
      <xdr:row>85</xdr:row>
      <xdr:rowOff>51486</xdr:rowOff>
    </xdr:from>
    <xdr:to>
      <xdr:col>14</xdr:col>
      <xdr:colOff>369416</xdr:colOff>
      <xdr:row>85</xdr:row>
      <xdr:rowOff>175311</xdr:rowOff>
    </xdr:to>
    <xdr:sp macro="" textlink="">
      <xdr:nvSpPr>
        <xdr:cNvPr id="137" name="Rectangle 4">
          <a:extLst>
            <a:ext uri="{FF2B5EF4-FFF2-40B4-BE49-F238E27FC236}">
              <a16:creationId xmlns:a16="http://schemas.microsoft.com/office/drawing/2014/main" id="{A67D3E52-58B1-41C6-876E-FB742092585A}"/>
            </a:ext>
          </a:extLst>
        </xdr:cNvPr>
        <xdr:cNvSpPr>
          <a:spLocks noChangeArrowheads="1"/>
        </xdr:cNvSpPr>
      </xdr:nvSpPr>
      <xdr:spPr bwMode="auto">
        <a:xfrm>
          <a:off x="17031730" y="20316567"/>
          <a:ext cx="142875" cy="123825"/>
        </a:xfrm>
        <a:prstGeom prst="rect">
          <a:avLst/>
        </a:prstGeom>
        <a:solidFill>
          <a:schemeClr val="tx1"/>
        </a:solidFill>
        <a:ln w="9525">
          <a:solidFill>
            <a:srgbClr val="000000"/>
          </a:solidFill>
          <a:miter lim="800000"/>
          <a:headEnd/>
          <a:tailEnd/>
        </a:ln>
      </xdr:spPr>
    </xdr:sp>
    <xdr:clientData/>
  </xdr:twoCellAnchor>
  <xdr:twoCellAnchor>
    <xdr:from>
      <xdr:col>15</xdr:col>
      <xdr:colOff>247136</xdr:colOff>
      <xdr:row>12</xdr:row>
      <xdr:rowOff>51486</xdr:rowOff>
    </xdr:from>
    <xdr:to>
      <xdr:col>15</xdr:col>
      <xdr:colOff>380486</xdr:colOff>
      <xdr:row>12</xdr:row>
      <xdr:rowOff>175311</xdr:rowOff>
    </xdr:to>
    <xdr:sp macro="" textlink="">
      <xdr:nvSpPr>
        <xdr:cNvPr id="138" name="AutoShape 6">
          <a:extLst>
            <a:ext uri="{FF2B5EF4-FFF2-40B4-BE49-F238E27FC236}">
              <a16:creationId xmlns:a16="http://schemas.microsoft.com/office/drawing/2014/main" id="{A4731A53-F3F0-489C-90BE-5DC386C309FD}"/>
            </a:ext>
          </a:extLst>
        </xdr:cNvPr>
        <xdr:cNvSpPr>
          <a:spLocks noChangeArrowheads="1"/>
        </xdr:cNvSpPr>
      </xdr:nvSpPr>
      <xdr:spPr bwMode="auto">
        <a:xfrm>
          <a:off x="17701055" y="2955324"/>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13</xdr:row>
      <xdr:rowOff>205946</xdr:rowOff>
    </xdr:from>
    <xdr:to>
      <xdr:col>15</xdr:col>
      <xdr:colOff>380486</xdr:colOff>
      <xdr:row>13</xdr:row>
      <xdr:rowOff>329771</xdr:rowOff>
    </xdr:to>
    <xdr:sp macro="" textlink="">
      <xdr:nvSpPr>
        <xdr:cNvPr id="139" name="AutoShape 6">
          <a:extLst>
            <a:ext uri="{FF2B5EF4-FFF2-40B4-BE49-F238E27FC236}">
              <a16:creationId xmlns:a16="http://schemas.microsoft.com/office/drawing/2014/main" id="{444AFC64-1573-4B88-928B-FC7D37C5AF99}"/>
            </a:ext>
          </a:extLst>
        </xdr:cNvPr>
        <xdr:cNvSpPr>
          <a:spLocks noChangeArrowheads="1"/>
        </xdr:cNvSpPr>
      </xdr:nvSpPr>
      <xdr:spPr bwMode="auto">
        <a:xfrm>
          <a:off x="17701055" y="3346622"/>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15</xdr:row>
      <xdr:rowOff>51486</xdr:rowOff>
    </xdr:from>
    <xdr:to>
      <xdr:col>15</xdr:col>
      <xdr:colOff>390782</xdr:colOff>
      <xdr:row>15</xdr:row>
      <xdr:rowOff>175311</xdr:rowOff>
    </xdr:to>
    <xdr:sp macro="" textlink="">
      <xdr:nvSpPr>
        <xdr:cNvPr id="140" name="AutoShape 6">
          <a:extLst>
            <a:ext uri="{FF2B5EF4-FFF2-40B4-BE49-F238E27FC236}">
              <a16:creationId xmlns:a16="http://schemas.microsoft.com/office/drawing/2014/main" id="{2E9E4CC1-74E8-4531-97AD-447C92922F10}"/>
            </a:ext>
          </a:extLst>
        </xdr:cNvPr>
        <xdr:cNvSpPr>
          <a:spLocks noChangeArrowheads="1"/>
        </xdr:cNvSpPr>
      </xdr:nvSpPr>
      <xdr:spPr bwMode="auto">
        <a:xfrm>
          <a:off x="17711351" y="3758513"/>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16</xdr:row>
      <xdr:rowOff>41189</xdr:rowOff>
    </xdr:from>
    <xdr:to>
      <xdr:col>15</xdr:col>
      <xdr:colOff>390782</xdr:colOff>
      <xdr:row>16</xdr:row>
      <xdr:rowOff>165014</xdr:rowOff>
    </xdr:to>
    <xdr:sp macro="" textlink="">
      <xdr:nvSpPr>
        <xdr:cNvPr id="141" name="AutoShape 6">
          <a:extLst>
            <a:ext uri="{FF2B5EF4-FFF2-40B4-BE49-F238E27FC236}">
              <a16:creationId xmlns:a16="http://schemas.microsoft.com/office/drawing/2014/main" id="{F50C45CF-3A65-482C-BDF9-0CA024F2A662}"/>
            </a:ext>
          </a:extLst>
        </xdr:cNvPr>
        <xdr:cNvSpPr>
          <a:spLocks noChangeArrowheads="1"/>
        </xdr:cNvSpPr>
      </xdr:nvSpPr>
      <xdr:spPr bwMode="auto">
        <a:xfrm>
          <a:off x="17711351" y="3974757"/>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257433</xdr:colOff>
      <xdr:row>17</xdr:row>
      <xdr:rowOff>178022</xdr:rowOff>
    </xdr:from>
    <xdr:to>
      <xdr:col>15</xdr:col>
      <xdr:colOff>390783</xdr:colOff>
      <xdr:row>17</xdr:row>
      <xdr:rowOff>301847</xdr:rowOff>
    </xdr:to>
    <xdr:sp macro="" textlink="">
      <xdr:nvSpPr>
        <xdr:cNvPr id="142" name="AutoShape 6">
          <a:extLst>
            <a:ext uri="{FF2B5EF4-FFF2-40B4-BE49-F238E27FC236}">
              <a16:creationId xmlns:a16="http://schemas.microsoft.com/office/drawing/2014/main" id="{AF387999-E54B-46FA-A597-121F2727BC39}"/>
            </a:ext>
          </a:extLst>
        </xdr:cNvPr>
        <xdr:cNvSpPr>
          <a:spLocks noChangeArrowheads="1"/>
        </xdr:cNvSpPr>
      </xdr:nvSpPr>
      <xdr:spPr bwMode="auto">
        <a:xfrm>
          <a:off x="17951331" y="4530463"/>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18</xdr:row>
      <xdr:rowOff>51487</xdr:rowOff>
    </xdr:from>
    <xdr:to>
      <xdr:col>15</xdr:col>
      <xdr:colOff>380486</xdr:colOff>
      <xdr:row>18</xdr:row>
      <xdr:rowOff>175312</xdr:rowOff>
    </xdr:to>
    <xdr:sp macro="" textlink="">
      <xdr:nvSpPr>
        <xdr:cNvPr id="143" name="AutoShape 6">
          <a:extLst>
            <a:ext uri="{FF2B5EF4-FFF2-40B4-BE49-F238E27FC236}">
              <a16:creationId xmlns:a16="http://schemas.microsoft.com/office/drawing/2014/main" id="{44E581F0-77B2-4F90-AAB9-8D5C8C9B337B}"/>
            </a:ext>
          </a:extLst>
        </xdr:cNvPr>
        <xdr:cNvSpPr>
          <a:spLocks noChangeArrowheads="1"/>
        </xdr:cNvSpPr>
      </xdr:nvSpPr>
      <xdr:spPr bwMode="auto">
        <a:xfrm>
          <a:off x="17701055" y="4438136"/>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19</xdr:row>
      <xdr:rowOff>61784</xdr:rowOff>
    </xdr:from>
    <xdr:to>
      <xdr:col>15</xdr:col>
      <xdr:colOff>390782</xdr:colOff>
      <xdr:row>19</xdr:row>
      <xdr:rowOff>185609</xdr:rowOff>
    </xdr:to>
    <xdr:sp macro="" textlink="">
      <xdr:nvSpPr>
        <xdr:cNvPr id="144" name="AutoShape 6">
          <a:extLst>
            <a:ext uri="{FF2B5EF4-FFF2-40B4-BE49-F238E27FC236}">
              <a16:creationId xmlns:a16="http://schemas.microsoft.com/office/drawing/2014/main" id="{AE5D707C-A78A-4CB1-82A4-3A6C2B5844D1}"/>
            </a:ext>
          </a:extLst>
        </xdr:cNvPr>
        <xdr:cNvSpPr>
          <a:spLocks noChangeArrowheads="1"/>
        </xdr:cNvSpPr>
      </xdr:nvSpPr>
      <xdr:spPr bwMode="auto">
        <a:xfrm>
          <a:off x="17711351" y="4674973"/>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257433</xdr:colOff>
      <xdr:row>20</xdr:row>
      <xdr:rowOff>41189</xdr:rowOff>
    </xdr:from>
    <xdr:to>
      <xdr:col>15</xdr:col>
      <xdr:colOff>390783</xdr:colOff>
      <xdr:row>20</xdr:row>
      <xdr:rowOff>165014</xdr:rowOff>
    </xdr:to>
    <xdr:sp macro="" textlink="">
      <xdr:nvSpPr>
        <xdr:cNvPr id="145" name="AutoShape 6">
          <a:extLst>
            <a:ext uri="{FF2B5EF4-FFF2-40B4-BE49-F238E27FC236}">
              <a16:creationId xmlns:a16="http://schemas.microsoft.com/office/drawing/2014/main" id="{24E43859-601F-4697-818E-9A2052AE143A}"/>
            </a:ext>
          </a:extLst>
        </xdr:cNvPr>
        <xdr:cNvSpPr>
          <a:spLocks noChangeArrowheads="1"/>
        </xdr:cNvSpPr>
      </xdr:nvSpPr>
      <xdr:spPr bwMode="auto">
        <a:xfrm>
          <a:off x="17711352" y="4880919"/>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21</xdr:row>
      <xdr:rowOff>61784</xdr:rowOff>
    </xdr:from>
    <xdr:to>
      <xdr:col>15</xdr:col>
      <xdr:colOff>380486</xdr:colOff>
      <xdr:row>21</xdr:row>
      <xdr:rowOff>185609</xdr:rowOff>
    </xdr:to>
    <xdr:sp macro="" textlink="">
      <xdr:nvSpPr>
        <xdr:cNvPr id="146" name="AutoShape 6">
          <a:extLst>
            <a:ext uri="{FF2B5EF4-FFF2-40B4-BE49-F238E27FC236}">
              <a16:creationId xmlns:a16="http://schemas.microsoft.com/office/drawing/2014/main" id="{9133D211-8E3B-4CA6-9098-47D14C7A2D66}"/>
            </a:ext>
          </a:extLst>
        </xdr:cNvPr>
        <xdr:cNvSpPr>
          <a:spLocks noChangeArrowheads="1"/>
        </xdr:cNvSpPr>
      </xdr:nvSpPr>
      <xdr:spPr bwMode="auto">
        <a:xfrm>
          <a:off x="17701055" y="5128054"/>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236838</xdr:colOff>
      <xdr:row>41</xdr:row>
      <xdr:rowOff>51487</xdr:rowOff>
    </xdr:from>
    <xdr:to>
      <xdr:col>15</xdr:col>
      <xdr:colOff>370188</xdr:colOff>
      <xdr:row>41</xdr:row>
      <xdr:rowOff>175312</xdr:rowOff>
    </xdr:to>
    <xdr:sp macro="" textlink="">
      <xdr:nvSpPr>
        <xdr:cNvPr id="147" name="AutoShape 6">
          <a:extLst>
            <a:ext uri="{FF2B5EF4-FFF2-40B4-BE49-F238E27FC236}">
              <a16:creationId xmlns:a16="http://schemas.microsoft.com/office/drawing/2014/main" id="{C06C4DE1-C9DA-476F-8A72-4A13239BDC56}"/>
            </a:ext>
          </a:extLst>
        </xdr:cNvPr>
        <xdr:cNvSpPr>
          <a:spLocks noChangeArrowheads="1"/>
        </xdr:cNvSpPr>
      </xdr:nvSpPr>
      <xdr:spPr bwMode="auto">
        <a:xfrm>
          <a:off x="17690757" y="9741244"/>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236838</xdr:colOff>
      <xdr:row>42</xdr:row>
      <xdr:rowOff>51486</xdr:rowOff>
    </xdr:from>
    <xdr:to>
      <xdr:col>15</xdr:col>
      <xdr:colOff>370188</xdr:colOff>
      <xdr:row>42</xdr:row>
      <xdr:rowOff>175311</xdr:rowOff>
    </xdr:to>
    <xdr:sp macro="" textlink="">
      <xdr:nvSpPr>
        <xdr:cNvPr id="148" name="AutoShape 6">
          <a:extLst>
            <a:ext uri="{FF2B5EF4-FFF2-40B4-BE49-F238E27FC236}">
              <a16:creationId xmlns:a16="http://schemas.microsoft.com/office/drawing/2014/main" id="{9FB530AE-28F2-4C18-B3A2-596A0E583882}"/>
            </a:ext>
          </a:extLst>
        </xdr:cNvPr>
        <xdr:cNvSpPr>
          <a:spLocks noChangeArrowheads="1"/>
        </xdr:cNvSpPr>
      </xdr:nvSpPr>
      <xdr:spPr bwMode="auto">
        <a:xfrm>
          <a:off x="17690757" y="9967783"/>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43</xdr:row>
      <xdr:rowOff>164756</xdr:rowOff>
    </xdr:from>
    <xdr:to>
      <xdr:col>15</xdr:col>
      <xdr:colOff>380486</xdr:colOff>
      <xdr:row>44</xdr:row>
      <xdr:rowOff>62041</xdr:rowOff>
    </xdr:to>
    <xdr:sp macro="" textlink="">
      <xdr:nvSpPr>
        <xdr:cNvPr id="149" name="AutoShape 6">
          <a:extLst>
            <a:ext uri="{FF2B5EF4-FFF2-40B4-BE49-F238E27FC236}">
              <a16:creationId xmlns:a16="http://schemas.microsoft.com/office/drawing/2014/main" id="{656BCC55-ABE1-4715-A8BC-7C69A6C3EA10}"/>
            </a:ext>
          </a:extLst>
        </xdr:cNvPr>
        <xdr:cNvSpPr>
          <a:spLocks noChangeArrowheads="1"/>
        </xdr:cNvSpPr>
      </xdr:nvSpPr>
      <xdr:spPr bwMode="auto">
        <a:xfrm>
          <a:off x="17701055" y="10307594"/>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257433</xdr:colOff>
      <xdr:row>45</xdr:row>
      <xdr:rowOff>41189</xdr:rowOff>
    </xdr:from>
    <xdr:to>
      <xdr:col>15</xdr:col>
      <xdr:colOff>390783</xdr:colOff>
      <xdr:row>45</xdr:row>
      <xdr:rowOff>165014</xdr:rowOff>
    </xdr:to>
    <xdr:sp macro="" textlink="">
      <xdr:nvSpPr>
        <xdr:cNvPr id="150" name="AutoShape 6">
          <a:extLst>
            <a:ext uri="{FF2B5EF4-FFF2-40B4-BE49-F238E27FC236}">
              <a16:creationId xmlns:a16="http://schemas.microsoft.com/office/drawing/2014/main" id="{B8CF0779-040E-48F2-849D-617AA8D5422E}"/>
            </a:ext>
          </a:extLst>
        </xdr:cNvPr>
        <xdr:cNvSpPr>
          <a:spLocks noChangeArrowheads="1"/>
        </xdr:cNvSpPr>
      </xdr:nvSpPr>
      <xdr:spPr bwMode="auto">
        <a:xfrm>
          <a:off x="17711352" y="10637108"/>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46</xdr:row>
      <xdr:rowOff>41189</xdr:rowOff>
    </xdr:from>
    <xdr:to>
      <xdr:col>15</xdr:col>
      <xdr:colOff>390782</xdr:colOff>
      <xdr:row>46</xdr:row>
      <xdr:rowOff>165014</xdr:rowOff>
    </xdr:to>
    <xdr:sp macro="" textlink="">
      <xdr:nvSpPr>
        <xdr:cNvPr id="151" name="AutoShape 6">
          <a:extLst>
            <a:ext uri="{FF2B5EF4-FFF2-40B4-BE49-F238E27FC236}">
              <a16:creationId xmlns:a16="http://schemas.microsoft.com/office/drawing/2014/main" id="{209FB49D-D1ED-4F5D-BD47-9063A4D19CB5}"/>
            </a:ext>
          </a:extLst>
        </xdr:cNvPr>
        <xdr:cNvSpPr>
          <a:spLocks noChangeArrowheads="1"/>
        </xdr:cNvSpPr>
      </xdr:nvSpPr>
      <xdr:spPr bwMode="auto">
        <a:xfrm>
          <a:off x="17711351" y="10863648"/>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47</xdr:row>
      <xdr:rowOff>175054</xdr:rowOff>
    </xdr:from>
    <xdr:to>
      <xdr:col>15</xdr:col>
      <xdr:colOff>390782</xdr:colOff>
      <xdr:row>48</xdr:row>
      <xdr:rowOff>72338</xdr:rowOff>
    </xdr:to>
    <xdr:sp macro="" textlink="">
      <xdr:nvSpPr>
        <xdr:cNvPr id="152" name="AutoShape 6">
          <a:extLst>
            <a:ext uri="{FF2B5EF4-FFF2-40B4-BE49-F238E27FC236}">
              <a16:creationId xmlns:a16="http://schemas.microsoft.com/office/drawing/2014/main" id="{EBBD4198-2D7B-479E-B295-0884EBCAB454}"/>
            </a:ext>
          </a:extLst>
        </xdr:cNvPr>
        <xdr:cNvSpPr>
          <a:spLocks noChangeArrowheads="1"/>
        </xdr:cNvSpPr>
      </xdr:nvSpPr>
      <xdr:spPr bwMode="auto">
        <a:xfrm>
          <a:off x="17711351" y="11224054"/>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236837</xdr:colOff>
      <xdr:row>49</xdr:row>
      <xdr:rowOff>51486</xdr:rowOff>
    </xdr:from>
    <xdr:to>
      <xdr:col>15</xdr:col>
      <xdr:colOff>370187</xdr:colOff>
      <xdr:row>49</xdr:row>
      <xdr:rowOff>175311</xdr:rowOff>
    </xdr:to>
    <xdr:sp macro="" textlink="">
      <xdr:nvSpPr>
        <xdr:cNvPr id="153" name="AutoShape 6">
          <a:extLst>
            <a:ext uri="{FF2B5EF4-FFF2-40B4-BE49-F238E27FC236}">
              <a16:creationId xmlns:a16="http://schemas.microsoft.com/office/drawing/2014/main" id="{6FAA2D51-527E-4D8C-BACC-F6275EE3E866}"/>
            </a:ext>
          </a:extLst>
        </xdr:cNvPr>
        <xdr:cNvSpPr>
          <a:spLocks noChangeArrowheads="1"/>
        </xdr:cNvSpPr>
      </xdr:nvSpPr>
      <xdr:spPr bwMode="auto">
        <a:xfrm>
          <a:off x="17690756" y="11553567"/>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247135</xdr:colOff>
      <xdr:row>50</xdr:row>
      <xdr:rowOff>51486</xdr:rowOff>
    </xdr:from>
    <xdr:to>
      <xdr:col>15</xdr:col>
      <xdr:colOff>380485</xdr:colOff>
      <xdr:row>50</xdr:row>
      <xdr:rowOff>175311</xdr:rowOff>
    </xdr:to>
    <xdr:sp macro="" textlink="">
      <xdr:nvSpPr>
        <xdr:cNvPr id="154" name="AutoShape 6">
          <a:extLst>
            <a:ext uri="{FF2B5EF4-FFF2-40B4-BE49-F238E27FC236}">
              <a16:creationId xmlns:a16="http://schemas.microsoft.com/office/drawing/2014/main" id="{65E675CD-D8C9-4F74-B057-796B19704C43}"/>
            </a:ext>
          </a:extLst>
        </xdr:cNvPr>
        <xdr:cNvSpPr>
          <a:spLocks noChangeArrowheads="1"/>
        </xdr:cNvSpPr>
      </xdr:nvSpPr>
      <xdr:spPr bwMode="auto">
        <a:xfrm>
          <a:off x="17701054" y="11780108"/>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51</xdr:row>
      <xdr:rowOff>61784</xdr:rowOff>
    </xdr:from>
    <xdr:to>
      <xdr:col>15</xdr:col>
      <xdr:colOff>380486</xdr:colOff>
      <xdr:row>51</xdr:row>
      <xdr:rowOff>185609</xdr:rowOff>
    </xdr:to>
    <xdr:sp macro="" textlink="">
      <xdr:nvSpPr>
        <xdr:cNvPr id="155" name="AutoShape 6">
          <a:extLst>
            <a:ext uri="{FF2B5EF4-FFF2-40B4-BE49-F238E27FC236}">
              <a16:creationId xmlns:a16="http://schemas.microsoft.com/office/drawing/2014/main" id="{A31F5B11-923F-4213-B445-B849BD2E52FE}"/>
            </a:ext>
          </a:extLst>
        </xdr:cNvPr>
        <xdr:cNvSpPr>
          <a:spLocks noChangeArrowheads="1"/>
        </xdr:cNvSpPr>
      </xdr:nvSpPr>
      <xdr:spPr bwMode="auto">
        <a:xfrm>
          <a:off x="17701055" y="12016946"/>
          <a:ext cx="133350" cy="123825"/>
        </a:xfrm>
        <a:prstGeom prst="flowChartDelay">
          <a:avLst/>
        </a:prstGeom>
        <a:solidFill>
          <a:schemeClr val="tx1"/>
        </a:solidFill>
        <a:ln w="9525">
          <a:solidFill>
            <a:srgbClr val="000000"/>
          </a:solidFill>
          <a:miter lim="800000"/>
          <a:headEnd/>
          <a:tailEnd/>
        </a:ln>
      </xdr:spPr>
    </xdr:sp>
    <xdr:clientData/>
  </xdr:twoCellAnchor>
  <xdr:twoCellAnchor>
    <xdr:from>
      <xdr:col>15</xdr:col>
      <xdr:colOff>236837</xdr:colOff>
      <xdr:row>52</xdr:row>
      <xdr:rowOff>51486</xdr:rowOff>
    </xdr:from>
    <xdr:to>
      <xdr:col>15</xdr:col>
      <xdr:colOff>370187</xdr:colOff>
      <xdr:row>52</xdr:row>
      <xdr:rowOff>175311</xdr:rowOff>
    </xdr:to>
    <xdr:sp macro="" textlink="">
      <xdr:nvSpPr>
        <xdr:cNvPr id="156" name="AutoShape 6">
          <a:extLst>
            <a:ext uri="{FF2B5EF4-FFF2-40B4-BE49-F238E27FC236}">
              <a16:creationId xmlns:a16="http://schemas.microsoft.com/office/drawing/2014/main" id="{59A03643-4806-4A75-9B6E-1121475ABBF8}"/>
            </a:ext>
          </a:extLst>
        </xdr:cNvPr>
        <xdr:cNvSpPr>
          <a:spLocks noChangeArrowheads="1"/>
        </xdr:cNvSpPr>
      </xdr:nvSpPr>
      <xdr:spPr bwMode="auto">
        <a:xfrm>
          <a:off x="17690756" y="12233189"/>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247135</xdr:colOff>
      <xdr:row>53</xdr:row>
      <xdr:rowOff>51487</xdr:rowOff>
    </xdr:from>
    <xdr:to>
      <xdr:col>15</xdr:col>
      <xdr:colOff>380485</xdr:colOff>
      <xdr:row>53</xdr:row>
      <xdr:rowOff>175312</xdr:rowOff>
    </xdr:to>
    <xdr:sp macro="" textlink="">
      <xdr:nvSpPr>
        <xdr:cNvPr id="157" name="AutoShape 6">
          <a:extLst>
            <a:ext uri="{FF2B5EF4-FFF2-40B4-BE49-F238E27FC236}">
              <a16:creationId xmlns:a16="http://schemas.microsoft.com/office/drawing/2014/main" id="{CAC59253-24B5-41F0-9218-2B5664A8D84D}"/>
            </a:ext>
          </a:extLst>
        </xdr:cNvPr>
        <xdr:cNvSpPr>
          <a:spLocks noChangeArrowheads="1"/>
        </xdr:cNvSpPr>
      </xdr:nvSpPr>
      <xdr:spPr bwMode="auto">
        <a:xfrm>
          <a:off x="17701054" y="12459730"/>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54</xdr:row>
      <xdr:rowOff>164757</xdr:rowOff>
    </xdr:from>
    <xdr:to>
      <xdr:col>15</xdr:col>
      <xdr:colOff>380486</xdr:colOff>
      <xdr:row>54</xdr:row>
      <xdr:rowOff>288582</xdr:rowOff>
    </xdr:to>
    <xdr:sp macro="" textlink="">
      <xdr:nvSpPr>
        <xdr:cNvPr id="158" name="AutoShape 6">
          <a:extLst>
            <a:ext uri="{FF2B5EF4-FFF2-40B4-BE49-F238E27FC236}">
              <a16:creationId xmlns:a16="http://schemas.microsoft.com/office/drawing/2014/main" id="{68FB00BF-F17C-4DB3-ABCD-E6B1AC2A6A05}"/>
            </a:ext>
          </a:extLst>
        </xdr:cNvPr>
        <xdr:cNvSpPr>
          <a:spLocks noChangeArrowheads="1"/>
        </xdr:cNvSpPr>
      </xdr:nvSpPr>
      <xdr:spPr bwMode="auto">
        <a:xfrm>
          <a:off x="17701055" y="12799541"/>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247135</xdr:colOff>
      <xdr:row>55</xdr:row>
      <xdr:rowOff>92675</xdr:rowOff>
    </xdr:from>
    <xdr:to>
      <xdr:col>15</xdr:col>
      <xdr:colOff>380485</xdr:colOff>
      <xdr:row>55</xdr:row>
      <xdr:rowOff>216500</xdr:rowOff>
    </xdr:to>
    <xdr:sp macro="" textlink="">
      <xdr:nvSpPr>
        <xdr:cNvPr id="159" name="AutoShape 6">
          <a:extLst>
            <a:ext uri="{FF2B5EF4-FFF2-40B4-BE49-F238E27FC236}">
              <a16:creationId xmlns:a16="http://schemas.microsoft.com/office/drawing/2014/main" id="{D7861B18-4581-4B93-94A9-DDFA2D5FA693}"/>
            </a:ext>
          </a:extLst>
        </xdr:cNvPr>
        <xdr:cNvSpPr>
          <a:spLocks noChangeArrowheads="1"/>
        </xdr:cNvSpPr>
      </xdr:nvSpPr>
      <xdr:spPr bwMode="auto">
        <a:xfrm>
          <a:off x="17701054" y="13180540"/>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247135</xdr:colOff>
      <xdr:row>57</xdr:row>
      <xdr:rowOff>61784</xdr:rowOff>
    </xdr:from>
    <xdr:to>
      <xdr:col>15</xdr:col>
      <xdr:colOff>380485</xdr:colOff>
      <xdr:row>57</xdr:row>
      <xdr:rowOff>185609</xdr:rowOff>
    </xdr:to>
    <xdr:sp macro="" textlink="">
      <xdr:nvSpPr>
        <xdr:cNvPr id="160" name="AutoShape 6">
          <a:extLst>
            <a:ext uri="{FF2B5EF4-FFF2-40B4-BE49-F238E27FC236}">
              <a16:creationId xmlns:a16="http://schemas.microsoft.com/office/drawing/2014/main" id="{B5FC2470-81CB-4B22-A115-B5014FBFC0DF}"/>
            </a:ext>
          </a:extLst>
        </xdr:cNvPr>
        <xdr:cNvSpPr>
          <a:spLocks noChangeArrowheads="1"/>
        </xdr:cNvSpPr>
      </xdr:nvSpPr>
      <xdr:spPr bwMode="auto">
        <a:xfrm>
          <a:off x="17701054" y="13437973"/>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58</xdr:row>
      <xdr:rowOff>61784</xdr:rowOff>
    </xdr:from>
    <xdr:to>
      <xdr:col>15</xdr:col>
      <xdr:colOff>390782</xdr:colOff>
      <xdr:row>58</xdr:row>
      <xdr:rowOff>185609</xdr:rowOff>
    </xdr:to>
    <xdr:sp macro="" textlink="">
      <xdr:nvSpPr>
        <xdr:cNvPr id="161" name="AutoShape 6">
          <a:extLst>
            <a:ext uri="{FF2B5EF4-FFF2-40B4-BE49-F238E27FC236}">
              <a16:creationId xmlns:a16="http://schemas.microsoft.com/office/drawing/2014/main" id="{D07C55A0-E035-4DEB-89B8-5D3A47B8257E}"/>
            </a:ext>
          </a:extLst>
        </xdr:cNvPr>
        <xdr:cNvSpPr>
          <a:spLocks noChangeArrowheads="1"/>
        </xdr:cNvSpPr>
      </xdr:nvSpPr>
      <xdr:spPr bwMode="auto">
        <a:xfrm>
          <a:off x="17711351" y="13716000"/>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59</xdr:row>
      <xdr:rowOff>164757</xdr:rowOff>
    </xdr:from>
    <xdr:to>
      <xdr:col>15</xdr:col>
      <xdr:colOff>390782</xdr:colOff>
      <xdr:row>59</xdr:row>
      <xdr:rowOff>288582</xdr:rowOff>
    </xdr:to>
    <xdr:sp macro="" textlink="">
      <xdr:nvSpPr>
        <xdr:cNvPr id="162" name="AutoShape 6">
          <a:extLst>
            <a:ext uri="{FF2B5EF4-FFF2-40B4-BE49-F238E27FC236}">
              <a16:creationId xmlns:a16="http://schemas.microsoft.com/office/drawing/2014/main" id="{7750BDF3-0E50-47BC-89AD-9908CA82C5B9}"/>
            </a:ext>
          </a:extLst>
        </xdr:cNvPr>
        <xdr:cNvSpPr>
          <a:spLocks noChangeArrowheads="1"/>
        </xdr:cNvSpPr>
      </xdr:nvSpPr>
      <xdr:spPr bwMode="auto">
        <a:xfrm>
          <a:off x="17711351" y="14045514"/>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60</xdr:row>
      <xdr:rowOff>51487</xdr:rowOff>
    </xdr:from>
    <xdr:to>
      <xdr:col>15</xdr:col>
      <xdr:colOff>380486</xdr:colOff>
      <xdr:row>60</xdr:row>
      <xdr:rowOff>175312</xdr:rowOff>
    </xdr:to>
    <xdr:sp macro="" textlink="">
      <xdr:nvSpPr>
        <xdr:cNvPr id="163" name="AutoShape 6">
          <a:extLst>
            <a:ext uri="{FF2B5EF4-FFF2-40B4-BE49-F238E27FC236}">
              <a16:creationId xmlns:a16="http://schemas.microsoft.com/office/drawing/2014/main" id="{1170AD49-99FB-45A3-AF28-E83E65A667D4}"/>
            </a:ext>
          </a:extLst>
        </xdr:cNvPr>
        <xdr:cNvSpPr>
          <a:spLocks noChangeArrowheads="1"/>
        </xdr:cNvSpPr>
      </xdr:nvSpPr>
      <xdr:spPr bwMode="auto">
        <a:xfrm>
          <a:off x="17701055" y="14385325"/>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61</xdr:row>
      <xdr:rowOff>61784</xdr:rowOff>
    </xdr:from>
    <xdr:to>
      <xdr:col>15</xdr:col>
      <xdr:colOff>380486</xdr:colOff>
      <xdr:row>61</xdr:row>
      <xdr:rowOff>185609</xdr:rowOff>
    </xdr:to>
    <xdr:sp macro="" textlink="">
      <xdr:nvSpPr>
        <xdr:cNvPr id="164" name="AutoShape 6">
          <a:extLst>
            <a:ext uri="{FF2B5EF4-FFF2-40B4-BE49-F238E27FC236}">
              <a16:creationId xmlns:a16="http://schemas.microsoft.com/office/drawing/2014/main" id="{56876C3B-4359-48C9-AA3B-D38FEA5BE4D8}"/>
            </a:ext>
          </a:extLst>
        </xdr:cNvPr>
        <xdr:cNvSpPr>
          <a:spLocks noChangeArrowheads="1"/>
        </xdr:cNvSpPr>
      </xdr:nvSpPr>
      <xdr:spPr bwMode="auto">
        <a:xfrm>
          <a:off x="17701055" y="14622162"/>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247135</xdr:colOff>
      <xdr:row>80</xdr:row>
      <xdr:rowOff>43807</xdr:rowOff>
    </xdr:from>
    <xdr:to>
      <xdr:col>15</xdr:col>
      <xdr:colOff>380485</xdr:colOff>
      <xdr:row>80</xdr:row>
      <xdr:rowOff>167632</xdr:rowOff>
    </xdr:to>
    <xdr:sp macro="" textlink="">
      <xdr:nvSpPr>
        <xdr:cNvPr id="165" name="AutoShape 6">
          <a:extLst>
            <a:ext uri="{FF2B5EF4-FFF2-40B4-BE49-F238E27FC236}">
              <a16:creationId xmlns:a16="http://schemas.microsoft.com/office/drawing/2014/main" id="{FE0B1F1B-518A-4244-879C-24FC57B130D5}"/>
            </a:ext>
          </a:extLst>
        </xdr:cNvPr>
        <xdr:cNvSpPr>
          <a:spLocks noChangeArrowheads="1"/>
        </xdr:cNvSpPr>
      </xdr:nvSpPr>
      <xdr:spPr bwMode="auto">
        <a:xfrm>
          <a:off x="17734389" y="19429604"/>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247136</xdr:colOff>
      <xdr:row>81</xdr:row>
      <xdr:rowOff>175054</xdr:rowOff>
    </xdr:from>
    <xdr:to>
      <xdr:col>15</xdr:col>
      <xdr:colOff>380486</xdr:colOff>
      <xdr:row>82</xdr:row>
      <xdr:rowOff>72338</xdr:rowOff>
    </xdr:to>
    <xdr:sp macro="" textlink="">
      <xdr:nvSpPr>
        <xdr:cNvPr id="166" name="AutoShape 6">
          <a:extLst>
            <a:ext uri="{FF2B5EF4-FFF2-40B4-BE49-F238E27FC236}">
              <a16:creationId xmlns:a16="http://schemas.microsoft.com/office/drawing/2014/main" id="{7982AF0F-5E8F-4FF3-8380-E488BE253560}"/>
            </a:ext>
          </a:extLst>
        </xdr:cNvPr>
        <xdr:cNvSpPr>
          <a:spLocks noChangeArrowheads="1"/>
        </xdr:cNvSpPr>
      </xdr:nvSpPr>
      <xdr:spPr bwMode="auto">
        <a:xfrm>
          <a:off x="17701055" y="19513378"/>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83</xdr:row>
      <xdr:rowOff>61784</xdr:rowOff>
    </xdr:from>
    <xdr:to>
      <xdr:col>15</xdr:col>
      <xdr:colOff>390782</xdr:colOff>
      <xdr:row>83</xdr:row>
      <xdr:rowOff>185609</xdr:rowOff>
    </xdr:to>
    <xdr:sp macro="" textlink="">
      <xdr:nvSpPr>
        <xdr:cNvPr id="167" name="AutoShape 6">
          <a:extLst>
            <a:ext uri="{FF2B5EF4-FFF2-40B4-BE49-F238E27FC236}">
              <a16:creationId xmlns:a16="http://schemas.microsoft.com/office/drawing/2014/main" id="{089F9E8D-7B99-495E-AB3E-6295FCA628A3}"/>
            </a:ext>
          </a:extLst>
        </xdr:cNvPr>
        <xdr:cNvSpPr>
          <a:spLocks noChangeArrowheads="1"/>
        </xdr:cNvSpPr>
      </xdr:nvSpPr>
      <xdr:spPr bwMode="auto">
        <a:xfrm>
          <a:off x="17711351" y="19853189"/>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257432</xdr:colOff>
      <xdr:row>84</xdr:row>
      <xdr:rowOff>51486</xdr:rowOff>
    </xdr:from>
    <xdr:to>
      <xdr:col>15</xdr:col>
      <xdr:colOff>390782</xdr:colOff>
      <xdr:row>84</xdr:row>
      <xdr:rowOff>175311</xdr:rowOff>
    </xdr:to>
    <xdr:sp macro="" textlink="">
      <xdr:nvSpPr>
        <xdr:cNvPr id="168" name="AutoShape 6">
          <a:extLst>
            <a:ext uri="{FF2B5EF4-FFF2-40B4-BE49-F238E27FC236}">
              <a16:creationId xmlns:a16="http://schemas.microsoft.com/office/drawing/2014/main" id="{F5D45F15-4436-41BC-AB56-9B527A3FF403}"/>
            </a:ext>
          </a:extLst>
        </xdr:cNvPr>
        <xdr:cNvSpPr>
          <a:spLocks noChangeArrowheads="1"/>
        </xdr:cNvSpPr>
      </xdr:nvSpPr>
      <xdr:spPr bwMode="auto">
        <a:xfrm>
          <a:off x="17711351" y="20090027"/>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257433</xdr:colOff>
      <xdr:row>85</xdr:row>
      <xdr:rowOff>41189</xdr:rowOff>
    </xdr:from>
    <xdr:to>
      <xdr:col>15</xdr:col>
      <xdr:colOff>390783</xdr:colOff>
      <xdr:row>85</xdr:row>
      <xdr:rowOff>165014</xdr:rowOff>
    </xdr:to>
    <xdr:sp macro="" textlink="">
      <xdr:nvSpPr>
        <xdr:cNvPr id="169" name="AutoShape 6">
          <a:extLst>
            <a:ext uri="{FF2B5EF4-FFF2-40B4-BE49-F238E27FC236}">
              <a16:creationId xmlns:a16="http://schemas.microsoft.com/office/drawing/2014/main" id="{56317F42-587F-4D36-BF56-B4431BFD4785}"/>
            </a:ext>
          </a:extLst>
        </xdr:cNvPr>
        <xdr:cNvSpPr>
          <a:spLocks noChangeArrowheads="1"/>
        </xdr:cNvSpPr>
      </xdr:nvSpPr>
      <xdr:spPr bwMode="auto">
        <a:xfrm>
          <a:off x="17711352" y="20306270"/>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16</xdr:col>
      <xdr:colOff>175054</xdr:colOff>
      <xdr:row>12</xdr:row>
      <xdr:rowOff>41189</xdr:rowOff>
    </xdr:from>
    <xdr:to>
      <xdr:col>16</xdr:col>
      <xdr:colOff>317929</xdr:colOff>
      <xdr:row>12</xdr:row>
      <xdr:rowOff>145964</xdr:rowOff>
    </xdr:to>
    <xdr:sp macro="" textlink="">
      <xdr:nvSpPr>
        <xdr:cNvPr id="170" name="AutoShape 5">
          <a:extLst>
            <a:ext uri="{FF2B5EF4-FFF2-40B4-BE49-F238E27FC236}">
              <a16:creationId xmlns:a16="http://schemas.microsoft.com/office/drawing/2014/main" id="{BCD648F1-7D6D-461B-BF5F-D0279CCF4AB3}"/>
            </a:ext>
          </a:extLst>
        </xdr:cNvPr>
        <xdr:cNvSpPr>
          <a:spLocks noChangeArrowheads="1"/>
        </xdr:cNvSpPr>
      </xdr:nvSpPr>
      <xdr:spPr bwMode="auto">
        <a:xfrm flipV="1">
          <a:off x="18277703" y="2945027"/>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164757</xdr:colOff>
      <xdr:row>13</xdr:row>
      <xdr:rowOff>216243</xdr:rowOff>
    </xdr:from>
    <xdr:to>
      <xdr:col>16</xdr:col>
      <xdr:colOff>307632</xdr:colOff>
      <xdr:row>13</xdr:row>
      <xdr:rowOff>321018</xdr:rowOff>
    </xdr:to>
    <xdr:sp macro="" textlink="">
      <xdr:nvSpPr>
        <xdr:cNvPr id="171" name="AutoShape 5">
          <a:extLst>
            <a:ext uri="{FF2B5EF4-FFF2-40B4-BE49-F238E27FC236}">
              <a16:creationId xmlns:a16="http://schemas.microsoft.com/office/drawing/2014/main" id="{7D0ADC3E-6F6D-474D-AA2B-8AF6208074E6}"/>
            </a:ext>
          </a:extLst>
        </xdr:cNvPr>
        <xdr:cNvSpPr>
          <a:spLocks noChangeArrowheads="1"/>
        </xdr:cNvSpPr>
      </xdr:nvSpPr>
      <xdr:spPr bwMode="auto">
        <a:xfrm flipV="1">
          <a:off x="18267406" y="3356919"/>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185351</xdr:colOff>
      <xdr:row>15</xdr:row>
      <xdr:rowOff>51487</xdr:rowOff>
    </xdr:from>
    <xdr:to>
      <xdr:col>16</xdr:col>
      <xdr:colOff>328226</xdr:colOff>
      <xdr:row>15</xdr:row>
      <xdr:rowOff>156262</xdr:rowOff>
    </xdr:to>
    <xdr:sp macro="" textlink="">
      <xdr:nvSpPr>
        <xdr:cNvPr id="172" name="AutoShape 5">
          <a:extLst>
            <a:ext uri="{FF2B5EF4-FFF2-40B4-BE49-F238E27FC236}">
              <a16:creationId xmlns:a16="http://schemas.microsoft.com/office/drawing/2014/main" id="{BCFF100E-C9FD-4893-9D0E-763BB46D400A}"/>
            </a:ext>
          </a:extLst>
        </xdr:cNvPr>
        <xdr:cNvSpPr>
          <a:spLocks noChangeArrowheads="1"/>
        </xdr:cNvSpPr>
      </xdr:nvSpPr>
      <xdr:spPr bwMode="auto">
        <a:xfrm flipV="1">
          <a:off x="18288000" y="3758514"/>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16</xdr:row>
      <xdr:rowOff>61784</xdr:rowOff>
    </xdr:from>
    <xdr:to>
      <xdr:col>16</xdr:col>
      <xdr:colOff>317929</xdr:colOff>
      <xdr:row>16</xdr:row>
      <xdr:rowOff>166559</xdr:rowOff>
    </xdr:to>
    <xdr:sp macro="" textlink="">
      <xdr:nvSpPr>
        <xdr:cNvPr id="173" name="AutoShape 5">
          <a:extLst>
            <a:ext uri="{FF2B5EF4-FFF2-40B4-BE49-F238E27FC236}">
              <a16:creationId xmlns:a16="http://schemas.microsoft.com/office/drawing/2014/main" id="{748B036E-FE26-4244-AE06-8C8F546EDC10}"/>
            </a:ext>
          </a:extLst>
        </xdr:cNvPr>
        <xdr:cNvSpPr>
          <a:spLocks noChangeArrowheads="1"/>
        </xdr:cNvSpPr>
      </xdr:nvSpPr>
      <xdr:spPr bwMode="auto">
        <a:xfrm flipV="1">
          <a:off x="18277703" y="3995352"/>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185352</xdr:colOff>
      <xdr:row>17</xdr:row>
      <xdr:rowOff>172785</xdr:rowOff>
    </xdr:from>
    <xdr:to>
      <xdr:col>16</xdr:col>
      <xdr:colOff>328227</xdr:colOff>
      <xdr:row>17</xdr:row>
      <xdr:rowOff>277560</xdr:rowOff>
    </xdr:to>
    <xdr:sp macro="" textlink="">
      <xdr:nvSpPr>
        <xdr:cNvPr id="174" name="AutoShape 5">
          <a:extLst>
            <a:ext uri="{FF2B5EF4-FFF2-40B4-BE49-F238E27FC236}">
              <a16:creationId xmlns:a16="http://schemas.microsoft.com/office/drawing/2014/main" id="{820E75D6-CC91-4479-83EC-594E6D8471CE}"/>
            </a:ext>
          </a:extLst>
        </xdr:cNvPr>
        <xdr:cNvSpPr>
          <a:spLocks noChangeArrowheads="1"/>
        </xdr:cNvSpPr>
      </xdr:nvSpPr>
      <xdr:spPr bwMode="auto">
        <a:xfrm flipV="1">
          <a:off x="18563759" y="4525226"/>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18</xdr:row>
      <xdr:rowOff>72081</xdr:rowOff>
    </xdr:from>
    <xdr:to>
      <xdr:col>16</xdr:col>
      <xdr:colOff>317929</xdr:colOff>
      <xdr:row>18</xdr:row>
      <xdr:rowOff>176856</xdr:rowOff>
    </xdr:to>
    <xdr:sp macro="" textlink="">
      <xdr:nvSpPr>
        <xdr:cNvPr id="175" name="AutoShape 5">
          <a:extLst>
            <a:ext uri="{FF2B5EF4-FFF2-40B4-BE49-F238E27FC236}">
              <a16:creationId xmlns:a16="http://schemas.microsoft.com/office/drawing/2014/main" id="{3C2A304E-5693-4F8D-A42E-D2EC0F2CE0E7}"/>
            </a:ext>
          </a:extLst>
        </xdr:cNvPr>
        <xdr:cNvSpPr>
          <a:spLocks noChangeArrowheads="1"/>
        </xdr:cNvSpPr>
      </xdr:nvSpPr>
      <xdr:spPr bwMode="auto">
        <a:xfrm flipV="1">
          <a:off x="18277703" y="4458730"/>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164757</xdr:colOff>
      <xdr:row>19</xdr:row>
      <xdr:rowOff>61784</xdr:rowOff>
    </xdr:from>
    <xdr:to>
      <xdr:col>16</xdr:col>
      <xdr:colOff>307632</xdr:colOff>
      <xdr:row>19</xdr:row>
      <xdr:rowOff>166559</xdr:rowOff>
    </xdr:to>
    <xdr:sp macro="" textlink="">
      <xdr:nvSpPr>
        <xdr:cNvPr id="176" name="AutoShape 5">
          <a:extLst>
            <a:ext uri="{FF2B5EF4-FFF2-40B4-BE49-F238E27FC236}">
              <a16:creationId xmlns:a16="http://schemas.microsoft.com/office/drawing/2014/main" id="{F7AC4164-035E-4208-88EF-7D3ECEB3AB2C}"/>
            </a:ext>
          </a:extLst>
        </xdr:cNvPr>
        <xdr:cNvSpPr>
          <a:spLocks noChangeArrowheads="1"/>
        </xdr:cNvSpPr>
      </xdr:nvSpPr>
      <xdr:spPr bwMode="auto">
        <a:xfrm flipV="1">
          <a:off x="18267406" y="4674973"/>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164757</xdr:colOff>
      <xdr:row>20</xdr:row>
      <xdr:rowOff>72081</xdr:rowOff>
    </xdr:from>
    <xdr:to>
      <xdr:col>16</xdr:col>
      <xdr:colOff>307632</xdr:colOff>
      <xdr:row>20</xdr:row>
      <xdr:rowOff>176856</xdr:rowOff>
    </xdr:to>
    <xdr:sp macro="" textlink="">
      <xdr:nvSpPr>
        <xdr:cNvPr id="177" name="AutoShape 5">
          <a:extLst>
            <a:ext uri="{FF2B5EF4-FFF2-40B4-BE49-F238E27FC236}">
              <a16:creationId xmlns:a16="http://schemas.microsoft.com/office/drawing/2014/main" id="{B145A9D2-15AF-412B-9E9C-4E4C45A89D23}"/>
            </a:ext>
          </a:extLst>
        </xdr:cNvPr>
        <xdr:cNvSpPr>
          <a:spLocks noChangeArrowheads="1"/>
        </xdr:cNvSpPr>
      </xdr:nvSpPr>
      <xdr:spPr bwMode="auto">
        <a:xfrm flipV="1">
          <a:off x="18267406" y="4911811"/>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21</xdr:row>
      <xdr:rowOff>82378</xdr:rowOff>
    </xdr:from>
    <xdr:to>
      <xdr:col>16</xdr:col>
      <xdr:colOff>317929</xdr:colOff>
      <xdr:row>21</xdr:row>
      <xdr:rowOff>187153</xdr:rowOff>
    </xdr:to>
    <xdr:sp macro="" textlink="">
      <xdr:nvSpPr>
        <xdr:cNvPr id="178" name="AutoShape 5">
          <a:extLst>
            <a:ext uri="{FF2B5EF4-FFF2-40B4-BE49-F238E27FC236}">
              <a16:creationId xmlns:a16="http://schemas.microsoft.com/office/drawing/2014/main" id="{0014EA30-604A-4713-A743-60F27841B694}"/>
            </a:ext>
          </a:extLst>
        </xdr:cNvPr>
        <xdr:cNvSpPr>
          <a:spLocks noChangeArrowheads="1"/>
        </xdr:cNvSpPr>
      </xdr:nvSpPr>
      <xdr:spPr bwMode="auto">
        <a:xfrm flipV="1">
          <a:off x="18277703" y="5148648"/>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164757</xdr:colOff>
      <xdr:row>41</xdr:row>
      <xdr:rowOff>41189</xdr:rowOff>
    </xdr:from>
    <xdr:to>
      <xdr:col>16</xdr:col>
      <xdr:colOff>307632</xdr:colOff>
      <xdr:row>41</xdr:row>
      <xdr:rowOff>145964</xdr:rowOff>
    </xdr:to>
    <xdr:sp macro="" textlink="">
      <xdr:nvSpPr>
        <xdr:cNvPr id="179" name="AutoShape 5">
          <a:extLst>
            <a:ext uri="{FF2B5EF4-FFF2-40B4-BE49-F238E27FC236}">
              <a16:creationId xmlns:a16="http://schemas.microsoft.com/office/drawing/2014/main" id="{6F163A85-3507-494F-8DAC-0D375A9B19FB}"/>
            </a:ext>
          </a:extLst>
        </xdr:cNvPr>
        <xdr:cNvSpPr>
          <a:spLocks noChangeArrowheads="1"/>
        </xdr:cNvSpPr>
      </xdr:nvSpPr>
      <xdr:spPr bwMode="auto">
        <a:xfrm flipV="1">
          <a:off x="18267406" y="9730946"/>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185352</xdr:colOff>
      <xdr:row>42</xdr:row>
      <xdr:rowOff>82378</xdr:rowOff>
    </xdr:from>
    <xdr:to>
      <xdr:col>16</xdr:col>
      <xdr:colOff>328227</xdr:colOff>
      <xdr:row>42</xdr:row>
      <xdr:rowOff>187153</xdr:rowOff>
    </xdr:to>
    <xdr:sp macro="" textlink="">
      <xdr:nvSpPr>
        <xdr:cNvPr id="180" name="AutoShape 5">
          <a:extLst>
            <a:ext uri="{FF2B5EF4-FFF2-40B4-BE49-F238E27FC236}">
              <a16:creationId xmlns:a16="http://schemas.microsoft.com/office/drawing/2014/main" id="{81473BF7-AC09-4CD9-857A-C1CA940D34DF}"/>
            </a:ext>
          </a:extLst>
        </xdr:cNvPr>
        <xdr:cNvSpPr>
          <a:spLocks noChangeArrowheads="1"/>
        </xdr:cNvSpPr>
      </xdr:nvSpPr>
      <xdr:spPr bwMode="auto">
        <a:xfrm flipV="1">
          <a:off x="18288001" y="9998675"/>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164757</xdr:colOff>
      <xdr:row>43</xdr:row>
      <xdr:rowOff>175054</xdr:rowOff>
    </xdr:from>
    <xdr:to>
      <xdr:col>16</xdr:col>
      <xdr:colOff>307632</xdr:colOff>
      <xdr:row>44</xdr:row>
      <xdr:rowOff>53289</xdr:rowOff>
    </xdr:to>
    <xdr:sp macro="" textlink="">
      <xdr:nvSpPr>
        <xdr:cNvPr id="181" name="AutoShape 5">
          <a:extLst>
            <a:ext uri="{FF2B5EF4-FFF2-40B4-BE49-F238E27FC236}">
              <a16:creationId xmlns:a16="http://schemas.microsoft.com/office/drawing/2014/main" id="{541E7F22-D395-40F7-B05F-34F0CB7A647F}"/>
            </a:ext>
          </a:extLst>
        </xdr:cNvPr>
        <xdr:cNvSpPr>
          <a:spLocks noChangeArrowheads="1"/>
        </xdr:cNvSpPr>
      </xdr:nvSpPr>
      <xdr:spPr bwMode="auto">
        <a:xfrm flipV="1">
          <a:off x="18267406" y="10317892"/>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45</xdr:row>
      <xdr:rowOff>61784</xdr:rowOff>
    </xdr:from>
    <xdr:to>
      <xdr:col>16</xdr:col>
      <xdr:colOff>317929</xdr:colOff>
      <xdr:row>45</xdr:row>
      <xdr:rowOff>166559</xdr:rowOff>
    </xdr:to>
    <xdr:sp macro="" textlink="">
      <xdr:nvSpPr>
        <xdr:cNvPr id="182" name="AutoShape 5">
          <a:extLst>
            <a:ext uri="{FF2B5EF4-FFF2-40B4-BE49-F238E27FC236}">
              <a16:creationId xmlns:a16="http://schemas.microsoft.com/office/drawing/2014/main" id="{AF5DBEEA-5748-4D8E-9B86-64EE8C8CE36B}"/>
            </a:ext>
          </a:extLst>
        </xdr:cNvPr>
        <xdr:cNvSpPr>
          <a:spLocks noChangeArrowheads="1"/>
        </xdr:cNvSpPr>
      </xdr:nvSpPr>
      <xdr:spPr bwMode="auto">
        <a:xfrm flipV="1">
          <a:off x="18277703" y="10657703"/>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46</xdr:row>
      <xdr:rowOff>61783</xdr:rowOff>
    </xdr:from>
    <xdr:to>
      <xdr:col>16</xdr:col>
      <xdr:colOff>317929</xdr:colOff>
      <xdr:row>46</xdr:row>
      <xdr:rowOff>166558</xdr:rowOff>
    </xdr:to>
    <xdr:sp macro="" textlink="">
      <xdr:nvSpPr>
        <xdr:cNvPr id="183" name="AutoShape 5">
          <a:extLst>
            <a:ext uri="{FF2B5EF4-FFF2-40B4-BE49-F238E27FC236}">
              <a16:creationId xmlns:a16="http://schemas.microsoft.com/office/drawing/2014/main" id="{8127BD6F-8676-424C-8F21-A3DDAB562840}"/>
            </a:ext>
          </a:extLst>
        </xdr:cNvPr>
        <xdr:cNvSpPr>
          <a:spLocks noChangeArrowheads="1"/>
        </xdr:cNvSpPr>
      </xdr:nvSpPr>
      <xdr:spPr bwMode="auto">
        <a:xfrm flipV="1">
          <a:off x="18277703" y="10884242"/>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47</xdr:row>
      <xdr:rowOff>195649</xdr:rowOff>
    </xdr:from>
    <xdr:to>
      <xdr:col>16</xdr:col>
      <xdr:colOff>317929</xdr:colOff>
      <xdr:row>48</xdr:row>
      <xdr:rowOff>73883</xdr:rowOff>
    </xdr:to>
    <xdr:sp macro="" textlink="">
      <xdr:nvSpPr>
        <xdr:cNvPr id="184" name="AutoShape 5">
          <a:extLst>
            <a:ext uri="{FF2B5EF4-FFF2-40B4-BE49-F238E27FC236}">
              <a16:creationId xmlns:a16="http://schemas.microsoft.com/office/drawing/2014/main" id="{A31118DB-A96C-4C69-8D8B-65612CF2BD21}"/>
            </a:ext>
          </a:extLst>
        </xdr:cNvPr>
        <xdr:cNvSpPr>
          <a:spLocks noChangeArrowheads="1"/>
        </xdr:cNvSpPr>
      </xdr:nvSpPr>
      <xdr:spPr bwMode="auto">
        <a:xfrm flipV="1">
          <a:off x="18277703" y="11244649"/>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164756</xdr:colOff>
      <xdr:row>49</xdr:row>
      <xdr:rowOff>61783</xdr:rowOff>
    </xdr:from>
    <xdr:to>
      <xdr:col>16</xdr:col>
      <xdr:colOff>307631</xdr:colOff>
      <xdr:row>49</xdr:row>
      <xdr:rowOff>166558</xdr:rowOff>
    </xdr:to>
    <xdr:sp macro="" textlink="">
      <xdr:nvSpPr>
        <xdr:cNvPr id="185" name="AutoShape 5">
          <a:extLst>
            <a:ext uri="{FF2B5EF4-FFF2-40B4-BE49-F238E27FC236}">
              <a16:creationId xmlns:a16="http://schemas.microsoft.com/office/drawing/2014/main" id="{B3E9BCCA-C96C-4F0E-A2CF-BC91AB7B0167}"/>
            </a:ext>
          </a:extLst>
        </xdr:cNvPr>
        <xdr:cNvSpPr>
          <a:spLocks noChangeArrowheads="1"/>
        </xdr:cNvSpPr>
      </xdr:nvSpPr>
      <xdr:spPr bwMode="auto">
        <a:xfrm flipV="1">
          <a:off x="18267405" y="11563864"/>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50</xdr:row>
      <xdr:rowOff>51487</xdr:rowOff>
    </xdr:from>
    <xdr:to>
      <xdr:col>16</xdr:col>
      <xdr:colOff>317929</xdr:colOff>
      <xdr:row>50</xdr:row>
      <xdr:rowOff>156262</xdr:rowOff>
    </xdr:to>
    <xdr:sp macro="" textlink="">
      <xdr:nvSpPr>
        <xdr:cNvPr id="186" name="AutoShape 5">
          <a:extLst>
            <a:ext uri="{FF2B5EF4-FFF2-40B4-BE49-F238E27FC236}">
              <a16:creationId xmlns:a16="http://schemas.microsoft.com/office/drawing/2014/main" id="{FF8D604E-9069-4452-955B-8A5595BBE796}"/>
            </a:ext>
          </a:extLst>
        </xdr:cNvPr>
        <xdr:cNvSpPr>
          <a:spLocks noChangeArrowheads="1"/>
        </xdr:cNvSpPr>
      </xdr:nvSpPr>
      <xdr:spPr bwMode="auto">
        <a:xfrm flipV="1">
          <a:off x="18277703" y="11780109"/>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51</xdr:row>
      <xdr:rowOff>72081</xdr:rowOff>
    </xdr:from>
    <xdr:to>
      <xdr:col>16</xdr:col>
      <xdr:colOff>317929</xdr:colOff>
      <xdr:row>51</xdr:row>
      <xdr:rowOff>176856</xdr:rowOff>
    </xdr:to>
    <xdr:sp macro="" textlink="">
      <xdr:nvSpPr>
        <xdr:cNvPr id="187" name="AutoShape 5">
          <a:extLst>
            <a:ext uri="{FF2B5EF4-FFF2-40B4-BE49-F238E27FC236}">
              <a16:creationId xmlns:a16="http://schemas.microsoft.com/office/drawing/2014/main" id="{98B8DD71-336A-4003-9EEC-CB0A59497157}"/>
            </a:ext>
          </a:extLst>
        </xdr:cNvPr>
        <xdr:cNvSpPr>
          <a:spLocks noChangeArrowheads="1"/>
        </xdr:cNvSpPr>
      </xdr:nvSpPr>
      <xdr:spPr bwMode="auto">
        <a:xfrm flipV="1">
          <a:off x="18277703" y="12027243"/>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52</xdr:row>
      <xdr:rowOff>72081</xdr:rowOff>
    </xdr:from>
    <xdr:to>
      <xdr:col>16</xdr:col>
      <xdr:colOff>317929</xdr:colOff>
      <xdr:row>52</xdr:row>
      <xdr:rowOff>176856</xdr:rowOff>
    </xdr:to>
    <xdr:sp macro="" textlink="">
      <xdr:nvSpPr>
        <xdr:cNvPr id="188" name="AutoShape 5">
          <a:extLst>
            <a:ext uri="{FF2B5EF4-FFF2-40B4-BE49-F238E27FC236}">
              <a16:creationId xmlns:a16="http://schemas.microsoft.com/office/drawing/2014/main" id="{58F7300A-CAB9-42C7-8545-E2F50C1C4488}"/>
            </a:ext>
          </a:extLst>
        </xdr:cNvPr>
        <xdr:cNvSpPr>
          <a:spLocks noChangeArrowheads="1"/>
        </xdr:cNvSpPr>
      </xdr:nvSpPr>
      <xdr:spPr bwMode="auto">
        <a:xfrm flipV="1">
          <a:off x="18277703" y="12253784"/>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53</xdr:row>
      <xdr:rowOff>61784</xdr:rowOff>
    </xdr:from>
    <xdr:to>
      <xdr:col>16</xdr:col>
      <xdr:colOff>317929</xdr:colOff>
      <xdr:row>53</xdr:row>
      <xdr:rowOff>166559</xdr:rowOff>
    </xdr:to>
    <xdr:sp macro="" textlink="">
      <xdr:nvSpPr>
        <xdr:cNvPr id="189" name="AutoShape 5">
          <a:extLst>
            <a:ext uri="{FF2B5EF4-FFF2-40B4-BE49-F238E27FC236}">
              <a16:creationId xmlns:a16="http://schemas.microsoft.com/office/drawing/2014/main" id="{0DD9E1F3-03B8-4D1D-A46D-D16536B317E5}"/>
            </a:ext>
          </a:extLst>
        </xdr:cNvPr>
        <xdr:cNvSpPr>
          <a:spLocks noChangeArrowheads="1"/>
        </xdr:cNvSpPr>
      </xdr:nvSpPr>
      <xdr:spPr bwMode="auto">
        <a:xfrm flipV="1">
          <a:off x="18277703" y="12470027"/>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164756</xdr:colOff>
      <xdr:row>54</xdr:row>
      <xdr:rowOff>185351</xdr:rowOff>
    </xdr:from>
    <xdr:to>
      <xdr:col>16</xdr:col>
      <xdr:colOff>307631</xdr:colOff>
      <xdr:row>54</xdr:row>
      <xdr:rowOff>290126</xdr:rowOff>
    </xdr:to>
    <xdr:sp macro="" textlink="">
      <xdr:nvSpPr>
        <xdr:cNvPr id="190" name="AutoShape 5">
          <a:extLst>
            <a:ext uri="{FF2B5EF4-FFF2-40B4-BE49-F238E27FC236}">
              <a16:creationId xmlns:a16="http://schemas.microsoft.com/office/drawing/2014/main" id="{F3FE8FD8-3436-4972-B433-A7A6B891B777}"/>
            </a:ext>
          </a:extLst>
        </xdr:cNvPr>
        <xdr:cNvSpPr>
          <a:spLocks noChangeArrowheads="1"/>
        </xdr:cNvSpPr>
      </xdr:nvSpPr>
      <xdr:spPr bwMode="auto">
        <a:xfrm flipV="1">
          <a:off x="18267405" y="12820135"/>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164756</xdr:colOff>
      <xdr:row>55</xdr:row>
      <xdr:rowOff>82379</xdr:rowOff>
    </xdr:from>
    <xdr:to>
      <xdr:col>16</xdr:col>
      <xdr:colOff>307631</xdr:colOff>
      <xdr:row>55</xdr:row>
      <xdr:rowOff>187154</xdr:rowOff>
    </xdr:to>
    <xdr:sp macro="" textlink="">
      <xdr:nvSpPr>
        <xdr:cNvPr id="191" name="AutoShape 5">
          <a:extLst>
            <a:ext uri="{FF2B5EF4-FFF2-40B4-BE49-F238E27FC236}">
              <a16:creationId xmlns:a16="http://schemas.microsoft.com/office/drawing/2014/main" id="{D0183ADB-2ADD-4771-A30B-EA15FF1D6294}"/>
            </a:ext>
          </a:extLst>
        </xdr:cNvPr>
        <xdr:cNvSpPr>
          <a:spLocks noChangeArrowheads="1"/>
        </xdr:cNvSpPr>
      </xdr:nvSpPr>
      <xdr:spPr bwMode="auto">
        <a:xfrm flipV="1">
          <a:off x="18267405" y="13170244"/>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164757</xdr:colOff>
      <xdr:row>57</xdr:row>
      <xdr:rowOff>92676</xdr:rowOff>
    </xdr:from>
    <xdr:to>
      <xdr:col>16</xdr:col>
      <xdr:colOff>307632</xdr:colOff>
      <xdr:row>57</xdr:row>
      <xdr:rowOff>197451</xdr:rowOff>
    </xdr:to>
    <xdr:sp macro="" textlink="">
      <xdr:nvSpPr>
        <xdr:cNvPr id="192" name="AutoShape 5">
          <a:extLst>
            <a:ext uri="{FF2B5EF4-FFF2-40B4-BE49-F238E27FC236}">
              <a16:creationId xmlns:a16="http://schemas.microsoft.com/office/drawing/2014/main" id="{035281EB-E7F5-4423-8462-70F2C03C782E}"/>
            </a:ext>
          </a:extLst>
        </xdr:cNvPr>
        <xdr:cNvSpPr>
          <a:spLocks noChangeArrowheads="1"/>
        </xdr:cNvSpPr>
      </xdr:nvSpPr>
      <xdr:spPr bwMode="auto">
        <a:xfrm flipV="1">
          <a:off x="18267406" y="13468865"/>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164757</xdr:colOff>
      <xdr:row>58</xdr:row>
      <xdr:rowOff>82379</xdr:rowOff>
    </xdr:from>
    <xdr:to>
      <xdr:col>16</xdr:col>
      <xdr:colOff>307632</xdr:colOff>
      <xdr:row>58</xdr:row>
      <xdr:rowOff>187154</xdr:rowOff>
    </xdr:to>
    <xdr:sp macro="" textlink="">
      <xdr:nvSpPr>
        <xdr:cNvPr id="193" name="AutoShape 5">
          <a:extLst>
            <a:ext uri="{FF2B5EF4-FFF2-40B4-BE49-F238E27FC236}">
              <a16:creationId xmlns:a16="http://schemas.microsoft.com/office/drawing/2014/main" id="{CDAC01C8-5B66-46E2-A348-8F16B5F1A2CE}"/>
            </a:ext>
          </a:extLst>
        </xdr:cNvPr>
        <xdr:cNvSpPr>
          <a:spLocks noChangeArrowheads="1"/>
        </xdr:cNvSpPr>
      </xdr:nvSpPr>
      <xdr:spPr bwMode="auto">
        <a:xfrm flipV="1">
          <a:off x="18267406" y="13736595"/>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154459</xdr:colOff>
      <xdr:row>59</xdr:row>
      <xdr:rowOff>185351</xdr:rowOff>
    </xdr:from>
    <xdr:to>
      <xdr:col>16</xdr:col>
      <xdr:colOff>297334</xdr:colOff>
      <xdr:row>59</xdr:row>
      <xdr:rowOff>290126</xdr:rowOff>
    </xdr:to>
    <xdr:sp macro="" textlink="">
      <xdr:nvSpPr>
        <xdr:cNvPr id="194" name="AutoShape 5">
          <a:extLst>
            <a:ext uri="{FF2B5EF4-FFF2-40B4-BE49-F238E27FC236}">
              <a16:creationId xmlns:a16="http://schemas.microsoft.com/office/drawing/2014/main" id="{F33E7FFA-2527-48CA-97CF-958A621A4889}"/>
            </a:ext>
          </a:extLst>
        </xdr:cNvPr>
        <xdr:cNvSpPr>
          <a:spLocks noChangeArrowheads="1"/>
        </xdr:cNvSpPr>
      </xdr:nvSpPr>
      <xdr:spPr bwMode="auto">
        <a:xfrm flipV="1">
          <a:off x="18257108" y="14066108"/>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164756</xdr:colOff>
      <xdr:row>60</xdr:row>
      <xdr:rowOff>72081</xdr:rowOff>
    </xdr:from>
    <xdr:to>
      <xdr:col>16</xdr:col>
      <xdr:colOff>307631</xdr:colOff>
      <xdr:row>60</xdr:row>
      <xdr:rowOff>176856</xdr:rowOff>
    </xdr:to>
    <xdr:sp macro="" textlink="">
      <xdr:nvSpPr>
        <xdr:cNvPr id="195" name="AutoShape 5">
          <a:extLst>
            <a:ext uri="{FF2B5EF4-FFF2-40B4-BE49-F238E27FC236}">
              <a16:creationId xmlns:a16="http://schemas.microsoft.com/office/drawing/2014/main" id="{E8662055-1F4D-4537-B492-DD07A74015EA}"/>
            </a:ext>
          </a:extLst>
        </xdr:cNvPr>
        <xdr:cNvSpPr>
          <a:spLocks noChangeArrowheads="1"/>
        </xdr:cNvSpPr>
      </xdr:nvSpPr>
      <xdr:spPr bwMode="auto">
        <a:xfrm flipV="1">
          <a:off x="18267405" y="14405919"/>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164756</xdr:colOff>
      <xdr:row>61</xdr:row>
      <xdr:rowOff>82378</xdr:rowOff>
    </xdr:from>
    <xdr:to>
      <xdr:col>16</xdr:col>
      <xdr:colOff>307631</xdr:colOff>
      <xdr:row>61</xdr:row>
      <xdr:rowOff>187153</xdr:rowOff>
    </xdr:to>
    <xdr:sp macro="" textlink="">
      <xdr:nvSpPr>
        <xdr:cNvPr id="196" name="AutoShape 5">
          <a:extLst>
            <a:ext uri="{FF2B5EF4-FFF2-40B4-BE49-F238E27FC236}">
              <a16:creationId xmlns:a16="http://schemas.microsoft.com/office/drawing/2014/main" id="{30F66C41-0B41-4019-8602-E36DBFFDBB33}"/>
            </a:ext>
          </a:extLst>
        </xdr:cNvPr>
        <xdr:cNvSpPr>
          <a:spLocks noChangeArrowheads="1"/>
        </xdr:cNvSpPr>
      </xdr:nvSpPr>
      <xdr:spPr bwMode="auto">
        <a:xfrm flipV="1">
          <a:off x="18267405" y="14642756"/>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154460</xdr:colOff>
      <xdr:row>80</xdr:row>
      <xdr:rowOff>61784</xdr:rowOff>
    </xdr:from>
    <xdr:to>
      <xdr:col>16</xdr:col>
      <xdr:colOff>297335</xdr:colOff>
      <xdr:row>80</xdr:row>
      <xdr:rowOff>166559</xdr:rowOff>
    </xdr:to>
    <xdr:sp macro="" textlink="">
      <xdr:nvSpPr>
        <xdr:cNvPr id="197" name="AutoShape 5">
          <a:extLst>
            <a:ext uri="{FF2B5EF4-FFF2-40B4-BE49-F238E27FC236}">
              <a16:creationId xmlns:a16="http://schemas.microsoft.com/office/drawing/2014/main" id="{EA7CA63D-2DB2-489A-A943-946A4EC7C51D}"/>
            </a:ext>
          </a:extLst>
        </xdr:cNvPr>
        <xdr:cNvSpPr>
          <a:spLocks noChangeArrowheads="1"/>
        </xdr:cNvSpPr>
      </xdr:nvSpPr>
      <xdr:spPr bwMode="auto">
        <a:xfrm flipV="1">
          <a:off x="18257109" y="19173568"/>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164756</xdr:colOff>
      <xdr:row>81</xdr:row>
      <xdr:rowOff>185352</xdr:rowOff>
    </xdr:from>
    <xdr:to>
      <xdr:col>16</xdr:col>
      <xdr:colOff>307631</xdr:colOff>
      <xdr:row>82</xdr:row>
      <xdr:rowOff>63586</xdr:rowOff>
    </xdr:to>
    <xdr:sp macro="" textlink="">
      <xdr:nvSpPr>
        <xdr:cNvPr id="198" name="AutoShape 5">
          <a:extLst>
            <a:ext uri="{FF2B5EF4-FFF2-40B4-BE49-F238E27FC236}">
              <a16:creationId xmlns:a16="http://schemas.microsoft.com/office/drawing/2014/main" id="{FDF70A8B-6D56-42D8-B159-A8B5530B3FCF}"/>
            </a:ext>
          </a:extLst>
        </xdr:cNvPr>
        <xdr:cNvSpPr>
          <a:spLocks noChangeArrowheads="1"/>
        </xdr:cNvSpPr>
      </xdr:nvSpPr>
      <xdr:spPr bwMode="auto">
        <a:xfrm flipV="1">
          <a:off x="18267405" y="19523676"/>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164757</xdr:colOff>
      <xdr:row>83</xdr:row>
      <xdr:rowOff>72081</xdr:rowOff>
    </xdr:from>
    <xdr:to>
      <xdr:col>16</xdr:col>
      <xdr:colOff>307632</xdr:colOff>
      <xdr:row>83</xdr:row>
      <xdr:rowOff>176856</xdr:rowOff>
    </xdr:to>
    <xdr:sp macro="" textlink="">
      <xdr:nvSpPr>
        <xdr:cNvPr id="199" name="AutoShape 5">
          <a:extLst>
            <a:ext uri="{FF2B5EF4-FFF2-40B4-BE49-F238E27FC236}">
              <a16:creationId xmlns:a16="http://schemas.microsoft.com/office/drawing/2014/main" id="{A5FEF6CF-C5B3-4770-BC76-7FD55F5F09EF}"/>
            </a:ext>
          </a:extLst>
        </xdr:cNvPr>
        <xdr:cNvSpPr>
          <a:spLocks noChangeArrowheads="1"/>
        </xdr:cNvSpPr>
      </xdr:nvSpPr>
      <xdr:spPr bwMode="auto">
        <a:xfrm flipV="1">
          <a:off x="18267406" y="19863486"/>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164756</xdr:colOff>
      <xdr:row>84</xdr:row>
      <xdr:rowOff>72081</xdr:rowOff>
    </xdr:from>
    <xdr:to>
      <xdr:col>16</xdr:col>
      <xdr:colOff>307631</xdr:colOff>
      <xdr:row>84</xdr:row>
      <xdr:rowOff>176856</xdr:rowOff>
    </xdr:to>
    <xdr:sp macro="" textlink="">
      <xdr:nvSpPr>
        <xdr:cNvPr id="200" name="AutoShape 5">
          <a:extLst>
            <a:ext uri="{FF2B5EF4-FFF2-40B4-BE49-F238E27FC236}">
              <a16:creationId xmlns:a16="http://schemas.microsoft.com/office/drawing/2014/main" id="{D9234A61-A678-4FAC-9FE2-4CB71479076A}"/>
            </a:ext>
          </a:extLst>
        </xdr:cNvPr>
        <xdr:cNvSpPr>
          <a:spLocks noChangeArrowheads="1"/>
        </xdr:cNvSpPr>
      </xdr:nvSpPr>
      <xdr:spPr bwMode="auto">
        <a:xfrm flipV="1">
          <a:off x="18267405" y="20110622"/>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175054</xdr:colOff>
      <xdr:row>85</xdr:row>
      <xdr:rowOff>72081</xdr:rowOff>
    </xdr:from>
    <xdr:to>
      <xdr:col>16</xdr:col>
      <xdr:colOff>317929</xdr:colOff>
      <xdr:row>85</xdr:row>
      <xdr:rowOff>176856</xdr:rowOff>
    </xdr:to>
    <xdr:sp macro="" textlink="">
      <xdr:nvSpPr>
        <xdr:cNvPr id="201" name="AutoShape 5">
          <a:extLst>
            <a:ext uri="{FF2B5EF4-FFF2-40B4-BE49-F238E27FC236}">
              <a16:creationId xmlns:a16="http://schemas.microsoft.com/office/drawing/2014/main" id="{A84F9290-745F-4655-A24C-D6F65A07A4EF}"/>
            </a:ext>
          </a:extLst>
        </xdr:cNvPr>
        <xdr:cNvSpPr>
          <a:spLocks noChangeArrowheads="1"/>
        </xdr:cNvSpPr>
      </xdr:nvSpPr>
      <xdr:spPr bwMode="auto">
        <a:xfrm flipV="1">
          <a:off x="18277703" y="20337162"/>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12</xdr:col>
      <xdr:colOff>478566</xdr:colOff>
      <xdr:row>12</xdr:row>
      <xdr:rowOff>126014</xdr:rowOff>
    </xdr:from>
    <xdr:to>
      <xdr:col>14</xdr:col>
      <xdr:colOff>226541</xdr:colOff>
      <xdr:row>13</xdr:row>
      <xdr:rowOff>295394</xdr:rowOff>
    </xdr:to>
    <xdr:cxnSp macro="">
      <xdr:nvCxnSpPr>
        <xdr:cNvPr id="203" name="Straight Connector 202">
          <a:extLst>
            <a:ext uri="{FF2B5EF4-FFF2-40B4-BE49-F238E27FC236}">
              <a16:creationId xmlns:a16="http://schemas.microsoft.com/office/drawing/2014/main" id="{FC8D1366-9CBE-731A-BCA3-D058B37151D9}"/>
            </a:ext>
          </a:extLst>
        </xdr:cNvPr>
        <xdr:cNvCxnSpPr>
          <a:stCxn id="38" idx="6"/>
          <a:endCxn id="107" idx="1"/>
        </xdr:cNvCxnSpPr>
      </xdr:nvCxnSpPr>
      <xdr:spPr>
        <a:xfrm>
          <a:off x="15589413" y="3044861"/>
          <a:ext cx="1633603" cy="40185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308919</xdr:colOff>
      <xdr:row>13</xdr:row>
      <xdr:rowOff>295394</xdr:rowOff>
    </xdr:from>
    <xdr:to>
      <xdr:col>14</xdr:col>
      <xdr:colOff>374542</xdr:colOff>
      <xdr:row>15</xdr:row>
      <xdr:rowOff>114172</xdr:rowOff>
    </xdr:to>
    <xdr:cxnSp macro="">
      <xdr:nvCxnSpPr>
        <xdr:cNvPr id="205" name="Straight Connector 204">
          <a:extLst>
            <a:ext uri="{FF2B5EF4-FFF2-40B4-BE49-F238E27FC236}">
              <a16:creationId xmlns:a16="http://schemas.microsoft.com/office/drawing/2014/main" id="{14F9B2FB-167F-40E5-8C16-DC9EA066520C}"/>
            </a:ext>
          </a:extLst>
        </xdr:cNvPr>
        <xdr:cNvCxnSpPr>
          <a:stCxn id="74" idx="1"/>
          <a:endCxn id="107" idx="3"/>
        </xdr:cNvCxnSpPr>
      </xdr:nvCxnSpPr>
      <xdr:spPr>
        <a:xfrm flipV="1">
          <a:off x="16427156" y="3446716"/>
          <a:ext cx="943861" cy="55494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411892</xdr:colOff>
      <xdr:row>15</xdr:row>
      <xdr:rowOff>114172</xdr:rowOff>
    </xdr:from>
    <xdr:to>
      <xdr:col>13</xdr:col>
      <xdr:colOff>489894</xdr:colOff>
      <xdr:row>16</xdr:row>
      <xdr:rowOff>113271</xdr:rowOff>
    </xdr:to>
    <xdr:cxnSp macro="">
      <xdr:nvCxnSpPr>
        <xdr:cNvPr id="210" name="Straight Connector 209">
          <a:extLst>
            <a:ext uri="{FF2B5EF4-FFF2-40B4-BE49-F238E27FC236}">
              <a16:creationId xmlns:a16="http://schemas.microsoft.com/office/drawing/2014/main" id="{112A1181-D045-42F9-90B8-56A759CD60D8}"/>
            </a:ext>
          </a:extLst>
        </xdr:cNvPr>
        <xdr:cNvCxnSpPr>
          <a:endCxn id="74" idx="3"/>
        </xdr:cNvCxnSpPr>
      </xdr:nvCxnSpPr>
      <xdr:spPr>
        <a:xfrm flipV="1">
          <a:off x="14560378" y="3821199"/>
          <a:ext cx="1900624" cy="2256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473161</xdr:colOff>
      <xdr:row>16</xdr:row>
      <xdr:rowOff>118162</xdr:rowOff>
    </xdr:from>
    <xdr:to>
      <xdr:col>13</xdr:col>
      <xdr:colOff>298621</xdr:colOff>
      <xdr:row>17</xdr:row>
      <xdr:rowOff>204578</xdr:rowOff>
    </xdr:to>
    <xdr:cxnSp macro="">
      <xdr:nvCxnSpPr>
        <xdr:cNvPr id="214" name="Straight Connector 213">
          <a:extLst>
            <a:ext uri="{FF2B5EF4-FFF2-40B4-BE49-F238E27FC236}">
              <a16:creationId xmlns:a16="http://schemas.microsoft.com/office/drawing/2014/main" id="{EA18B31A-EBA9-4F60-9ED8-13F5BE04620C}"/>
            </a:ext>
          </a:extLst>
        </xdr:cNvPr>
        <xdr:cNvCxnSpPr>
          <a:stCxn id="7" idx="6"/>
          <a:endCxn id="76" idx="1"/>
        </xdr:cNvCxnSpPr>
      </xdr:nvCxnSpPr>
      <xdr:spPr>
        <a:xfrm>
          <a:off x="14667025" y="4238128"/>
          <a:ext cx="1749833" cy="31889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453631</xdr:colOff>
      <xdr:row>17</xdr:row>
      <xdr:rowOff>204578</xdr:rowOff>
    </xdr:from>
    <xdr:to>
      <xdr:col>13</xdr:col>
      <xdr:colOff>298621</xdr:colOff>
      <xdr:row>18</xdr:row>
      <xdr:rowOff>60719</xdr:rowOff>
    </xdr:to>
    <xdr:cxnSp macro="">
      <xdr:nvCxnSpPr>
        <xdr:cNvPr id="217" name="Straight Connector 216">
          <a:extLst>
            <a:ext uri="{FF2B5EF4-FFF2-40B4-BE49-F238E27FC236}">
              <a16:creationId xmlns:a16="http://schemas.microsoft.com/office/drawing/2014/main" id="{293697C3-AD9D-4A48-B6B3-8745588B527E}"/>
            </a:ext>
          </a:extLst>
        </xdr:cNvPr>
        <xdr:cNvCxnSpPr>
          <a:stCxn id="76" idx="1"/>
          <a:endCxn id="9" idx="7"/>
        </xdr:cNvCxnSpPr>
      </xdr:nvCxnSpPr>
      <xdr:spPr>
        <a:xfrm flipH="1">
          <a:off x="14647495" y="4557019"/>
          <a:ext cx="1769363" cy="3081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473160</xdr:colOff>
      <xdr:row>18</xdr:row>
      <xdr:rowOff>107865</xdr:rowOff>
    </xdr:from>
    <xdr:to>
      <xdr:col>13</xdr:col>
      <xdr:colOff>308918</xdr:colOff>
      <xdr:row>19</xdr:row>
      <xdr:rowOff>114172</xdr:rowOff>
    </xdr:to>
    <xdr:cxnSp macro="">
      <xdr:nvCxnSpPr>
        <xdr:cNvPr id="220" name="Straight Connector 219">
          <a:extLst>
            <a:ext uri="{FF2B5EF4-FFF2-40B4-BE49-F238E27FC236}">
              <a16:creationId xmlns:a16="http://schemas.microsoft.com/office/drawing/2014/main" id="{6FA86058-5EAA-40B6-8DFC-F8B29477AA92}"/>
            </a:ext>
          </a:extLst>
        </xdr:cNvPr>
        <xdr:cNvCxnSpPr>
          <a:stCxn id="9" idx="6"/>
          <a:endCxn id="78" idx="1"/>
        </xdr:cNvCxnSpPr>
      </xdr:nvCxnSpPr>
      <xdr:spPr>
        <a:xfrm>
          <a:off x="14621646" y="4494514"/>
          <a:ext cx="1658380" cy="23284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473161</xdr:colOff>
      <xdr:row>19</xdr:row>
      <xdr:rowOff>114172</xdr:rowOff>
    </xdr:from>
    <xdr:to>
      <xdr:col>13</xdr:col>
      <xdr:colOff>308918</xdr:colOff>
      <xdr:row>20</xdr:row>
      <xdr:rowOff>107864</xdr:rowOff>
    </xdr:to>
    <xdr:cxnSp macro="">
      <xdr:nvCxnSpPr>
        <xdr:cNvPr id="223" name="Straight Connector 222">
          <a:extLst>
            <a:ext uri="{FF2B5EF4-FFF2-40B4-BE49-F238E27FC236}">
              <a16:creationId xmlns:a16="http://schemas.microsoft.com/office/drawing/2014/main" id="{111BCCEC-D8B8-4C6D-B7FF-79FF0FDF8DEF}"/>
            </a:ext>
          </a:extLst>
        </xdr:cNvPr>
        <xdr:cNvCxnSpPr>
          <a:stCxn id="78" idx="1"/>
          <a:endCxn id="11" idx="6"/>
        </xdr:cNvCxnSpPr>
      </xdr:nvCxnSpPr>
      <xdr:spPr>
        <a:xfrm flipH="1">
          <a:off x="14621647" y="4727361"/>
          <a:ext cx="1658379" cy="22023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473161</xdr:colOff>
      <xdr:row>20</xdr:row>
      <xdr:rowOff>107864</xdr:rowOff>
    </xdr:from>
    <xdr:to>
      <xdr:col>13</xdr:col>
      <xdr:colOff>319217</xdr:colOff>
      <xdr:row>21</xdr:row>
      <xdr:rowOff>134766</xdr:rowOff>
    </xdr:to>
    <xdr:cxnSp macro="">
      <xdr:nvCxnSpPr>
        <xdr:cNvPr id="226" name="Straight Connector 225">
          <a:extLst>
            <a:ext uri="{FF2B5EF4-FFF2-40B4-BE49-F238E27FC236}">
              <a16:creationId xmlns:a16="http://schemas.microsoft.com/office/drawing/2014/main" id="{550216EA-F397-4BB8-8706-9FCAFB6DD554}"/>
            </a:ext>
          </a:extLst>
        </xdr:cNvPr>
        <xdr:cNvCxnSpPr>
          <a:stCxn id="11" idx="6"/>
          <a:endCxn id="80" idx="1"/>
        </xdr:cNvCxnSpPr>
      </xdr:nvCxnSpPr>
      <xdr:spPr>
        <a:xfrm>
          <a:off x="14667025" y="5377288"/>
          <a:ext cx="1770429" cy="2593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465825</xdr:colOff>
      <xdr:row>41</xdr:row>
      <xdr:rowOff>61783</xdr:rowOff>
    </xdr:from>
    <xdr:to>
      <xdr:col>12</xdr:col>
      <xdr:colOff>465825</xdr:colOff>
      <xdr:row>42</xdr:row>
      <xdr:rowOff>159350</xdr:rowOff>
    </xdr:to>
    <xdr:cxnSp macro="">
      <xdr:nvCxnSpPr>
        <xdr:cNvPr id="231" name="Straight Connector 230">
          <a:extLst>
            <a:ext uri="{FF2B5EF4-FFF2-40B4-BE49-F238E27FC236}">
              <a16:creationId xmlns:a16="http://schemas.microsoft.com/office/drawing/2014/main" id="{FF238D3C-CCCF-46D6-8C6B-EDE6A39917D0}"/>
            </a:ext>
          </a:extLst>
        </xdr:cNvPr>
        <xdr:cNvCxnSpPr>
          <a:stCxn id="48" idx="0"/>
          <a:endCxn id="49" idx="4"/>
        </xdr:cNvCxnSpPr>
      </xdr:nvCxnSpPr>
      <xdr:spPr>
        <a:xfrm>
          <a:off x="15479284" y="9751540"/>
          <a:ext cx="0" cy="32410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499162</xdr:colOff>
      <xdr:row>42</xdr:row>
      <xdr:rowOff>126013</xdr:rowOff>
    </xdr:from>
    <xdr:to>
      <xdr:col>14</xdr:col>
      <xdr:colOff>236838</xdr:colOff>
      <xdr:row>44</xdr:row>
      <xdr:rowOff>130</xdr:rowOff>
    </xdr:to>
    <xdr:cxnSp macro="">
      <xdr:nvCxnSpPr>
        <xdr:cNvPr id="236" name="Straight Connector 235">
          <a:extLst>
            <a:ext uri="{FF2B5EF4-FFF2-40B4-BE49-F238E27FC236}">
              <a16:creationId xmlns:a16="http://schemas.microsoft.com/office/drawing/2014/main" id="{234134F9-8480-4F94-AB86-471D263BE8D1}"/>
            </a:ext>
          </a:extLst>
        </xdr:cNvPr>
        <xdr:cNvCxnSpPr>
          <a:stCxn id="49" idx="6"/>
          <a:endCxn id="117" idx="1"/>
        </xdr:cNvCxnSpPr>
      </xdr:nvCxnSpPr>
      <xdr:spPr>
        <a:xfrm>
          <a:off x="15512621" y="10042310"/>
          <a:ext cx="1529406" cy="3271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319217</xdr:colOff>
      <xdr:row>44</xdr:row>
      <xdr:rowOff>130</xdr:rowOff>
    </xdr:from>
    <xdr:to>
      <xdr:col>14</xdr:col>
      <xdr:colOff>236838</xdr:colOff>
      <xdr:row>45</xdr:row>
      <xdr:rowOff>124469</xdr:rowOff>
    </xdr:to>
    <xdr:cxnSp macro="">
      <xdr:nvCxnSpPr>
        <xdr:cNvPr id="239" name="Straight Connector 238">
          <a:extLst>
            <a:ext uri="{FF2B5EF4-FFF2-40B4-BE49-F238E27FC236}">
              <a16:creationId xmlns:a16="http://schemas.microsoft.com/office/drawing/2014/main" id="{7B0A8BC2-0BEA-4C3B-A6B4-1A7E979B92D6}"/>
            </a:ext>
          </a:extLst>
        </xdr:cNvPr>
        <xdr:cNvCxnSpPr>
          <a:stCxn id="117" idx="1"/>
          <a:endCxn id="85" idx="1"/>
        </xdr:cNvCxnSpPr>
      </xdr:nvCxnSpPr>
      <xdr:spPr>
        <a:xfrm flipH="1">
          <a:off x="16290325" y="10369508"/>
          <a:ext cx="751702" cy="35088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493756</xdr:colOff>
      <xdr:row>45</xdr:row>
      <xdr:rowOff>124469</xdr:rowOff>
    </xdr:from>
    <xdr:to>
      <xdr:col>13</xdr:col>
      <xdr:colOff>319217</xdr:colOff>
      <xdr:row>46</xdr:row>
      <xdr:rowOff>118162</xdr:rowOff>
    </xdr:to>
    <xdr:cxnSp macro="">
      <xdr:nvCxnSpPr>
        <xdr:cNvPr id="242" name="Straight Connector 241">
          <a:extLst>
            <a:ext uri="{FF2B5EF4-FFF2-40B4-BE49-F238E27FC236}">
              <a16:creationId xmlns:a16="http://schemas.microsoft.com/office/drawing/2014/main" id="{16AE7623-6E4A-4123-A11F-CE2D7C6CC49F}"/>
            </a:ext>
          </a:extLst>
        </xdr:cNvPr>
        <xdr:cNvCxnSpPr>
          <a:stCxn id="85" idx="1"/>
          <a:endCxn id="18" idx="6"/>
        </xdr:cNvCxnSpPr>
      </xdr:nvCxnSpPr>
      <xdr:spPr>
        <a:xfrm flipH="1">
          <a:off x="14642242" y="10720388"/>
          <a:ext cx="1648083" cy="22023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493756</xdr:colOff>
      <xdr:row>46</xdr:row>
      <xdr:rowOff>118162</xdr:rowOff>
    </xdr:from>
    <xdr:to>
      <xdr:col>13</xdr:col>
      <xdr:colOff>329513</xdr:colOff>
      <xdr:row>48</xdr:row>
      <xdr:rowOff>11198</xdr:rowOff>
    </xdr:to>
    <xdr:cxnSp macro="">
      <xdr:nvCxnSpPr>
        <xdr:cNvPr id="245" name="Straight Connector 244">
          <a:extLst>
            <a:ext uri="{FF2B5EF4-FFF2-40B4-BE49-F238E27FC236}">
              <a16:creationId xmlns:a16="http://schemas.microsoft.com/office/drawing/2014/main" id="{ACAAB332-F0F2-4A1F-BB88-EEB84C080071}"/>
            </a:ext>
          </a:extLst>
        </xdr:cNvPr>
        <xdr:cNvCxnSpPr>
          <a:stCxn id="18" idx="6"/>
          <a:endCxn id="87" idx="1"/>
        </xdr:cNvCxnSpPr>
      </xdr:nvCxnSpPr>
      <xdr:spPr>
        <a:xfrm>
          <a:off x="14642242" y="10940621"/>
          <a:ext cx="1658379" cy="3461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453631</xdr:colOff>
      <xdr:row>48</xdr:row>
      <xdr:rowOff>11198</xdr:rowOff>
    </xdr:from>
    <xdr:to>
      <xdr:col>13</xdr:col>
      <xdr:colOff>329513</xdr:colOff>
      <xdr:row>49</xdr:row>
      <xdr:rowOff>60718</xdr:rowOff>
    </xdr:to>
    <xdr:cxnSp macro="">
      <xdr:nvCxnSpPr>
        <xdr:cNvPr id="251" name="Straight Connector 250">
          <a:extLst>
            <a:ext uri="{FF2B5EF4-FFF2-40B4-BE49-F238E27FC236}">
              <a16:creationId xmlns:a16="http://schemas.microsoft.com/office/drawing/2014/main" id="{352E5E90-4308-4F61-AC0F-EB7EBF30B466}"/>
            </a:ext>
          </a:extLst>
        </xdr:cNvPr>
        <xdr:cNvCxnSpPr>
          <a:stCxn id="87" idx="1"/>
          <a:endCxn id="20" idx="7"/>
        </xdr:cNvCxnSpPr>
      </xdr:nvCxnSpPr>
      <xdr:spPr>
        <a:xfrm flipH="1">
          <a:off x="14602117" y="11286739"/>
          <a:ext cx="1698504" cy="27606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453631</xdr:colOff>
      <xdr:row>49</xdr:row>
      <xdr:rowOff>60718</xdr:rowOff>
    </xdr:from>
    <xdr:to>
      <xdr:col>13</xdr:col>
      <xdr:colOff>329514</xdr:colOff>
      <xdr:row>50</xdr:row>
      <xdr:rowOff>114172</xdr:rowOff>
    </xdr:to>
    <xdr:cxnSp macro="">
      <xdr:nvCxnSpPr>
        <xdr:cNvPr id="254" name="Straight Connector 253">
          <a:extLst>
            <a:ext uri="{FF2B5EF4-FFF2-40B4-BE49-F238E27FC236}">
              <a16:creationId xmlns:a16="http://schemas.microsoft.com/office/drawing/2014/main" id="{EDC0E2C6-2E2F-4AB2-8AA5-6E81A08E3C0D}"/>
            </a:ext>
          </a:extLst>
        </xdr:cNvPr>
        <xdr:cNvCxnSpPr>
          <a:stCxn id="20" idx="7"/>
          <a:endCxn id="89" idx="1"/>
        </xdr:cNvCxnSpPr>
      </xdr:nvCxnSpPr>
      <xdr:spPr>
        <a:xfrm>
          <a:off x="14602117" y="11562799"/>
          <a:ext cx="1698505" cy="2799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510489</xdr:colOff>
      <xdr:row>50</xdr:row>
      <xdr:rowOff>114172</xdr:rowOff>
    </xdr:from>
    <xdr:to>
      <xdr:col>15</xdr:col>
      <xdr:colOff>247136</xdr:colOff>
      <xdr:row>51</xdr:row>
      <xdr:rowOff>123697</xdr:rowOff>
    </xdr:to>
    <xdr:cxnSp macro="">
      <xdr:nvCxnSpPr>
        <xdr:cNvPr id="257" name="Straight Connector 256">
          <a:extLst>
            <a:ext uri="{FF2B5EF4-FFF2-40B4-BE49-F238E27FC236}">
              <a16:creationId xmlns:a16="http://schemas.microsoft.com/office/drawing/2014/main" id="{C59AA366-2424-4677-AFF7-B32C710022A1}"/>
            </a:ext>
          </a:extLst>
        </xdr:cNvPr>
        <xdr:cNvCxnSpPr>
          <a:stCxn id="89" idx="3"/>
          <a:endCxn id="155" idx="1"/>
        </xdr:cNvCxnSpPr>
      </xdr:nvCxnSpPr>
      <xdr:spPr>
        <a:xfrm>
          <a:off x="16481597" y="11842794"/>
          <a:ext cx="1219458" cy="2360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454947</xdr:colOff>
      <xdr:row>51</xdr:row>
      <xdr:rowOff>123697</xdr:rowOff>
    </xdr:from>
    <xdr:to>
      <xdr:col>15</xdr:col>
      <xdr:colOff>247136</xdr:colOff>
      <xdr:row>52</xdr:row>
      <xdr:rowOff>61784</xdr:rowOff>
    </xdr:to>
    <xdr:cxnSp macro="">
      <xdr:nvCxnSpPr>
        <xdr:cNvPr id="329" name="Straight Connector 259">
          <a:extLst>
            <a:ext uri="{FF2B5EF4-FFF2-40B4-BE49-F238E27FC236}">
              <a16:creationId xmlns:a16="http://schemas.microsoft.com/office/drawing/2014/main" id="{72C6C151-FB95-42B9-9C34-BE85B25209B8}"/>
            </a:ext>
          </a:extLst>
        </xdr:cNvPr>
        <xdr:cNvCxnSpPr>
          <a:stCxn id="155" idx="1"/>
          <a:endCxn id="91" idx="0"/>
        </xdr:cNvCxnSpPr>
      </xdr:nvCxnSpPr>
      <xdr:spPr>
        <a:xfrm flipH="1">
          <a:off x="17038133" y="13232680"/>
          <a:ext cx="1367850" cy="1705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453632</xdr:colOff>
      <xdr:row>52</xdr:row>
      <xdr:rowOff>114172</xdr:rowOff>
    </xdr:from>
    <xdr:to>
      <xdr:col>13</xdr:col>
      <xdr:colOff>319216</xdr:colOff>
      <xdr:row>53</xdr:row>
      <xdr:rowOff>81314</xdr:rowOff>
    </xdr:to>
    <xdr:cxnSp macro="">
      <xdr:nvCxnSpPr>
        <xdr:cNvPr id="263" name="Straight Connector 262">
          <a:extLst>
            <a:ext uri="{FF2B5EF4-FFF2-40B4-BE49-F238E27FC236}">
              <a16:creationId xmlns:a16="http://schemas.microsoft.com/office/drawing/2014/main" id="{334EB73A-F295-4AA0-9FD8-F4ACB2C33F34}"/>
            </a:ext>
          </a:extLst>
        </xdr:cNvPr>
        <xdr:cNvCxnSpPr>
          <a:stCxn id="91" idx="1"/>
          <a:endCxn id="24" idx="7"/>
        </xdr:cNvCxnSpPr>
      </xdr:nvCxnSpPr>
      <xdr:spPr>
        <a:xfrm flipH="1">
          <a:off x="14602118" y="12295875"/>
          <a:ext cx="1688206" cy="1936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453632</xdr:colOff>
      <xdr:row>53</xdr:row>
      <xdr:rowOff>81314</xdr:rowOff>
    </xdr:from>
    <xdr:to>
      <xdr:col>13</xdr:col>
      <xdr:colOff>308919</xdr:colOff>
      <xdr:row>54</xdr:row>
      <xdr:rowOff>237740</xdr:rowOff>
    </xdr:to>
    <xdr:cxnSp macro="">
      <xdr:nvCxnSpPr>
        <xdr:cNvPr id="266" name="Straight Connector 265">
          <a:extLst>
            <a:ext uri="{FF2B5EF4-FFF2-40B4-BE49-F238E27FC236}">
              <a16:creationId xmlns:a16="http://schemas.microsoft.com/office/drawing/2014/main" id="{37CDCA42-2A2E-4CB3-931A-F28938A070F7}"/>
            </a:ext>
          </a:extLst>
        </xdr:cNvPr>
        <xdr:cNvCxnSpPr>
          <a:stCxn id="24" idx="7"/>
          <a:endCxn id="93" idx="1"/>
        </xdr:cNvCxnSpPr>
      </xdr:nvCxnSpPr>
      <xdr:spPr>
        <a:xfrm>
          <a:off x="14602118" y="12489557"/>
          <a:ext cx="1677909" cy="38296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453632</xdr:colOff>
      <xdr:row>54</xdr:row>
      <xdr:rowOff>237740</xdr:rowOff>
    </xdr:from>
    <xdr:to>
      <xdr:col>13</xdr:col>
      <xdr:colOff>308919</xdr:colOff>
      <xdr:row>55</xdr:row>
      <xdr:rowOff>101907</xdr:rowOff>
    </xdr:to>
    <xdr:cxnSp macro="">
      <xdr:nvCxnSpPr>
        <xdr:cNvPr id="269" name="Straight Connector 268">
          <a:extLst>
            <a:ext uri="{FF2B5EF4-FFF2-40B4-BE49-F238E27FC236}">
              <a16:creationId xmlns:a16="http://schemas.microsoft.com/office/drawing/2014/main" id="{20AB1D52-FAD3-46BE-9DEE-61AAB977C608}"/>
            </a:ext>
          </a:extLst>
        </xdr:cNvPr>
        <xdr:cNvCxnSpPr>
          <a:stCxn id="93" idx="1"/>
          <a:endCxn id="26" idx="7"/>
        </xdr:cNvCxnSpPr>
      </xdr:nvCxnSpPr>
      <xdr:spPr>
        <a:xfrm flipH="1">
          <a:off x="14602118" y="12872524"/>
          <a:ext cx="1677909" cy="31724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453632</xdr:colOff>
      <xdr:row>55</xdr:row>
      <xdr:rowOff>101907</xdr:rowOff>
    </xdr:from>
    <xdr:to>
      <xdr:col>14</xdr:col>
      <xdr:colOff>239281</xdr:colOff>
      <xdr:row>56</xdr:row>
      <xdr:rowOff>143594</xdr:rowOff>
    </xdr:to>
    <xdr:cxnSp macro="">
      <xdr:nvCxnSpPr>
        <xdr:cNvPr id="272" name="Straight Connector 271">
          <a:extLst>
            <a:ext uri="{FF2B5EF4-FFF2-40B4-BE49-F238E27FC236}">
              <a16:creationId xmlns:a16="http://schemas.microsoft.com/office/drawing/2014/main" id="{0D091D2A-8ED3-4BF0-B1EA-A32F4363B80A}"/>
            </a:ext>
          </a:extLst>
        </xdr:cNvPr>
        <xdr:cNvCxnSpPr>
          <a:stCxn id="26" idx="7"/>
          <a:endCxn id="71" idx="1"/>
        </xdr:cNvCxnSpPr>
      </xdr:nvCxnSpPr>
      <xdr:spPr>
        <a:xfrm>
          <a:off x="15486988" y="14244110"/>
          <a:ext cx="2588259" cy="32582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443334</xdr:colOff>
      <xdr:row>57</xdr:row>
      <xdr:rowOff>124469</xdr:rowOff>
    </xdr:from>
    <xdr:to>
      <xdr:col>13</xdr:col>
      <xdr:colOff>298621</xdr:colOff>
      <xdr:row>58</xdr:row>
      <xdr:rowOff>71016</xdr:rowOff>
    </xdr:to>
    <xdr:cxnSp macro="">
      <xdr:nvCxnSpPr>
        <xdr:cNvPr id="275" name="Straight Connector 274">
          <a:extLst>
            <a:ext uri="{FF2B5EF4-FFF2-40B4-BE49-F238E27FC236}">
              <a16:creationId xmlns:a16="http://schemas.microsoft.com/office/drawing/2014/main" id="{F7133008-2F5A-4613-B325-F67680853684}"/>
            </a:ext>
          </a:extLst>
        </xdr:cNvPr>
        <xdr:cNvCxnSpPr>
          <a:stCxn id="95" idx="1"/>
          <a:endCxn id="28" idx="7"/>
        </xdr:cNvCxnSpPr>
      </xdr:nvCxnSpPr>
      <xdr:spPr>
        <a:xfrm flipH="1">
          <a:off x="14591820" y="13500658"/>
          <a:ext cx="1677909" cy="2245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443334</xdr:colOff>
      <xdr:row>58</xdr:row>
      <xdr:rowOff>71016</xdr:rowOff>
    </xdr:from>
    <xdr:to>
      <xdr:col>13</xdr:col>
      <xdr:colOff>298622</xdr:colOff>
      <xdr:row>59</xdr:row>
      <xdr:rowOff>227442</xdr:rowOff>
    </xdr:to>
    <xdr:cxnSp macro="">
      <xdr:nvCxnSpPr>
        <xdr:cNvPr id="278" name="Straight Connector 277">
          <a:extLst>
            <a:ext uri="{FF2B5EF4-FFF2-40B4-BE49-F238E27FC236}">
              <a16:creationId xmlns:a16="http://schemas.microsoft.com/office/drawing/2014/main" id="{EDF2EC98-3B66-4AA8-AC4A-8A5933918255}"/>
            </a:ext>
          </a:extLst>
        </xdr:cNvPr>
        <xdr:cNvCxnSpPr>
          <a:stCxn id="28" idx="7"/>
          <a:endCxn id="97" idx="1"/>
        </xdr:cNvCxnSpPr>
      </xdr:nvCxnSpPr>
      <xdr:spPr>
        <a:xfrm>
          <a:off x="14591820" y="13725232"/>
          <a:ext cx="1677910" cy="38296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443335</xdr:colOff>
      <xdr:row>59</xdr:row>
      <xdr:rowOff>227442</xdr:rowOff>
    </xdr:from>
    <xdr:to>
      <xdr:col>13</xdr:col>
      <xdr:colOff>298622</xdr:colOff>
      <xdr:row>60</xdr:row>
      <xdr:rowOff>71016</xdr:rowOff>
    </xdr:to>
    <xdr:cxnSp macro="">
      <xdr:nvCxnSpPr>
        <xdr:cNvPr id="281" name="Straight Connector 280">
          <a:extLst>
            <a:ext uri="{FF2B5EF4-FFF2-40B4-BE49-F238E27FC236}">
              <a16:creationId xmlns:a16="http://schemas.microsoft.com/office/drawing/2014/main" id="{FA85F458-B2A6-4681-8889-E4DD5CA6722B}"/>
            </a:ext>
          </a:extLst>
        </xdr:cNvPr>
        <xdr:cNvCxnSpPr>
          <a:stCxn id="97" idx="1"/>
          <a:endCxn id="30" idx="7"/>
        </xdr:cNvCxnSpPr>
      </xdr:nvCxnSpPr>
      <xdr:spPr>
        <a:xfrm flipH="1">
          <a:off x="14591821" y="14108199"/>
          <a:ext cx="1677909" cy="29665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443335</xdr:colOff>
      <xdr:row>60</xdr:row>
      <xdr:rowOff>71016</xdr:rowOff>
    </xdr:from>
    <xdr:to>
      <xdr:col>14</xdr:col>
      <xdr:colOff>369416</xdr:colOff>
      <xdr:row>61</xdr:row>
      <xdr:rowOff>123696</xdr:rowOff>
    </xdr:to>
    <xdr:cxnSp macro="">
      <xdr:nvCxnSpPr>
        <xdr:cNvPr id="284" name="Straight Connector 283">
          <a:extLst>
            <a:ext uri="{FF2B5EF4-FFF2-40B4-BE49-F238E27FC236}">
              <a16:creationId xmlns:a16="http://schemas.microsoft.com/office/drawing/2014/main" id="{43419FD8-70DC-4980-A7C2-3CE9FAD193D4}"/>
            </a:ext>
          </a:extLst>
        </xdr:cNvPr>
        <xdr:cNvCxnSpPr>
          <a:stCxn id="30" idx="7"/>
          <a:endCxn id="132" idx="3"/>
        </xdr:cNvCxnSpPr>
      </xdr:nvCxnSpPr>
      <xdr:spPr>
        <a:xfrm>
          <a:off x="14591821" y="14404854"/>
          <a:ext cx="2582784" cy="2792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499162</xdr:colOff>
      <xdr:row>80</xdr:row>
      <xdr:rowOff>115717</xdr:rowOff>
    </xdr:from>
    <xdr:to>
      <xdr:col>14</xdr:col>
      <xdr:colOff>236838</xdr:colOff>
      <xdr:row>82</xdr:row>
      <xdr:rowOff>31021</xdr:rowOff>
    </xdr:to>
    <xdr:cxnSp macro="">
      <xdr:nvCxnSpPr>
        <xdr:cNvPr id="287" name="Straight Connector 286">
          <a:extLst>
            <a:ext uri="{FF2B5EF4-FFF2-40B4-BE49-F238E27FC236}">
              <a16:creationId xmlns:a16="http://schemas.microsoft.com/office/drawing/2014/main" id="{C3BBC220-F625-41CA-A520-3121602AC588}"/>
            </a:ext>
          </a:extLst>
        </xdr:cNvPr>
        <xdr:cNvCxnSpPr>
          <a:stCxn id="66" idx="6"/>
          <a:endCxn id="134" idx="1"/>
        </xdr:cNvCxnSpPr>
      </xdr:nvCxnSpPr>
      <xdr:spPr>
        <a:xfrm>
          <a:off x="15512621" y="19227501"/>
          <a:ext cx="1529406" cy="3683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434352</xdr:colOff>
      <xdr:row>82</xdr:row>
      <xdr:rowOff>31021</xdr:rowOff>
    </xdr:from>
    <xdr:to>
      <xdr:col>14</xdr:col>
      <xdr:colOff>236838</xdr:colOff>
      <xdr:row>83</xdr:row>
      <xdr:rowOff>82378</xdr:rowOff>
    </xdr:to>
    <xdr:cxnSp macro="">
      <xdr:nvCxnSpPr>
        <xdr:cNvPr id="290" name="Straight Connector 289">
          <a:extLst>
            <a:ext uri="{FF2B5EF4-FFF2-40B4-BE49-F238E27FC236}">
              <a16:creationId xmlns:a16="http://schemas.microsoft.com/office/drawing/2014/main" id="{F64E96C9-6BF2-433B-B5C1-A4A1CA91383C}"/>
            </a:ext>
          </a:extLst>
        </xdr:cNvPr>
        <xdr:cNvCxnSpPr>
          <a:stCxn id="102" idx="0"/>
          <a:endCxn id="134" idx="1"/>
        </xdr:cNvCxnSpPr>
      </xdr:nvCxnSpPr>
      <xdr:spPr>
        <a:xfrm flipV="1">
          <a:off x="16405460" y="19595886"/>
          <a:ext cx="636567" cy="27789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452567</xdr:colOff>
      <xdr:row>83</xdr:row>
      <xdr:rowOff>134766</xdr:rowOff>
    </xdr:from>
    <xdr:to>
      <xdr:col>13</xdr:col>
      <xdr:colOff>298621</xdr:colOff>
      <xdr:row>84</xdr:row>
      <xdr:rowOff>118161</xdr:rowOff>
    </xdr:to>
    <xdr:cxnSp macro="">
      <xdr:nvCxnSpPr>
        <xdr:cNvPr id="293" name="Straight Connector 292">
          <a:extLst>
            <a:ext uri="{FF2B5EF4-FFF2-40B4-BE49-F238E27FC236}">
              <a16:creationId xmlns:a16="http://schemas.microsoft.com/office/drawing/2014/main" id="{0E642FF3-18FA-463B-A9BD-3B42876BC262}"/>
            </a:ext>
          </a:extLst>
        </xdr:cNvPr>
        <xdr:cNvCxnSpPr>
          <a:stCxn id="35" idx="6"/>
          <a:endCxn id="102" idx="1"/>
        </xdr:cNvCxnSpPr>
      </xdr:nvCxnSpPr>
      <xdr:spPr>
        <a:xfrm flipV="1">
          <a:off x="14601053" y="19926171"/>
          <a:ext cx="1668676" cy="23053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452567</xdr:colOff>
      <xdr:row>84</xdr:row>
      <xdr:rowOff>118161</xdr:rowOff>
    </xdr:from>
    <xdr:to>
      <xdr:col>14</xdr:col>
      <xdr:colOff>226541</xdr:colOff>
      <xdr:row>85</xdr:row>
      <xdr:rowOff>113399</xdr:rowOff>
    </xdr:to>
    <xdr:cxnSp macro="">
      <xdr:nvCxnSpPr>
        <xdr:cNvPr id="299" name="Straight Connector 298">
          <a:extLst>
            <a:ext uri="{FF2B5EF4-FFF2-40B4-BE49-F238E27FC236}">
              <a16:creationId xmlns:a16="http://schemas.microsoft.com/office/drawing/2014/main" id="{D1479034-E21A-4D23-B6A2-71A81C7E7F59}"/>
            </a:ext>
          </a:extLst>
        </xdr:cNvPr>
        <xdr:cNvCxnSpPr>
          <a:stCxn id="35" idx="6"/>
          <a:endCxn id="137" idx="1"/>
        </xdr:cNvCxnSpPr>
      </xdr:nvCxnSpPr>
      <xdr:spPr>
        <a:xfrm>
          <a:off x="14601053" y="20156702"/>
          <a:ext cx="2430677" cy="22177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322882</xdr:colOff>
      <xdr:row>13</xdr:row>
      <xdr:rowOff>258305</xdr:rowOff>
    </xdr:from>
    <xdr:to>
      <xdr:col>13</xdr:col>
      <xdr:colOff>503857</xdr:colOff>
      <xdr:row>13</xdr:row>
      <xdr:rowOff>363080</xdr:rowOff>
    </xdr:to>
    <xdr:sp macro="" textlink="">
      <xdr:nvSpPr>
        <xdr:cNvPr id="302" name="AutoShape 9">
          <a:extLst>
            <a:ext uri="{FF2B5EF4-FFF2-40B4-BE49-F238E27FC236}">
              <a16:creationId xmlns:a16="http://schemas.microsoft.com/office/drawing/2014/main" id="{5BD116C7-36DE-476A-A28C-08F9E962AE86}"/>
            </a:ext>
          </a:extLst>
        </xdr:cNvPr>
        <xdr:cNvSpPr>
          <a:spLocks noChangeArrowheads="1"/>
        </xdr:cNvSpPr>
      </xdr:nvSpPr>
      <xdr:spPr bwMode="auto">
        <a:xfrm>
          <a:off x="16286136" y="3409627"/>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11</xdr:col>
      <xdr:colOff>348712</xdr:colOff>
      <xdr:row>22</xdr:row>
      <xdr:rowOff>64577</xdr:rowOff>
    </xdr:from>
    <xdr:to>
      <xdr:col>11</xdr:col>
      <xdr:colOff>482062</xdr:colOff>
      <xdr:row>22</xdr:row>
      <xdr:rowOff>197927</xdr:rowOff>
    </xdr:to>
    <xdr:sp macro="" textlink="">
      <xdr:nvSpPr>
        <xdr:cNvPr id="309" name="Oval 7">
          <a:extLst>
            <a:ext uri="{FF2B5EF4-FFF2-40B4-BE49-F238E27FC236}">
              <a16:creationId xmlns:a16="http://schemas.microsoft.com/office/drawing/2014/main" id="{A12DDC4A-08D9-4EFC-AA93-4DF340EC3024}"/>
            </a:ext>
          </a:extLst>
        </xdr:cNvPr>
        <xdr:cNvSpPr>
          <a:spLocks noChangeArrowheads="1"/>
        </xdr:cNvSpPr>
      </xdr:nvSpPr>
      <xdr:spPr bwMode="auto">
        <a:xfrm>
          <a:off x="14542576" y="5824780"/>
          <a:ext cx="133350" cy="133350"/>
        </a:xfrm>
        <a:prstGeom prst="ellipse">
          <a:avLst/>
        </a:prstGeom>
        <a:solidFill>
          <a:schemeClr val="tx1"/>
        </a:solidFill>
        <a:ln w="9525">
          <a:solidFill>
            <a:srgbClr val="000000"/>
          </a:solidFill>
          <a:round/>
          <a:headEnd/>
          <a:tailEnd/>
        </a:ln>
      </xdr:spPr>
    </xdr:sp>
    <xdr:clientData/>
  </xdr:twoCellAnchor>
  <xdr:twoCellAnchor>
    <xdr:from>
      <xdr:col>12</xdr:col>
      <xdr:colOff>400373</xdr:colOff>
      <xdr:row>22</xdr:row>
      <xdr:rowOff>116238</xdr:rowOff>
    </xdr:from>
    <xdr:to>
      <xdr:col>12</xdr:col>
      <xdr:colOff>467048</xdr:colOff>
      <xdr:row>22</xdr:row>
      <xdr:rowOff>182913</xdr:rowOff>
    </xdr:to>
    <xdr:sp macro="" textlink="">
      <xdr:nvSpPr>
        <xdr:cNvPr id="310" name="Oval 161">
          <a:extLst>
            <a:ext uri="{FF2B5EF4-FFF2-40B4-BE49-F238E27FC236}">
              <a16:creationId xmlns:a16="http://schemas.microsoft.com/office/drawing/2014/main" id="{785568DD-75D3-495F-94C2-950BAF000909}"/>
            </a:ext>
          </a:extLst>
        </xdr:cNvPr>
        <xdr:cNvSpPr>
          <a:spLocks noChangeArrowheads="1"/>
        </xdr:cNvSpPr>
      </xdr:nvSpPr>
      <xdr:spPr bwMode="auto">
        <a:xfrm>
          <a:off x="15511220" y="5876441"/>
          <a:ext cx="66675" cy="66675"/>
        </a:xfrm>
        <a:prstGeom prst="ellipse">
          <a:avLst/>
        </a:prstGeom>
        <a:solidFill>
          <a:srgbClr val="FFFFFF"/>
        </a:solidFill>
        <a:ln w="9525">
          <a:solidFill>
            <a:srgbClr val="000000"/>
          </a:solidFill>
          <a:round/>
          <a:headEnd/>
          <a:tailEnd/>
        </a:ln>
      </xdr:spPr>
    </xdr:sp>
    <xdr:clientData/>
  </xdr:twoCellAnchor>
  <xdr:twoCellAnchor>
    <xdr:from>
      <xdr:col>11</xdr:col>
      <xdr:colOff>346129</xdr:colOff>
      <xdr:row>23</xdr:row>
      <xdr:rowOff>61994</xdr:rowOff>
    </xdr:from>
    <xdr:to>
      <xdr:col>11</xdr:col>
      <xdr:colOff>479479</xdr:colOff>
      <xdr:row>23</xdr:row>
      <xdr:rowOff>195344</xdr:rowOff>
    </xdr:to>
    <xdr:sp macro="" textlink="">
      <xdr:nvSpPr>
        <xdr:cNvPr id="311" name="Oval 7">
          <a:extLst>
            <a:ext uri="{FF2B5EF4-FFF2-40B4-BE49-F238E27FC236}">
              <a16:creationId xmlns:a16="http://schemas.microsoft.com/office/drawing/2014/main" id="{3906A2D3-56A8-44B4-B740-93676E28DB06}"/>
            </a:ext>
          </a:extLst>
        </xdr:cNvPr>
        <xdr:cNvSpPr>
          <a:spLocks noChangeArrowheads="1"/>
        </xdr:cNvSpPr>
      </xdr:nvSpPr>
      <xdr:spPr bwMode="auto">
        <a:xfrm>
          <a:off x="14539993" y="6080502"/>
          <a:ext cx="133350" cy="133350"/>
        </a:xfrm>
        <a:prstGeom prst="ellipse">
          <a:avLst/>
        </a:prstGeom>
        <a:solidFill>
          <a:srgbClr val="FFFFFF"/>
        </a:solidFill>
        <a:ln w="9525">
          <a:solidFill>
            <a:srgbClr val="000000"/>
          </a:solidFill>
          <a:round/>
          <a:headEnd/>
          <a:tailEnd/>
        </a:ln>
      </xdr:spPr>
    </xdr:sp>
    <xdr:clientData/>
  </xdr:twoCellAnchor>
  <xdr:twoCellAnchor>
    <xdr:from>
      <xdr:col>12</xdr:col>
      <xdr:colOff>400374</xdr:colOff>
      <xdr:row>23</xdr:row>
      <xdr:rowOff>103322</xdr:rowOff>
    </xdr:from>
    <xdr:to>
      <xdr:col>12</xdr:col>
      <xdr:colOff>467049</xdr:colOff>
      <xdr:row>23</xdr:row>
      <xdr:rowOff>169997</xdr:rowOff>
    </xdr:to>
    <xdr:sp macro="" textlink="">
      <xdr:nvSpPr>
        <xdr:cNvPr id="312" name="Oval 161">
          <a:extLst>
            <a:ext uri="{FF2B5EF4-FFF2-40B4-BE49-F238E27FC236}">
              <a16:creationId xmlns:a16="http://schemas.microsoft.com/office/drawing/2014/main" id="{82054B8B-1329-4CEA-A9BA-CA265FC6A466}"/>
            </a:ext>
          </a:extLst>
        </xdr:cNvPr>
        <xdr:cNvSpPr>
          <a:spLocks noChangeArrowheads="1"/>
        </xdr:cNvSpPr>
      </xdr:nvSpPr>
      <xdr:spPr bwMode="auto">
        <a:xfrm>
          <a:off x="15511221" y="6121830"/>
          <a:ext cx="66675" cy="66675"/>
        </a:xfrm>
        <a:prstGeom prst="ellipse">
          <a:avLst/>
        </a:prstGeom>
        <a:solidFill>
          <a:srgbClr val="FFFFFF"/>
        </a:solidFill>
        <a:ln w="9525">
          <a:solidFill>
            <a:srgbClr val="000000"/>
          </a:solidFill>
          <a:round/>
          <a:headEnd/>
          <a:tailEnd/>
        </a:ln>
      </xdr:spPr>
    </xdr:sp>
    <xdr:clientData/>
  </xdr:twoCellAnchor>
  <xdr:twoCellAnchor>
    <xdr:from>
      <xdr:col>13</xdr:col>
      <xdr:colOff>327070</xdr:colOff>
      <xdr:row>22</xdr:row>
      <xdr:rowOff>86743</xdr:rowOff>
    </xdr:from>
    <xdr:to>
      <xdr:col>13</xdr:col>
      <xdr:colOff>508045</xdr:colOff>
      <xdr:row>22</xdr:row>
      <xdr:rowOff>191518</xdr:rowOff>
    </xdr:to>
    <xdr:sp macro="" textlink="">
      <xdr:nvSpPr>
        <xdr:cNvPr id="313" name="AutoShape 9">
          <a:extLst>
            <a:ext uri="{FF2B5EF4-FFF2-40B4-BE49-F238E27FC236}">
              <a16:creationId xmlns:a16="http://schemas.microsoft.com/office/drawing/2014/main" id="{822D25BD-918C-4F37-B3C9-C205128BB836}"/>
            </a:ext>
          </a:extLst>
        </xdr:cNvPr>
        <xdr:cNvSpPr>
          <a:spLocks noChangeArrowheads="1"/>
        </xdr:cNvSpPr>
      </xdr:nvSpPr>
      <xdr:spPr bwMode="auto">
        <a:xfrm>
          <a:off x="16445307" y="5846946"/>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13</xdr:col>
      <xdr:colOff>324487</xdr:colOff>
      <xdr:row>23</xdr:row>
      <xdr:rowOff>71245</xdr:rowOff>
    </xdr:from>
    <xdr:to>
      <xdr:col>13</xdr:col>
      <xdr:colOff>505462</xdr:colOff>
      <xdr:row>23</xdr:row>
      <xdr:rowOff>176020</xdr:rowOff>
    </xdr:to>
    <xdr:sp macro="" textlink="">
      <xdr:nvSpPr>
        <xdr:cNvPr id="314" name="AutoShape 9">
          <a:extLst>
            <a:ext uri="{FF2B5EF4-FFF2-40B4-BE49-F238E27FC236}">
              <a16:creationId xmlns:a16="http://schemas.microsoft.com/office/drawing/2014/main" id="{A779E785-656E-4B24-B61C-4BEF1A9521FB}"/>
            </a:ext>
          </a:extLst>
        </xdr:cNvPr>
        <xdr:cNvSpPr>
          <a:spLocks noChangeArrowheads="1"/>
        </xdr:cNvSpPr>
      </xdr:nvSpPr>
      <xdr:spPr bwMode="auto">
        <a:xfrm>
          <a:off x="16442724" y="6089753"/>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14</xdr:col>
      <xdr:colOff>231602</xdr:colOff>
      <xdr:row>22</xdr:row>
      <xdr:rowOff>60911</xdr:rowOff>
    </xdr:from>
    <xdr:to>
      <xdr:col>14</xdr:col>
      <xdr:colOff>374477</xdr:colOff>
      <xdr:row>22</xdr:row>
      <xdr:rowOff>184736</xdr:rowOff>
    </xdr:to>
    <xdr:sp macro="" textlink="">
      <xdr:nvSpPr>
        <xdr:cNvPr id="315" name="Rectangle 4">
          <a:extLst>
            <a:ext uri="{FF2B5EF4-FFF2-40B4-BE49-F238E27FC236}">
              <a16:creationId xmlns:a16="http://schemas.microsoft.com/office/drawing/2014/main" id="{9C5DEF4A-BFE5-48A8-8B1C-109F6F6BD7AC}"/>
            </a:ext>
          </a:extLst>
        </xdr:cNvPr>
        <xdr:cNvSpPr>
          <a:spLocks noChangeArrowheads="1"/>
        </xdr:cNvSpPr>
      </xdr:nvSpPr>
      <xdr:spPr bwMode="auto">
        <a:xfrm>
          <a:off x="17228077" y="5821114"/>
          <a:ext cx="142875" cy="123825"/>
        </a:xfrm>
        <a:prstGeom prst="rect">
          <a:avLst/>
        </a:prstGeom>
        <a:solidFill>
          <a:srgbClr val="FFFFFF"/>
        </a:solidFill>
        <a:ln w="9525">
          <a:solidFill>
            <a:srgbClr val="000000"/>
          </a:solidFill>
          <a:miter lim="800000"/>
          <a:headEnd/>
          <a:tailEnd/>
        </a:ln>
      </xdr:spPr>
    </xdr:sp>
    <xdr:clientData/>
  </xdr:twoCellAnchor>
  <xdr:twoCellAnchor>
    <xdr:from>
      <xdr:col>14</xdr:col>
      <xdr:colOff>219559</xdr:colOff>
      <xdr:row>23</xdr:row>
      <xdr:rowOff>51661</xdr:rowOff>
    </xdr:from>
    <xdr:to>
      <xdr:col>14</xdr:col>
      <xdr:colOff>362434</xdr:colOff>
      <xdr:row>23</xdr:row>
      <xdr:rowOff>175486</xdr:rowOff>
    </xdr:to>
    <xdr:sp macro="" textlink="">
      <xdr:nvSpPr>
        <xdr:cNvPr id="316" name="Rectangle 4">
          <a:extLst>
            <a:ext uri="{FF2B5EF4-FFF2-40B4-BE49-F238E27FC236}">
              <a16:creationId xmlns:a16="http://schemas.microsoft.com/office/drawing/2014/main" id="{8615AFB0-55FC-4A8A-8BF4-78A872C2F08B}"/>
            </a:ext>
          </a:extLst>
        </xdr:cNvPr>
        <xdr:cNvSpPr>
          <a:spLocks noChangeArrowheads="1"/>
        </xdr:cNvSpPr>
      </xdr:nvSpPr>
      <xdr:spPr bwMode="auto">
        <a:xfrm>
          <a:off x="17216034" y="6070169"/>
          <a:ext cx="142875" cy="123825"/>
        </a:xfrm>
        <a:prstGeom prst="rect">
          <a:avLst/>
        </a:prstGeom>
        <a:solidFill>
          <a:schemeClr val="tx1"/>
        </a:solidFill>
        <a:ln w="9525">
          <a:solidFill>
            <a:srgbClr val="000000"/>
          </a:solidFill>
          <a:miter lim="800000"/>
          <a:headEnd/>
          <a:tailEnd/>
        </a:ln>
      </xdr:spPr>
    </xdr:sp>
    <xdr:clientData/>
  </xdr:twoCellAnchor>
  <xdr:twoCellAnchor>
    <xdr:from>
      <xdr:col>15</xdr:col>
      <xdr:colOff>239631</xdr:colOff>
      <xdr:row>22</xdr:row>
      <xdr:rowOff>65275</xdr:rowOff>
    </xdr:from>
    <xdr:to>
      <xdr:col>15</xdr:col>
      <xdr:colOff>372981</xdr:colOff>
      <xdr:row>22</xdr:row>
      <xdr:rowOff>189100</xdr:rowOff>
    </xdr:to>
    <xdr:sp macro="" textlink="">
      <xdr:nvSpPr>
        <xdr:cNvPr id="317" name="AutoShape 6">
          <a:extLst>
            <a:ext uri="{FF2B5EF4-FFF2-40B4-BE49-F238E27FC236}">
              <a16:creationId xmlns:a16="http://schemas.microsoft.com/office/drawing/2014/main" id="{9F2B4CCF-C9D5-4F08-8106-D149BA47648E}"/>
            </a:ext>
          </a:extLst>
        </xdr:cNvPr>
        <xdr:cNvSpPr>
          <a:spLocks noChangeArrowheads="1"/>
        </xdr:cNvSpPr>
      </xdr:nvSpPr>
      <xdr:spPr bwMode="auto">
        <a:xfrm>
          <a:off x="17933529" y="5825478"/>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15</xdr:col>
      <xdr:colOff>271221</xdr:colOff>
      <xdr:row>23</xdr:row>
      <xdr:rowOff>51661</xdr:rowOff>
    </xdr:from>
    <xdr:to>
      <xdr:col>15</xdr:col>
      <xdr:colOff>404571</xdr:colOff>
      <xdr:row>23</xdr:row>
      <xdr:rowOff>175486</xdr:rowOff>
    </xdr:to>
    <xdr:sp macro="" textlink="">
      <xdr:nvSpPr>
        <xdr:cNvPr id="318" name="AutoShape 6">
          <a:extLst>
            <a:ext uri="{FF2B5EF4-FFF2-40B4-BE49-F238E27FC236}">
              <a16:creationId xmlns:a16="http://schemas.microsoft.com/office/drawing/2014/main" id="{F1C3FA20-0083-46B3-B78D-A6B1FFAFC686}"/>
            </a:ext>
          </a:extLst>
        </xdr:cNvPr>
        <xdr:cNvSpPr>
          <a:spLocks noChangeArrowheads="1"/>
        </xdr:cNvSpPr>
      </xdr:nvSpPr>
      <xdr:spPr bwMode="auto">
        <a:xfrm>
          <a:off x="17965119" y="6070169"/>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16</xdr:col>
      <xdr:colOff>183432</xdr:colOff>
      <xdr:row>22</xdr:row>
      <xdr:rowOff>72954</xdr:rowOff>
    </xdr:from>
    <xdr:to>
      <xdr:col>16</xdr:col>
      <xdr:colOff>326307</xdr:colOff>
      <xdr:row>22</xdr:row>
      <xdr:rowOff>177729</xdr:rowOff>
    </xdr:to>
    <xdr:sp macro="" textlink="">
      <xdr:nvSpPr>
        <xdr:cNvPr id="319" name="AutoShape 5">
          <a:extLst>
            <a:ext uri="{FF2B5EF4-FFF2-40B4-BE49-F238E27FC236}">
              <a16:creationId xmlns:a16="http://schemas.microsoft.com/office/drawing/2014/main" id="{CD538ED7-BC58-4E3A-B929-737E88F121EA}"/>
            </a:ext>
          </a:extLst>
        </xdr:cNvPr>
        <xdr:cNvSpPr>
          <a:spLocks noChangeArrowheads="1"/>
        </xdr:cNvSpPr>
      </xdr:nvSpPr>
      <xdr:spPr bwMode="auto">
        <a:xfrm flipV="1">
          <a:off x="18561839" y="5833157"/>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167934</xdr:colOff>
      <xdr:row>23</xdr:row>
      <xdr:rowOff>83287</xdr:rowOff>
    </xdr:from>
    <xdr:to>
      <xdr:col>16</xdr:col>
      <xdr:colOff>310809</xdr:colOff>
      <xdr:row>23</xdr:row>
      <xdr:rowOff>188062</xdr:rowOff>
    </xdr:to>
    <xdr:sp macro="" textlink="">
      <xdr:nvSpPr>
        <xdr:cNvPr id="320" name="AutoShape 5">
          <a:extLst>
            <a:ext uri="{FF2B5EF4-FFF2-40B4-BE49-F238E27FC236}">
              <a16:creationId xmlns:a16="http://schemas.microsoft.com/office/drawing/2014/main" id="{0F81F98D-4B18-4126-8E6D-9D70F98AFC11}"/>
            </a:ext>
          </a:extLst>
        </xdr:cNvPr>
        <xdr:cNvSpPr>
          <a:spLocks noChangeArrowheads="1"/>
        </xdr:cNvSpPr>
      </xdr:nvSpPr>
      <xdr:spPr bwMode="auto">
        <a:xfrm flipV="1">
          <a:off x="18546341" y="6101795"/>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11</xdr:col>
      <xdr:colOff>348712</xdr:colOff>
      <xdr:row>21</xdr:row>
      <xdr:rowOff>134766</xdr:rowOff>
    </xdr:from>
    <xdr:to>
      <xdr:col>13</xdr:col>
      <xdr:colOff>319217</xdr:colOff>
      <xdr:row>22</xdr:row>
      <xdr:rowOff>131252</xdr:rowOff>
    </xdr:to>
    <xdr:cxnSp macro="">
      <xdr:nvCxnSpPr>
        <xdr:cNvPr id="322" name="Straight Connector 321">
          <a:extLst>
            <a:ext uri="{FF2B5EF4-FFF2-40B4-BE49-F238E27FC236}">
              <a16:creationId xmlns:a16="http://schemas.microsoft.com/office/drawing/2014/main" id="{BCCA98F7-D265-43D1-9EAF-0FF8D95F4685}"/>
            </a:ext>
          </a:extLst>
        </xdr:cNvPr>
        <xdr:cNvCxnSpPr>
          <a:stCxn id="309" idx="2"/>
          <a:endCxn id="80" idx="1"/>
        </xdr:cNvCxnSpPr>
      </xdr:nvCxnSpPr>
      <xdr:spPr>
        <a:xfrm flipV="1">
          <a:off x="14542576" y="5636664"/>
          <a:ext cx="1894878" cy="25479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482062</xdr:colOff>
      <xdr:row>22</xdr:row>
      <xdr:rowOff>131252</xdr:rowOff>
    </xdr:from>
    <xdr:to>
      <xdr:col>14</xdr:col>
      <xdr:colOff>362434</xdr:colOff>
      <xdr:row>23</xdr:row>
      <xdr:rowOff>113574</xdr:rowOff>
    </xdr:to>
    <xdr:cxnSp macro="">
      <xdr:nvCxnSpPr>
        <xdr:cNvPr id="325" name="Straight Connector 324">
          <a:extLst>
            <a:ext uri="{FF2B5EF4-FFF2-40B4-BE49-F238E27FC236}">
              <a16:creationId xmlns:a16="http://schemas.microsoft.com/office/drawing/2014/main" id="{283D3E32-6EB2-4C76-B71A-82E75E120B77}"/>
            </a:ext>
          </a:extLst>
        </xdr:cNvPr>
        <xdr:cNvCxnSpPr>
          <a:stCxn id="309" idx="6"/>
          <a:endCxn id="316" idx="3"/>
        </xdr:cNvCxnSpPr>
      </xdr:nvCxnSpPr>
      <xdr:spPr>
        <a:xfrm>
          <a:off x="14675926" y="5891455"/>
          <a:ext cx="2682983" cy="2406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346294</xdr:colOff>
      <xdr:row>56</xdr:row>
      <xdr:rowOff>73809</xdr:rowOff>
    </xdr:from>
    <xdr:to>
      <xdr:col>11</xdr:col>
      <xdr:colOff>479644</xdr:colOff>
      <xdr:row>56</xdr:row>
      <xdr:rowOff>207159</xdr:rowOff>
    </xdr:to>
    <xdr:sp macro="" textlink="">
      <xdr:nvSpPr>
        <xdr:cNvPr id="13" name="Oval 7">
          <a:extLst>
            <a:ext uri="{FF2B5EF4-FFF2-40B4-BE49-F238E27FC236}">
              <a16:creationId xmlns:a16="http://schemas.microsoft.com/office/drawing/2014/main" id="{995A3E24-415B-48DC-883C-CFAA070E2D5A}"/>
            </a:ext>
          </a:extLst>
        </xdr:cNvPr>
        <xdr:cNvSpPr>
          <a:spLocks noChangeArrowheads="1"/>
        </xdr:cNvSpPr>
      </xdr:nvSpPr>
      <xdr:spPr bwMode="auto">
        <a:xfrm>
          <a:off x="15379650" y="14500148"/>
          <a:ext cx="133350" cy="133350"/>
        </a:xfrm>
        <a:prstGeom prst="ellipse">
          <a:avLst/>
        </a:prstGeom>
        <a:solidFill>
          <a:srgbClr val="FFFFFF"/>
        </a:solidFill>
        <a:ln w="9525">
          <a:solidFill>
            <a:srgbClr val="000000"/>
          </a:solidFill>
          <a:round/>
          <a:headEnd/>
          <a:tailEnd/>
        </a:ln>
      </xdr:spPr>
    </xdr:sp>
    <xdr:clientData/>
  </xdr:twoCellAnchor>
  <xdr:twoCellAnchor>
    <xdr:from>
      <xdr:col>12</xdr:col>
      <xdr:colOff>417826</xdr:colOff>
      <xdr:row>56</xdr:row>
      <xdr:rowOff>141196</xdr:rowOff>
    </xdr:from>
    <xdr:to>
      <xdr:col>12</xdr:col>
      <xdr:colOff>484501</xdr:colOff>
      <xdr:row>56</xdr:row>
      <xdr:rowOff>207871</xdr:rowOff>
    </xdr:to>
    <xdr:sp macro="" textlink="">
      <xdr:nvSpPr>
        <xdr:cNvPr id="37" name="Oval 161">
          <a:extLst>
            <a:ext uri="{FF2B5EF4-FFF2-40B4-BE49-F238E27FC236}">
              <a16:creationId xmlns:a16="http://schemas.microsoft.com/office/drawing/2014/main" id="{41A91B01-0B19-4C2E-80C9-393C4AFBE821}"/>
            </a:ext>
          </a:extLst>
        </xdr:cNvPr>
        <xdr:cNvSpPr>
          <a:spLocks noChangeArrowheads="1"/>
        </xdr:cNvSpPr>
      </xdr:nvSpPr>
      <xdr:spPr bwMode="auto">
        <a:xfrm>
          <a:off x="16368165" y="14567535"/>
          <a:ext cx="66675" cy="66675"/>
        </a:xfrm>
        <a:prstGeom prst="ellipse">
          <a:avLst/>
        </a:prstGeom>
        <a:solidFill>
          <a:srgbClr val="FFFFFF"/>
        </a:solidFill>
        <a:ln w="9525">
          <a:solidFill>
            <a:srgbClr val="000000"/>
          </a:solidFill>
          <a:round/>
          <a:headEnd/>
          <a:tailEnd/>
        </a:ln>
      </xdr:spPr>
    </xdr:sp>
    <xdr:clientData/>
  </xdr:twoCellAnchor>
  <xdr:twoCellAnchor>
    <xdr:from>
      <xdr:col>13</xdr:col>
      <xdr:colOff>293561</xdr:colOff>
      <xdr:row>56</xdr:row>
      <xdr:rowOff>94771</xdr:rowOff>
    </xdr:from>
    <xdr:to>
      <xdr:col>13</xdr:col>
      <xdr:colOff>474536</xdr:colOff>
      <xdr:row>56</xdr:row>
      <xdr:rowOff>199546</xdr:rowOff>
    </xdr:to>
    <xdr:sp macro="" textlink="">
      <xdr:nvSpPr>
        <xdr:cNvPr id="47" name="AutoShape 9">
          <a:extLst>
            <a:ext uri="{FF2B5EF4-FFF2-40B4-BE49-F238E27FC236}">
              <a16:creationId xmlns:a16="http://schemas.microsoft.com/office/drawing/2014/main" id="{57C474B1-CCAF-441B-9550-3788657E6B90}"/>
            </a:ext>
          </a:extLst>
        </xdr:cNvPr>
        <xdr:cNvSpPr>
          <a:spLocks noChangeArrowheads="1"/>
        </xdr:cNvSpPr>
      </xdr:nvSpPr>
      <xdr:spPr bwMode="auto">
        <a:xfrm>
          <a:off x="17251290" y="14521110"/>
          <a:ext cx="180975" cy="104775"/>
        </a:xfrm>
        <a:prstGeom prst="rightArrow">
          <a:avLst>
            <a:gd name="adj1" fmla="val 50000"/>
            <a:gd name="adj2" fmla="val 43182"/>
          </a:avLst>
        </a:prstGeom>
        <a:solidFill>
          <a:srgbClr val="FFFFFF"/>
        </a:solidFill>
        <a:ln w="9525">
          <a:solidFill>
            <a:srgbClr val="000000"/>
          </a:solidFill>
          <a:miter lim="800000"/>
          <a:headEnd/>
          <a:tailEnd/>
        </a:ln>
      </xdr:spPr>
    </xdr:sp>
    <xdr:clientData/>
  </xdr:twoCellAnchor>
  <xdr:twoCellAnchor>
    <xdr:from>
      <xdr:col>14</xdr:col>
      <xdr:colOff>239281</xdr:colOff>
      <xdr:row>56</xdr:row>
      <xdr:rowOff>78714</xdr:rowOff>
    </xdr:from>
    <xdr:to>
      <xdr:col>14</xdr:col>
      <xdr:colOff>382156</xdr:colOff>
      <xdr:row>56</xdr:row>
      <xdr:rowOff>208474</xdr:rowOff>
    </xdr:to>
    <xdr:sp macro="" textlink="">
      <xdr:nvSpPr>
        <xdr:cNvPr id="71" name="Rectangle 4">
          <a:extLst>
            <a:ext uri="{FF2B5EF4-FFF2-40B4-BE49-F238E27FC236}">
              <a16:creationId xmlns:a16="http://schemas.microsoft.com/office/drawing/2014/main" id="{B18954D4-2932-4FB0-A529-0342BC6B1D7F}"/>
            </a:ext>
          </a:extLst>
        </xdr:cNvPr>
        <xdr:cNvSpPr>
          <a:spLocks noChangeArrowheads="1"/>
        </xdr:cNvSpPr>
      </xdr:nvSpPr>
      <xdr:spPr bwMode="auto">
        <a:xfrm>
          <a:off x="18075247" y="14505053"/>
          <a:ext cx="142875" cy="129760"/>
        </a:xfrm>
        <a:prstGeom prst="rect">
          <a:avLst/>
        </a:prstGeom>
        <a:solidFill>
          <a:schemeClr val="tx1"/>
        </a:solidFill>
        <a:ln w="9525">
          <a:solidFill>
            <a:srgbClr val="000000"/>
          </a:solidFill>
          <a:miter lim="800000"/>
          <a:headEnd/>
          <a:tailEnd/>
        </a:ln>
      </xdr:spPr>
    </xdr:sp>
    <xdr:clientData/>
  </xdr:twoCellAnchor>
  <xdr:twoCellAnchor>
    <xdr:from>
      <xdr:col>15</xdr:col>
      <xdr:colOff>265460</xdr:colOff>
      <xdr:row>56</xdr:row>
      <xdr:rowOff>84472</xdr:rowOff>
    </xdr:from>
    <xdr:to>
      <xdr:col>15</xdr:col>
      <xdr:colOff>398810</xdr:colOff>
      <xdr:row>56</xdr:row>
      <xdr:rowOff>208297</xdr:rowOff>
    </xdr:to>
    <xdr:sp macro="" textlink="">
      <xdr:nvSpPr>
        <xdr:cNvPr id="73" name="AutoShape 6">
          <a:extLst>
            <a:ext uri="{FF2B5EF4-FFF2-40B4-BE49-F238E27FC236}">
              <a16:creationId xmlns:a16="http://schemas.microsoft.com/office/drawing/2014/main" id="{1EE18AC7-D948-4917-AB22-2BC63FD526BD}"/>
            </a:ext>
          </a:extLst>
        </xdr:cNvPr>
        <xdr:cNvSpPr>
          <a:spLocks noChangeArrowheads="1"/>
        </xdr:cNvSpPr>
      </xdr:nvSpPr>
      <xdr:spPr bwMode="auto">
        <a:xfrm>
          <a:off x="18798850" y="14510811"/>
          <a:ext cx="133350" cy="123825"/>
        </a:xfrm>
        <a:prstGeom prst="flowChartDelay">
          <a:avLst/>
        </a:prstGeom>
        <a:solidFill>
          <a:srgbClr val="FFFFFF"/>
        </a:solidFill>
        <a:ln w="9525">
          <a:solidFill>
            <a:srgbClr val="000000"/>
          </a:solidFill>
          <a:miter lim="800000"/>
          <a:headEnd/>
          <a:tailEnd/>
        </a:ln>
      </xdr:spPr>
    </xdr:sp>
    <xdr:clientData/>
  </xdr:twoCellAnchor>
  <xdr:twoCellAnchor>
    <xdr:from>
      <xdr:col>16</xdr:col>
      <xdr:colOff>160218</xdr:colOff>
      <xdr:row>56</xdr:row>
      <xdr:rowOff>87092</xdr:rowOff>
    </xdr:from>
    <xdr:to>
      <xdr:col>16</xdr:col>
      <xdr:colOff>303093</xdr:colOff>
      <xdr:row>56</xdr:row>
      <xdr:rowOff>191867</xdr:rowOff>
    </xdr:to>
    <xdr:sp macro="" textlink="">
      <xdr:nvSpPr>
        <xdr:cNvPr id="81" name="AutoShape 5">
          <a:extLst>
            <a:ext uri="{FF2B5EF4-FFF2-40B4-BE49-F238E27FC236}">
              <a16:creationId xmlns:a16="http://schemas.microsoft.com/office/drawing/2014/main" id="{D8717A8C-C56D-4316-8204-444B9D82C8F5}"/>
            </a:ext>
          </a:extLst>
        </xdr:cNvPr>
        <xdr:cNvSpPr>
          <a:spLocks noChangeArrowheads="1"/>
        </xdr:cNvSpPr>
      </xdr:nvSpPr>
      <xdr:spPr bwMode="auto">
        <a:xfrm flipV="1">
          <a:off x="19378116" y="14513431"/>
          <a:ext cx="142875" cy="10477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434352</xdr:colOff>
      <xdr:row>56</xdr:row>
      <xdr:rowOff>143594</xdr:rowOff>
    </xdr:from>
    <xdr:to>
      <xdr:col>14</xdr:col>
      <xdr:colOff>239281</xdr:colOff>
      <xdr:row>57</xdr:row>
      <xdr:rowOff>72081</xdr:rowOff>
    </xdr:to>
    <xdr:cxnSp macro="">
      <xdr:nvCxnSpPr>
        <xdr:cNvPr id="202" name="Straight Connector 201">
          <a:extLst>
            <a:ext uri="{FF2B5EF4-FFF2-40B4-BE49-F238E27FC236}">
              <a16:creationId xmlns:a16="http://schemas.microsoft.com/office/drawing/2014/main" id="{3F404970-06CF-4800-96DE-043AAFDE503A}"/>
            </a:ext>
          </a:extLst>
        </xdr:cNvPr>
        <xdr:cNvCxnSpPr>
          <a:stCxn id="95" idx="0"/>
          <a:endCxn id="71" idx="1"/>
        </xdr:cNvCxnSpPr>
      </xdr:nvCxnSpPr>
      <xdr:spPr>
        <a:xfrm flipV="1">
          <a:off x="17392081" y="14569933"/>
          <a:ext cx="683166" cy="21262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25</xdr:col>
      <xdr:colOff>77492</xdr:colOff>
      <xdr:row>7</xdr:row>
      <xdr:rowOff>193730</xdr:rowOff>
    </xdr:from>
    <xdr:to>
      <xdr:col>33</xdr:col>
      <xdr:colOff>513717</xdr:colOff>
      <xdr:row>42</xdr:row>
      <xdr:rowOff>0</xdr:rowOff>
    </xdr:to>
    <xdr:pic>
      <xdr:nvPicPr>
        <xdr:cNvPr id="3" name="Picture 2">
          <a:extLst>
            <a:ext uri="{FF2B5EF4-FFF2-40B4-BE49-F238E27FC236}">
              <a16:creationId xmlns:a16="http://schemas.microsoft.com/office/drawing/2014/main" id="{6BAC0077-9949-4045-0B08-C774005C97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188475" y="2092272"/>
          <a:ext cx="5292361" cy="8976101"/>
        </a:xfrm>
        <a:prstGeom prst="rect">
          <a:avLst/>
        </a:prstGeom>
      </xdr:spPr>
    </xdr:pic>
    <xdr:clientData/>
  </xdr:twoCellAnchor>
  <xdr:twoCellAnchor editAs="oneCell">
    <xdr:from>
      <xdr:col>25</xdr:col>
      <xdr:colOff>449035</xdr:colOff>
      <xdr:row>7</xdr:row>
      <xdr:rowOff>1</xdr:rowOff>
    </xdr:from>
    <xdr:to>
      <xdr:col>33</xdr:col>
      <xdr:colOff>217714</xdr:colOff>
      <xdr:row>42</xdr:row>
      <xdr:rowOff>9308</xdr:rowOff>
    </xdr:to>
    <xdr:pic>
      <xdr:nvPicPr>
        <xdr:cNvPr id="2" name="Picture 1">
          <a:extLst>
            <a:ext uri="{FF2B5EF4-FFF2-40B4-BE49-F238E27FC236}">
              <a16:creationId xmlns:a16="http://schemas.microsoft.com/office/drawing/2014/main" id="{2BB95345-6439-F577-2ADA-CB4D8E2E07D7}"/>
            </a:ext>
          </a:extLst>
        </xdr:cNvPr>
        <xdr:cNvPicPr>
          <a:picLocks noChangeAspect="1"/>
        </xdr:cNvPicPr>
      </xdr:nvPicPr>
      <xdr:blipFill rotWithShape="1">
        <a:blip xmlns:r="http://schemas.openxmlformats.org/officeDocument/2006/relationships" r:embed="rId2"/>
        <a:srcRect l="14244" r="10493"/>
        <a:stretch>
          <a:fillRect/>
        </a:stretch>
      </xdr:blipFill>
      <xdr:spPr>
        <a:xfrm>
          <a:off x="28915178" y="1945822"/>
          <a:ext cx="4667250" cy="9647249"/>
        </a:xfrm>
        <a:prstGeom prst="rect">
          <a:avLst/>
        </a:prstGeom>
      </xdr:spPr>
    </xdr:pic>
    <xdr:clientData/>
  </xdr:twoCellAnchor>
  <xdr:twoCellAnchor editAs="oneCell">
    <xdr:from>
      <xdr:col>9</xdr:col>
      <xdr:colOff>658586</xdr:colOff>
      <xdr:row>96</xdr:row>
      <xdr:rowOff>84364</xdr:rowOff>
    </xdr:from>
    <xdr:to>
      <xdr:col>34</xdr:col>
      <xdr:colOff>990</xdr:colOff>
      <xdr:row>153</xdr:row>
      <xdr:rowOff>84364</xdr:rowOff>
    </xdr:to>
    <xdr:pic>
      <xdr:nvPicPr>
        <xdr:cNvPr id="105" name="Picture 104">
          <a:extLst>
            <a:ext uri="{FF2B5EF4-FFF2-40B4-BE49-F238E27FC236}">
              <a16:creationId xmlns:a16="http://schemas.microsoft.com/office/drawing/2014/main" id="{2200BB44-C48D-43C9-BD2A-148E3351B261}"/>
            </a:ext>
          </a:extLst>
        </xdr:cNvPr>
        <xdr:cNvPicPr>
          <a:picLocks noChangeAspect="1"/>
        </xdr:cNvPicPr>
      </xdr:nvPicPr>
      <xdr:blipFill rotWithShape="1">
        <a:blip xmlns:r="http://schemas.openxmlformats.org/officeDocument/2006/relationships" r:embed="rId3"/>
        <a:srcRect l="1220" t="5366" r="1139"/>
        <a:stretch>
          <a:fillRect/>
        </a:stretch>
      </xdr:blipFill>
      <xdr:spPr>
        <a:xfrm>
          <a:off x="10812238" y="24049264"/>
          <a:ext cx="25459952" cy="10858500"/>
        </a:xfrm>
        <a:prstGeom prst="rect">
          <a:avLst/>
        </a:prstGeom>
      </xdr:spPr>
    </xdr:pic>
    <xdr:clientData/>
  </xdr:twoCellAnchor>
  <xdr:twoCellAnchor editAs="oneCell">
    <xdr:from>
      <xdr:col>24</xdr:col>
      <xdr:colOff>479812</xdr:colOff>
      <xdr:row>44</xdr:row>
      <xdr:rowOff>133232</xdr:rowOff>
    </xdr:from>
    <xdr:to>
      <xdr:col>33</xdr:col>
      <xdr:colOff>552448</xdr:colOff>
      <xdr:row>91</xdr:row>
      <xdr:rowOff>92889</xdr:rowOff>
    </xdr:to>
    <xdr:pic>
      <xdr:nvPicPr>
        <xdr:cNvPr id="204" name="Picture 45">
          <a:extLst>
            <a:ext uri="{FF2B5EF4-FFF2-40B4-BE49-F238E27FC236}">
              <a16:creationId xmlns:a16="http://schemas.microsoft.com/office/drawing/2014/main" id="{F04858CB-505E-4936-BE85-391896E7C546}"/>
            </a:ext>
          </a:extLst>
        </xdr:cNvPr>
        <xdr:cNvPicPr>
          <a:picLocks noChangeAspect="1"/>
        </xdr:cNvPicPr>
      </xdr:nvPicPr>
      <xdr:blipFill>
        <a:blip xmlns:r="http://schemas.openxmlformats.org/officeDocument/2006/relationships" r:embed="rId4"/>
        <a:stretch>
          <a:fillRect/>
        </a:stretch>
      </xdr:blipFill>
      <xdr:spPr>
        <a:xfrm>
          <a:off x="30293064" y="11639432"/>
          <a:ext cx="5559036" cy="1168810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13</xdr:col>
      <xdr:colOff>269506</xdr:colOff>
      <xdr:row>16</xdr:row>
      <xdr:rowOff>18460</xdr:rowOff>
    </xdr:from>
    <xdr:ext cx="232587" cy="293077"/>
    <xdr:pic>
      <xdr:nvPicPr>
        <xdr:cNvPr id="16" name="Billede 1">
          <a:extLst>
            <a:ext uri="{FF2B5EF4-FFF2-40B4-BE49-F238E27FC236}">
              <a16:creationId xmlns:a16="http://schemas.microsoft.com/office/drawing/2014/main" id="{E5CEE5E5-40AF-FCDF-57F5-B5D76DAC2480}"/>
            </a:ext>
          </a:extLst>
        </xdr:cNvPr>
        <xdr:cNvPicPr>
          <a:picLocks noChangeAspect="1"/>
        </xdr:cNvPicPr>
      </xdr:nvPicPr>
      <xdr:blipFill>
        <a:blip xmlns:r="http://schemas.openxmlformats.org/officeDocument/2006/relationships" r:embed="rId1"/>
        <a:stretch>
          <a:fillRect/>
        </a:stretch>
      </xdr:blipFill>
      <xdr:spPr>
        <a:xfrm>
          <a:off x="20692878" y="3403896"/>
          <a:ext cx="232587" cy="292026"/>
        </a:xfrm>
        <a:prstGeom prst="rect">
          <a:avLst/>
        </a:prstGeom>
      </xdr:spPr>
    </xdr:pic>
    <xdr:clientData/>
  </xdr:oneCellAnchor>
  <xdr:oneCellAnchor>
    <xdr:from>
      <xdr:col>13</xdr:col>
      <xdr:colOff>284273</xdr:colOff>
      <xdr:row>29</xdr:row>
      <xdr:rowOff>3692</xdr:rowOff>
    </xdr:from>
    <xdr:ext cx="232587" cy="293077"/>
    <xdr:pic>
      <xdr:nvPicPr>
        <xdr:cNvPr id="17" name="Billede 2">
          <a:extLst>
            <a:ext uri="{FF2B5EF4-FFF2-40B4-BE49-F238E27FC236}">
              <a16:creationId xmlns:a16="http://schemas.microsoft.com/office/drawing/2014/main" id="{02A652A2-26D3-4E4A-9ED1-ACA0CAC920E8}"/>
            </a:ext>
          </a:extLst>
        </xdr:cNvPr>
        <xdr:cNvPicPr>
          <a:picLocks noChangeAspect="1"/>
        </xdr:cNvPicPr>
      </xdr:nvPicPr>
      <xdr:blipFill>
        <a:blip xmlns:r="http://schemas.openxmlformats.org/officeDocument/2006/relationships" r:embed="rId1"/>
        <a:stretch>
          <a:fillRect/>
        </a:stretch>
      </xdr:blipFill>
      <xdr:spPr>
        <a:xfrm>
          <a:off x="20707645" y="5829448"/>
          <a:ext cx="232587" cy="292026"/>
        </a:xfrm>
        <a:prstGeom prst="rect">
          <a:avLst/>
        </a:prstGeom>
      </xdr:spPr>
    </xdr:pic>
    <xdr:clientData/>
  </xdr:oneCellAnchor>
  <xdr:twoCellAnchor editAs="oneCell">
    <xdr:from>
      <xdr:col>13</xdr:col>
      <xdr:colOff>188615</xdr:colOff>
      <xdr:row>42</xdr:row>
      <xdr:rowOff>14768</xdr:rowOff>
    </xdr:from>
    <xdr:to>
      <xdr:col>13</xdr:col>
      <xdr:colOff>421202</xdr:colOff>
      <xdr:row>43</xdr:row>
      <xdr:rowOff>126870</xdr:rowOff>
    </xdr:to>
    <xdr:pic>
      <xdr:nvPicPr>
        <xdr:cNvPr id="11" name="Billede 3">
          <a:extLst>
            <a:ext uri="{FF2B5EF4-FFF2-40B4-BE49-F238E27FC236}">
              <a16:creationId xmlns:a16="http://schemas.microsoft.com/office/drawing/2014/main" id="{5636FA07-696A-4029-8BC3-ED25D4E1475A}"/>
            </a:ext>
          </a:extLst>
        </xdr:cNvPr>
        <xdr:cNvPicPr>
          <a:picLocks noChangeAspect="1"/>
        </xdr:cNvPicPr>
      </xdr:nvPicPr>
      <xdr:blipFill>
        <a:blip xmlns:r="http://schemas.openxmlformats.org/officeDocument/2006/relationships" r:embed="rId1"/>
        <a:stretch>
          <a:fillRect/>
        </a:stretch>
      </xdr:blipFill>
      <xdr:spPr>
        <a:xfrm>
          <a:off x="19803546" y="8515009"/>
          <a:ext cx="232587" cy="293077"/>
        </a:xfrm>
        <a:prstGeom prst="rect">
          <a:avLst/>
        </a:prstGeom>
      </xdr:spPr>
    </xdr:pic>
    <xdr:clientData/>
  </xdr:twoCellAnchor>
  <xdr:twoCellAnchor editAs="oneCell">
    <xdr:from>
      <xdr:col>13</xdr:col>
      <xdr:colOff>259628</xdr:colOff>
      <xdr:row>55</xdr:row>
      <xdr:rowOff>14768</xdr:rowOff>
    </xdr:from>
    <xdr:to>
      <xdr:col>13</xdr:col>
      <xdr:colOff>492215</xdr:colOff>
      <xdr:row>56</xdr:row>
      <xdr:rowOff>126870</xdr:rowOff>
    </xdr:to>
    <xdr:pic>
      <xdr:nvPicPr>
        <xdr:cNvPr id="13" name="Billede 4">
          <a:extLst>
            <a:ext uri="{FF2B5EF4-FFF2-40B4-BE49-F238E27FC236}">
              <a16:creationId xmlns:a16="http://schemas.microsoft.com/office/drawing/2014/main" id="{B54C5A43-900D-4B04-A7E8-07F1ED88B68D}"/>
            </a:ext>
          </a:extLst>
        </xdr:cNvPr>
        <xdr:cNvPicPr>
          <a:picLocks noChangeAspect="1"/>
        </xdr:cNvPicPr>
      </xdr:nvPicPr>
      <xdr:blipFill>
        <a:blip xmlns:r="http://schemas.openxmlformats.org/officeDocument/2006/relationships" r:embed="rId1"/>
        <a:stretch>
          <a:fillRect/>
        </a:stretch>
      </xdr:blipFill>
      <xdr:spPr>
        <a:xfrm>
          <a:off x="19874559" y="11037492"/>
          <a:ext cx="232587" cy="293077"/>
        </a:xfrm>
        <a:prstGeom prst="rect">
          <a:avLst/>
        </a:prstGeom>
      </xdr:spPr>
    </xdr:pic>
    <xdr:clientData/>
  </xdr:twoCellAnchor>
  <xdr:twoCellAnchor editAs="oneCell">
    <xdr:from>
      <xdr:col>13</xdr:col>
      <xdr:colOff>133671</xdr:colOff>
      <xdr:row>68</xdr:row>
      <xdr:rowOff>18458</xdr:rowOff>
    </xdr:from>
    <xdr:to>
      <xdr:col>13</xdr:col>
      <xdr:colOff>366258</xdr:colOff>
      <xdr:row>69</xdr:row>
      <xdr:rowOff>130560</xdr:rowOff>
    </xdr:to>
    <xdr:pic>
      <xdr:nvPicPr>
        <xdr:cNvPr id="15" name="Billede 5">
          <a:extLst>
            <a:ext uri="{FF2B5EF4-FFF2-40B4-BE49-F238E27FC236}">
              <a16:creationId xmlns:a16="http://schemas.microsoft.com/office/drawing/2014/main" id="{DE80F99F-35DE-449B-90F4-17EFBDF287D0}"/>
            </a:ext>
          </a:extLst>
        </xdr:cNvPr>
        <xdr:cNvPicPr>
          <a:picLocks noChangeAspect="1"/>
        </xdr:cNvPicPr>
      </xdr:nvPicPr>
      <xdr:blipFill>
        <a:blip xmlns:r="http://schemas.openxmlformats.org/officeDocument/2006/relationships" r:embed="rId1"/>
        <a:stretch>
          <a:fillRect/>
        </a:stretch>
      </xdr:blipFill>
      <xdr:spPr>
        <a:xfrm>
          <a:off x="19748602" y="13563665"/>
          <a:ext cx="232587" cy="293077"/>
        </a:xfrm>
        <a:prstGeom prst="rect">
          <a:avLst/>
        </a:prstGeom>
      </xdr:spPr>
    </xdr:pic>
    <xdr:clientData/>
  </xdr:twoCellAnchor>
  <xdr:twoCellAnchor editAs="oneCell">
    <xdr:from>
      <xdr:col>13</xdr:col>
      <xdr:colOff>151367</xdr:colOff>
      <xdr:row>94</xdr:row>
      <xdr:rowOff>18460</xdr:rowOff>
    </xdr:from>
    <xdr:to>
      <xdr:col>13</xdr:col>
      <xdr:colOff>383954</xdr:colOff>
      <xdr:row>95</xdr:row>
      <xdr:rowOff>129584</xdr:rowOff>
    </xdr:to>
    <xdr:pic>
      <xdr:nvPicPr>
        <xdr:cNvPr id="7" name="Billede 6">
          <a:extLst>
            <a:ext uri="{FF2B5EF4-FFF2-40B4-BE49-F238E27FC236}">
              <a16:creationId xmlns:a16="http://schemas.microsoft.com/office/drawing/2014/main" id="{3CEF6C36-02F0-401F-BFB0-427C9320C30B}"/>
            </a:ext>
          </a:extLst>
        </xdr:cNvPr>
        <xdr:cNvPicPr>
          <a:picLocks noChangeAspect="1"/>
        </xdr:cNvPicPr>
      </xdr:nvPicPr>
      <xdr:blipFill>
        <a:blip xmlns:r="http://schemas.openxmlformats.org/officeDocument/2006/relationships" r:embed="rId1"/>
        <a:stretch>
          <a:fillRect/>
        </a:stretch>
      </xdr:blipFill>
      <xdr:spPr>
        <a:xfrm>
          <a:off x="20574739" y="18005204"/>
          <a:ext cx="232587" cy="292026"/>
        </a:xfrm>
        <a:prstGeom prst="rect">
          <a:avLst/>
        </a:prstGeom>
      </xdr:spPr>
    </xdr:pic>
    <xdr:clientData/>
  </xdr:twoCellAnchor>
  <xdr:twoCellAnchor editAs="oneCell">
    <xdr:from>
      <xdr:col>13</xdr:col>
      <xdr:colOff>248654</xdr:colOff>
      <xdr:row>107</xdr:row>
      <xdr:rowOff>14767</xdr:rowOff>
    </xdr:from>
    <xdr:to>
      <xdr:col>13</xdr:col>
      <xdr:colOff>481241</xdr:colOff>
      <xdr:row>108</xdr:row>
      <xdr:rowOff>126869</xdr:rowOff>
    </xdr:to>
    <xdr:pic>
      <xdr:nvPicPr>
        <xdr:cNvPr id="18" name="Billede 7">
          <a:extLst>
            <a:ext uri="{FF2B5EF4-FFF2-40B4-BE49-F238E27FC236}">
              <a16:creationId xmlns:a16="http://schemas.microsoft.com/office/drawing/2014/main" id="{6AD474DC-0896-4BFD-B9EB-8E6A98818926}"/>
            </a:ext>
          </a:extLst>
        </xdr:cNvPr>
        <xdr:cNvPicPr>
          <a:picLocks noChangeAspect="1"/>
        </xdr:cNvPicPr>
      </xdr:nvPicPr>
      <xdr:blipFill>
        <a:blip xmlns:r="http://schemas.openxmlformats.org/officeDocument/2006/relationships" r:embed="rId1"/>
        <a:stretch>
          <a:fillRect/>
        </a:stretch>
      </xdr:blipFill>
      <xdr:spPr>
        <a:xfrm>
          <a:off x="20100068" y="21088008"/>
          <a:ext cx="232587" cy="293077"/>
        </a:xfrm>
        <a:prstGeom prst="rect">
          <a:avLst/>
        </a:prstGeom>
      </xdr:spPr>
    </xdr:pic>
    <xdr:clientData/>
  </xdr:twoCellAnchor>
  <xdr:twoCellAnchor editAs="oneCell">
    <xdr:from>
      <xdr:col>13</xdr:col>
      <xdr:colOff>256470</xdr:colOff>
      <xdr:row>119</xdr:row>
      <xdr:rowOff>172421</xdr:rowOff>
    </xdr:from>
    <xdr:to>
      <xdr:col>13</xdr:col>
      <xdr:colOff>489057</xdr:colOff>
      <xdr:row>121</xdr:row>
      <xdr:rowOff>103548</xdr:rowOff>
    </xdr:to>
    <xdr:pic>
      <xdr:nvPicPr>
        <xdr:cNvPr id="21" name="Billede 8">
          <a:extLst>
            <a:ext uri="{FF2B5EF4-FFF2-40B4-BE49-F238E27FC236}">
              <a16:creationId xmlns:a16="http://schemas.microsoft.com/office/drawing/2014/main" id="{5A2A87FC-3FE6-4F0C-B556-C3DE9D317EB2}"/>
            </a:ext>
          </a:extLst>
        </xdr:cNvPr>
        <xdr:cNvPicPr>
          <a:picLocks noChangeAspect="1"/>
        </xdr:cNvPicPr>
      </xdr:nvPicPr>
      <xdr:blipFill>
        <a:blip xmlns:r="http://schemas.openxmlformats.org/officeDocument/2006/relationships" r:embed="rId1"/>
        <a:stretch>
          <a:fillRect/>
        </a:stretch>
      </xdr:blipFill>
      <xdr:spPr>
        <a:xfrm>
          <a:off x="20107884" y="23544800"/>
          <a:ext cx="232587" cy="293077"/>
        </a:xfrm>
        <a:prstGeom prst="rect">
          <a:avLst/>
        </a:prstGeom>
      </xdr:spPr>
    </xdr:pic>
    <xdr:clientData/>
  </xdr:twoCellAnchor>
  <xdr:twoCellAnchor editAs="oneCell">
    <xdr:from>
      <xdr:col>13</xdr:col>
      <xdr:colOff>368957</xdr:colOff>
      <xdr:row>133</xdr:row>
      <xdr:rowOff>40177</xdr:rowOff>
    </xdr:from>
    <xdr:to>
      <xdr:col>13</xdr:col>
      <xdr:colOff>601544</xdr:colOff>
      <xdr:row>134</xdr:row>
      <xdr:rowOff>95097</xdr:rowOff>
    </xdr:to>
    <xdr:pic>
      <xdr:nvPicPr>
        <xdr:cNvPr id="20" name="Billede 9">
          <a:extLst>
            <a:ext uri="{FF2B5EF4-FFF2-40B4-BE49-F238E27FC236}">
              <a16:creationId xmlns:a16="http://schemas.microsoft.com/office/drawing/2014/main" id="{92869F40-FAC6-402D-97BE-69A5270A06F7}"/>
            </a:ext>
          </a:extLst>
        </xdr:cNvPr>
        <xdr:cNvPicPr>
          <a:picLocks noChangeAspect="1"/>
        </xdr:cNvPicPr>
      </xdr:nvPicPr>
      <xdr:blipFill>
        <a:blip xmlns:r="http://schemas.openxmlformats.org/officeDocument/2006/relationships" r:embed="rId1"/>
        <a:stretch>
          <a:fillRect/>
        </a:stretch>
      </xdr:blipFill>
      <xdr:spPr>
        <a:xfrm>
          <a:off x="20220371" y="26329177"/>
          <a:ext cx="232587" cy="297807"/>
        </a:xfrm>
        <a:prstGeom prst="rect">
          <a:avLst/>
        </a:prstGeom>
      </xdr:spPr>
    </xdr:pic>
    <xdr:clientData/>
  </xdr:twoCellAnchor>
  <xdr:twoCellAnchor editAs="oneCell">
    <xdr:from>
      <xdr:col>13</xdr:col>
      <xdr:colOff>166134</xdr:colOff>
      <xdr:row>81</xdr:row>
      <xdr:rowOff>11076</xdr:rowOff>
    </xdr:from>
    <xdr:to>
      <xdr:col>13</xdr:col>
      <xdr:colOff>398721</xdr:colOff>
      <xdr:row>82</xdr:row>
      <xdr:rowOff>122201</xdr:rowOff>
    </xdr:to>
    <xdr:pic>
      <xdr:nvPicPr>
        <xdr:cNvPr id="12" name="Billede 11">
          <a:extLst>
            <a:ext uri="{FF2B5EF4-FFF2-40B4-BE49-F238E27FC236}">
              <a16:creationId xmlns:a16="http://schemas.microsoft.com/office/drawing/2014/main" id="{321EAFE9-6788-46AC-81EA-B2E4E4CC3606}"/>
            </a:ext>
          </a:extLst>
        </xdr:cNvPr>
        <xdr:cNvPicPr>
          <a:picLocks noChangeAspect="1"/>
        </xdr:cNvPicPr>
      </xdr:nvPicPr>
      <xdr:blipFill>
        <a:blip xmlns:r="http://schemas.openxmlformats.org/officeDocument/2006/relationships" r:embed="rId1"/>
        <a:stretch>
          <a:fillRect/>
        </a:stretch>
      </xdr:blipFill>
      <xdr:spPr>
        <a:xfrm>
          <a:off x="20589506" y="15557501"/>
          <a:ext cx="232587" cy="292026"/>
        </a:xfrm>
        <a:prstGeom prst="rect">
          <a:avLst/>
        </a:prstGeom>
      </xdr:spPr>
    </xdr:pic>
    <xdr:clientData/>
  </xdr:twoCellAnchor>
  <xdr:twoCellAnchor editAs="oneCell">
    <xdr:from>
      <xdr:col>0</xdr:col>
      <xdr:colOff>1657684</xdr:colOff>
      <xdr:row>156</xdr:row>
      <xdr:rowOff>66842</xdr:rowOff>
    </xdr:from>
    <xdr:to>
      <xdr:col>5</xdr:col>
      <xdr:colOff>380328</xdr:colOff>
      <xdr:row>176</xdr:row>
      <xdr:rowOff>153737</xdr:rowOff>
    </xdr:to>
    <xdr:pic>
      <xdr:nvPicPr>
        <xdr:cNvPr id="5" name="Picture 2">
          <a:extLst>
            <a:ext uri="{FF2B5EF4-FFF2-40B4-BE49-F238E27FC236}">
              <a16:creationId xmlns:a16="http://schemas.microsoft.com/office/drawing/2014/main" id="{189ED44B-B63B-8ADD-9EEF-0767995399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7684" y="31188526"/>
          <a:ext cx="6672844" cy="37698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589439</xdr:colOff>
      <xdr:row>3</xdr:row>
      <xdr:rowOff>96352</xdr:rowOff>
    </xdr:from>
    <xdr:to>
      <xdr:col>25</xdr:col>
      <xdr:colOff>233076</xdr:colOff>
      <xdr:row>29</xdr:row>
      <xdr:rowOff>161673</xdr:rowOff>
    </xdr:to>
    <xdr:pic>
      <xdr:nvPicPr>
        <xdr:cNvPr id="93" name="Picture 1">
          <a:extLst>
            <a:ext uri="{FF2B5EF4-FFF2-40B4-BE49-F238E27FC236}">
              <a16:creationId xmlns:a16="http://schemas.microsoft.com/office/drawing/2014/main" id="{30238389-2B31-3355-35BA-D56E97860D9E}"/>
            </a:ext>
          </a:extLst>
        </xdr:cNvPr>
        <xdr:cNvPicPr>
          <a:picLocks noChangeAspect="1"/>
        </xdr:cNvPicPr>
      </xdr:nvPicPr>
      <xdr:blipFill>
        <a:blip xmlns:r="http://schemas.openxmlformats.org/officeDocument/2006/relationships" r:embed="rId1"/>
        <a:stretch>
          <a:fillRect/>
        </a:stretch>
      </xdr:blipFill>
      <xdr:spPr>
        <a:xfrm>
          <a:off x="11066939" y="651980"/>
          <a:ext cx="8787637" cy="5658401"/>
        </a:xfrm>
        <a:prstGeom prst="rect">
          <a:avLst/>
        </a:prstGeom>
      </xdr:spPr>
    </xdr:pic>
    <xdr:clientData/>
  </xdr:twoCellAnchor>
  <xdr:twoCellAnchor editAs="oneCell">
    <xdr:from>
      <xdr:col>25</xdr:col>
      <xdr:colOff>35468</xdr:colOff>
      <xdr:row>3</xdr:row>
      <xdr:rowOff>88962</xdr:rowOff>
    </xdr:from>
    <xdr:to>
      <xdr:col>39</xdr:col>
      <xdr:colOff>237990</xdr:colOff>
      <xdr:row>29</xdr:row>
      <xdr:rowOff>165411</xdr:rowOff>
    </xdr:to>
    <xdr:pic>
      <xdr:nvPicPr>
        <xdr:cNvPr id="94" name="Picture 2">
          <a:extLst>
            <a:ext uri="{FF2B5EF4-FFF2-40B4-BE49-F238E27FC236}">
              <a16:creationId xmlns:a16="http://schemas.microsoft.com/office/drawing/2014/main" id="{9C963D9C-416F-73C0-21EE-BF05EF72FB34}"/>
            </a:ext>
          </a:extLst>
        </xdr:cNvPr>
        <xdr:cNvPicPr>
          <a:picLocks noChangeAspect="1"/>
        </xdr:cNvPicPr>
      </xdr:nvPicPr>
      <xdr:blipFill>
        <a:blip xmlns:r="http://schemas.openxmlformats.org/officeDocument/2006/relationships" r:embed="rId2"/>
        <a:stretch>
          <a:fillRect/>
        </a:stretch>
      </xdr:blipFill>
      <xdr:spPr>
        <a:xfrm>
          <a:off x="20037968" y="644590"/>
          <a:ext cx="8736922" cy="5669529"/>
        </a:xfrm>
        <a:prstGeom prst="rect">
          <a:avLst/>
        </a:prstGeom>
      </xdr:spPr>
    </xdr:pic>
    <xdr:clientData/>
  </xdr:twoCellAnchor>
  <xdr:twoCellAnchor editAs="oneCell">
    <xdr:from>
      <xdr:col>23</xdr:col>
      <xdr:colOff>617016</xdr:colOff>
      <xdr:row>31</xdr:row>
      <xdr:rowOff>132682</xdr:rowOff>
    </xdr:from>
    <xdr:to>
      <xdr:col>39</xdr:col>
      <xdr:colOff>257815</xdr:colOff>
      <xdr:row>62</xdr:row>
      <xdr:rowOff>123079</xdr:rowOff>
    </xdr:to>
    <xdr:pic>
      <xdr:nvPicPr>
        <xdr:cNvPr id="110" name="Picture 3">
          <a:extLst>
            <a:ext uri="{FF2B5EF4-FFF2-40B4-BE49-F238E27FC236}">
              <a16:creationId xmlns:a16="http://schemas.microsoft.com/office/drawing/2014/main" id="{2EA1229B-9BEC-F137-227D-5D66E10B860C}"/>
            </a:ext>
          </a:extLst>
        </xdr:cNvPr>
        <xdr:cNvPicPr>
          <a:picLocks noChangeAspect="1"/>
        </xdr:cNvPicPr>
      </xdr:nvPicPr>
      <xdr:blipFill>
        <a:blip xmlns:r="http://schemas.openxmlformats.org/officeDocument/2006/relationships" r:embed="rId3"/>
        <a:stretch>
          <a:fillRect/>
        </a:stretch>
      </xdr:blipFill>
      <xdr:spPr>
        <a:xfrm>
          <a:off x="19508266" y="6826643"/>
          <a:ext cx="9402019" cy="5659677"/>
        </a:xfrm>
        <a:prstGeom prst="rect">
          <a:avLst/>
        </a:prstGeom>
      </xdr:spPr>
    </xdr:pic>
    <xdr:clientData/>
  </xdr:twoCellAnchor>
  <xdr:twoCellAnchor editAs="oneCell">
    <xdr:from>
      <xdr:col>23</xdr:col>
      <xdr:colOff>591295</xdr:colOff>
      <xdr:row>63</xdr:row>
      <xdr:rowOff>160887</xdr:rowOff>
    </xdr:from>
    <xdr:to>
      <xdr:col>39</xdr:col>
      <xdr:colOff>302303</xdr:colOff>
      <xdr:row>95</xdr:row>
      <xdr:rowOff>622</xdr:rowOff>
    </xdr:to>
    <xdr:pic>
      <xdr:nvPicPr>
        <xdr:cNvPr id="111" name="Picture 4">
          <a:extLst>
            <a:ext uri="{FF2B5EF4-FFF2-40B4-BE49-F238E27FC236}">
              <a16:creationId xmlns:a16="http://schemas.microsoft.com/office/drawing/2014/main" id="{06A352E0-25D6-0165-4425-789766EC2749}"/>
            </a:ext>
          </a:extLst>
        </xdr:cNvPr>
        <xdr:cNvPicPr>
          <a:picLocks noChangeAspect="1"/>
        </xdr:cNvPicPr>
      </xdr:nvPicPr>
      <xdr:blipFill>
        <a:blip xmlns:r="http://schemas.openxmlformats.org/officeDocument/2006/relationships" r:embed="rId4"/>
        <a:stretch>
          <a:fillRect/>
        </a:stretch>
      </xdr:blipFill>
      <xdr:spPr>
        <a:xfrm>
          <a:off x="19482545" y="12781515"/>
          <a:ext cx="9464608" cy="5691895"/>
        </a:xfrm>
        <a:prstGeom prst="rect">
          <a:avLst/>
        </a:prstGeom>
      </xdr:spPr>
    </xdr:pic>
    <xdr:clientData/>
  </xdr:twoCellAnchor>
  <xdr:twoCellAnchor editAs="oneCell">
    <xdr:from>
      <xdr:col>24</xdr:col>
      <xdr:colOff>208891</xdr:colOff>
      <xdr:row>96</xdr:row>
      <xdr:rowOff>4662</xdr:rowOff>
    </xdr:from>
    <xdr:to>
      <xdr:col>39</xdr:col>
      <xdr:colOff>96697</xdr:colOff>
      <xdr:row>126</xdr:row>
      <xdr:rowOff>18784</xdr:rowOff>
    </xdr:to>
    <xdr:pic>
      <xdr:nvPicPr>
        <xdr:cNvPr id="112" name="Picture 5">
          <a:extLst>
            <a:ext uri="{FF2B5EF4-FFF2-40B4-BE49-F238E27FC236}">
              <a16:creationId xmlns:a16="http://schemas.microsoft.com/office/drawing/2014/main" id="{F47B3235-882E-1405-2E34-71A5201DBFD0}"/>
            </a:ext>
          </a:extLst>
        </xdr:cNvPr>
        <xdr:cNvPicPr>
          <a:picLocks noChangeAspect="1"/>
        </xdr:cNvPicPr>
      </xdr:nvPicPr>
      <xdr:blipFill>
        <a:blip xmlns:r="http://schemas.openxmlformats.org/officeDocument/2006/relationships" r:embed="rId5"/>
        <a:stretch>
          <a:fillRect/>
        </a:stretch>
      </xdr:blipFill>
      <xdr:spPr>
        <a:xfrm>
          <a:off x="19735141" y="18737162"/>
          <a:ext cx="9031806" cy="5500522"/>
        </a:xfrm>
        <a:prstGeom prst="rect">
          <a:avLst/>
        </a:prstGeom>
      </xdr:spPr>
    </xdr:pic>
    <xdr:clientData/>
  </xdr:twoCellAnchor>
  <xdr:twoCellAnchor editAs="oneCell">
    <xdr:from>
      <xdr:col>24</xdr:col>
      <xdr:colOff>191395</xdr:colOff>
      <xdr:row>127</xdr:row>
      <xdr:rowOff>91858</xdr:rowOff>
    </xdr:from>
    <xdr:to>
      <xdr:col>39</xdr:col>
      <xdr:colOff>115674</xdr:colOff>
      <xdr:row>157</xdr:row>
      <xdr:rowOff>87940</xdr:rowOff>
    </xdr:to>
    <xdr:pic>
      <xdr:nvPicPr>
        <xdr:cNvPr id="114" name="Picture 6">
          <a:extLst>
            <a:ext uri="{FF2B5EF4-FFF2-40B4-BE49-F238E27FC236}">
              <a16:creationId xmlns:a16="http://schemas.microsoft.com/office/drawing/2014/main" id="{697EF892-8AC8-C55E-1CA3-19DFB8A38F35}"/>
            </a:ext>
          </a:extLst>
        </xdr:cNvPr>
        <xdr:cNvPicPr>
          <a:picLocks noChangeAspect="1"/>
        </xdr:cNvPicPr>
      </xdr:nvPicPr>
      <xdr:blipFill>
        <a:blip xmlns:r="http://schemas.openxmlformats.org/officeDocument/2006/relationships" r:embed="rId6"/>
        <a:stretch>
          <a:fillRect/>
        </a:stretch>
      </xdr:blipFill>
      <xdr:spPr>
        <a:xfrm>
          <a:off x="19717645" y="24565819"/>
          <a:ext cx="9068279" cy="5482482"/>
        </a:xfrm>
        <a:prstGeom prst="rect">
          <a:avLst/>
        </a:prstGeom>
      </xdr:spPr>
    </xdr:pic>
    <xdr:clientData/>
  </xdr:twoCellAnchor>
  <xdr:twoCellAnchor editAs="oneCell">
    <xdr:from>
      <xdr:col>24</xdr:col>
      <xdr:colOff>250032</xdr:colOff>
      <xdr:row>160</xdr:row>
      <xdr:rowOff>88882</xdr:rowOff>
    </xdr:from>
    <xdr:to>
      <xdr:col>39</xdr:col>
      <xdr:colOff>431830</xdr:colOff>
      <xdr:row>189</xdr:row>
      <xdr:rowOff>90659</xdr:rowOff>
    </xdr:to>
    <xdr:pic>
      <xdr:nvPicPr>
        <xdr:cNvPr id="115" name="Picture 7">
          <a:extLst>
            <a:ext uri="{FF2B5EF4-FFF2-40B4-BE49-F238E27FC236}">
              <a16:creationId xmlns:a16="http://schemas.microsoft.com/office/drawing/2014/main" id="{52E1CC1B-CD97-2880-D796-E1307A7B2374}"/>
            </a:ext>
          </a:extLst>
        </xdr:cNvPr>
        <xdr:cNvPicPr>
          <a:picLocks noChangeAspect="1"/>
        </xdr:cNvPicPr>
      </xdr:nvPicPr>
      <xdr:blipFill>
        <a:blip xmlns:r="http://schemas.openxmlformats.org/officeDocument/2006/relationships" r:embed="rId7"/>
        <a:stretch>
          <a:fillRect/>
        </a:stretch>
      </xdr:blipFill>
      <xdr:spPr>
        <a:xfrm>
          <a:off x="20163238" y="29735445"/>
          <a:ext cx="9325798" cy="5305297"/>
        </a:xfrm>
        <a:prstGeom prst="rect">
          <a:avLst/>
        </a:prstGeom>
      </xdr:spPr>
    </xdr:pic>
    <xdr:clientData/>
  </xdr:twoCellAnchor>
  <xdr:twoCellAnchor editAs="oneCell">
    <xdr:from>
      <xdr:col>39</xdr:col>
      <xdr:colOff>88625</xdr:colOff>
      <xdr:row>3</xdr:row>
      <xdr:rowOff>105068</xdr:rowOff>
    </xdr:from>
    <xdr:to>
      <xdr:col>53</xdr:col>
      <xdr:colOff>578029</xdr:colOff>
      <xdr:row>29</xdr:row>
      <xdr:rowOff>155439</xdr:rowOff>
    </xdr:to>
    <xdr:pic>
      <xdr:nvPicPr>
        <xdr:cNvPr id="105" name="Picture 8">
          <a:extLst>
            <a:ext uri="{FF2B5EF4-FFF2-40B4-BE49-F238E27FC236}">
              <a16:creationId xmlns:a16="http://schemas.microsoft.com/office/drawing/2014/main" id="{F6608EA0-9A1A-206E-3F3C-59C061442466}"/>
            </a:ext>
          </a:extLst>
        </xdr:cNvPr>
        <xdr:cNvPicPr>
          <a:picLocks noChangeAspect="1"/>
        </xdr:cNvPicPr>
      </xdr:nvPicPr>
      <xdr:blipFill>
        <a:blip xmlns:r="http://schemas.openxmlformats.org/officeDocument/2006/relationships" r:embed="rId8"/>
        <a:stretch>
          <a:fillRect/>
        </a:stretch>
      </xdr:blipFill>
      <xdr:spPr>
        <a:xfrm>
          <a:off x="28981125" y="660696"/>
          <a:ext cx="9023804" cy="5643451"/>
        </a:xfrm>
        <a:prstGeom prst="rect">
          <a:avLst/>
        </a:prstGeom>
      </xdr:spPr>
    </xdr:pic>
    <xdr:clientData/>
  </xdr:twoCellAnchor>
  <xdr:twoCellAnchor editAs="oneCell">
    <xdr:from>
      <xdr:col>39</xdr:col>
      <xdr:colOff>79375</xdr:colOff>
      <xdr:row>63</xdr:row>
      <xdr:rowOff>164808</xdr:rowOff>
    </xdr:from>
    <xdr:to>
      <xdr:col>55</xdr:col>
      <xdr:colOff>34345</xdr:colOff>
      <xdr:row>95</xdr:row>
      <xdr:rowOff>4284</xdr:rowOff>
    </xdr:to>
    <xdr:pic>
      <xdr:nvPicPr>
        <xdr:cNvPr id="100" name="Picture 12">
          <a:extLst>
            <a:ext uri="{FF2B5EF4-FFF2-40B4-BE49-F238E27FC236}">
              <a16:creationId xmlns:a16="http://schemas.microsoft.com/office/drawing/2014/main" id="{F1E36379-71A3-B9AA-10B6-6C604DCCB8FA}"/>
            </a:ext>
          </a:extLst>
        </xdr:cNvPr>
        <xdr:cNvPicPr>
          <a:picLocks noChangeAspect="1"/>
        </xdr:cNvPicPr>
      </xdr:nvPicPr>
      <xdr:blipFill>
        <a:blip xmlns:r="http://schemas.openxmlformats.org/officeDocument/2006/relationships" r:embed="rId9"/>
        <a:stretch>
          <a:fillRect/>
        </a:stretch>
      </xdr:blipFill>
      <xdr:spPr>
        <a:xfrm>
          <a:off x="28971875" y="12785436"/>
          <a:ext cx="9708570" cy="5691636"/>
        </a:xfrm>
        <a:prstGeom prst="rect">
          <a:avLst/>
        </a:prstGeom>
      </xdr:spPr>
    </xdr:pic>
    <xdr:clientData/>
  </xdr:twoCellAnchor>
  <xdr:twoCellAnchor editAs="oneCell">
    <xdr:from>
      <xdr:col>54</xdr:col>
      <xdr:colOff>191698</xdr:colOff>
      <xdr:row>3</xdr:row>
      <xdr:rowOff>122136</xdr:rowOff>
    </xdr:from>
    <xdr:to>
      <xdr:col>69</xdr:col>
      <xdr:colOff>17304</xdr:colOff>
      <xdr:row>30</xdr:row>
      <xdr:rowOff>140448</xdr:rowOff>
    </xdr:to>
    <xdr:pic>
      <xdr:nvPicPr>
        <xdr:cNvPr id="107" name="Picture 25">
          <a:extLst>
            <a:ext uri="{FF2B5EF4-FFF2-40B4-BE49-F238E27FC236}">
              <a16:creationId xmlns:a16="http://schemas.microsoft.com/office/drawing/2014/main" id="{B1F67122-6015-465D-9D13-3B17DFE4F5C2}"/>
            </a:ext>
          </a:extLst>
        </xdr:cNvPr>
        <xdr:cNvPicPr>
          <a:picLocks noChangeAspect="1"/>
        </xdr:cNvPicPr>
      </xdr:nvPicPr>
      <xdr:blipFill>
        <a:blip xmlns:r="http://schemas.openxmlformats.org/officeDocument/2006/relationships" r:embed="rId10"/>
        <a:stretch>
          <a:fillRect/>
        </a:stretch>
      </xdr:blipFill>
      <xdr:spPr>
        <a:xfrm>
          <a:off x="38767948" y="677764"/>
          <a:ext cx="8969606" cy="5832372"/>
        </a:xfrm>
        <a:prstGeom prst="rect">
          <a:avLst/>
        </a:prstGeom>
      </xdr:spPr>
    </xdr:pic>
    <xdr:clientData/>
  </xdr:twoCellAnchor>
  <xdr:twoCellAnchor editAs="oneCell">
    <xdr:from>
      <xdr:col>54</xdr:col>
      <xdr:colOff>308649</xdr:colOff>
      <xdr:row>31</xdr:row>
      <xdr:rowOff>26120</xdr:rowOff>
    </xdr:from>
    <xdr:to>
      <xdr:col>69</xdr:col>
      <xdr:colOff>157772</xdr:colOff>
      <xdr:row>62</xdr:row>
      <xdr:rowOff>175947</xdr:rowOff>
    </xdr:to>
    <xdr:pic>
      <xdr:nvPicPr>
        <xdr:cNvPr id="106" name="Picture 26">
          <a:extLst>
            <a:ext uri="{FF2B5EF4-FFF2-40B4-BE49-F238E27FC236}">
              <a16:creationId xmlns:a16="http://schemas.microsoft.com/office/drawing/2014/main" id="{87CAE853-F422-C568-F57A-218B27A26D86}"/>
            </a:ext>
          </a:extLst>
        </xdr:cNvPr>
        <xdr:cNvPicPr>
          <a:picLocks noChangeAspect="1"/>
        </xdr:cNvPicPr>
      </xdr:nvPicPr>
      <xdr:blipFill>
        <a:blip xmlns:r="http://schemas.openxmlformats.org/officeDocument/2006/relationships" r:embed="rId11"/>
        <a:stretch>
          <a:fillRect/>
        </a:stretch>
      </xdr:blipFill>
      <xdr:spPr>
        <a:xfrm>
          <a:off x="38884899" y="6720081"/>
          <a:ext cx="8993123" cy="5819107"/>
        </a:xfrm>
        <a:prstGeom prst="rect">
          <a:avLst/>
        </a:prstGeom>
      </xdr:spPr>
    </xdr:pic>
    <xdr:clientData/>
  </xdr:twoCellAnchor>
  <xdr:twoCellAnchor editAs="oneCell">
    <xdr:from>
      <xdr:col>54</xdr:col>
      <xdr:colOff>505978</xdr:colOff>
      <xdr:row>64</xdr:row>
      <xdr:rowOff>117716</xdr:rowOff>
    </xdr:from>
    <xdr:to>
      <xdr:col>70</xdr:col>
      <xdr:colOff>233911</xdr:colOff>
      <xdr:row>95</xdr:row>
      <xdr:rowOff>154784</xdr:rowOff>
    </xdr:to>
    <xdr:pic>
      <xdr:nvPicPr>
        <xdr:cNvPr id="108" name="Picture 27">
          <a:extLst>
            <a:ext uri="{FF2B5EF4-FFF2-40B4-BE49-F238E27FC236}">
              <a16:creationId xmlns:a16="http://schemas.microsoft.com/office/drawing/2014/main" id="{A4C4394B-3A71-0510-B1FE-44D2F7128C70}"/>
            </a:ext>
          </a:extLst>
        </xdr:cNvPr>
        <xdr:cNvPicPr>
          <a:picLocks noChangeAspect="1"/>
        </xdr:cNvPicPr>
      </xdr:nvPicPr>
      <xdr:blipFill>
        <a:blip xmlns:r="http://schemas.openxmlformats.org/officeDocument/2006/relationships" r:embed="rId12"/>
        <a:stretch>
          <a:fillRect/>
        </a:stretch>
      </xdr:blipFill>
      <xdr:spPr>
        <a:xfrm>
          <a:off x="39082228" y="12923549"/>
          <a:ext cx="9481533" cy="5706348"/>
        </a:xfrm>
        <a:prstGeom prst="rect">
          <a:avLst/>
        </a:prstGeom>
      </xdr:spPr>
    </xdr:pic>
    <xdr:clientData/>
  </xdr:twoCellAnchor>
  <xdr:twoCellAnchor editAs="oneCell">
    <xdr:from>
      <xdr:col>39</xdr:col>
      <xdr:colOff>81040</xdr:colOff>
      <xdr:row>31</xdr:row>
      <xdr:rowOff>99052</xdr:rowOff>
    </xdr:from>
    <xdr:to>
      <xdr:col>54</xdr:col>
      <xdr:colOff>567645</xdr:colOff>
      <xdr:row>63</xdr:row>
      <xdr:rowOff>57321</xdr:rowOff>
    </xdr:to>
    <xdr:pic>
      <xdr:nvPicPr>
        <xdr:cNvPr id="101" name="Picture 28">
          <a:extLst>
            <a:ext uri="{FF2B5EF4-FFF2-40B4-BE49-F238E27FC236}">
              <a16:creationId xmlns:a16="http://schemas.microsoft.com/office/drawing/2014/main" id="{35279BDF-0A29-C90F-9AE4-542738DE0C85}"/>
            </a:ext>
          </a:extLst>
        </xdr:cNvPr>
        <xdr:cNvPicPr>
          <a:picLocks noChangeAspect="1"/>
        </xdr:cNvPicPr>
      </xdr:nvPicPr>
      <xdr:blipFill>
        <a:blip xmlns:r="http://schemas.openxmlformats.org/officeDocument/2006/relationships" r:embed="rId13"/>
        <a:stretch>
          <a:fillRect/>
        </a:stretch>
      </xdr:blipFill>
      <xdr:spPr>
        <a:xfrm>
          <a:off x="28973540" y="6793013"/>
          <a:ext cx="9630605" cy="5810429"/>
        </a:xfrm>
        <a:prstGeom prst="rect">
          <a:avLst/>
        </a:prstGeom>
      </xdr:spPr>
    </xdr:pic>
    <xdr:clientData/>
  </xdr:twoCellAnchor>
  <xdr:twoCellAnchor editAs="oneCell">
    <xdr:from>
      <xdr:col>39</xdr:col>
      <xdr:colOff>249383</xdr:colOff>
      <xdr:row>96</xdr:row>
      <xdr:rowOff>21168</xdr:rowOff>
    </xdr:from>
    <xdr:to>
      <xdr:col>54</xdr:col>
      <xdr:colOff>70108</xdr:colOff>
      <xdr:row>126</xdr:row>
      <xdr:rowOff>60710</xdr:rowOff>
    </xdr:to>
    <xdr:pic>
      <xdr:nvPicPr>
        <xdr:cNvPr id="113" name="Picture 29">
          <a:extLst>
            <a:ext uri="{FF2B5EF4-FFF2-40B4-BE49-F238E27FC236}">
              <a16:creationId xmlns:a16="http://schemas.microsoft.com/office/drawing/2014/main" id="{8EDC2A36-45D9-968C-58C8-D2FC3645996A}"/>
            </a:ext>
          </a:extLst>
        </xdr:cNvPr>
        <xdr:cNvPicPr>
          <a:picLocks noChangeAspect="1"/>
        </xdr:cNvPicPr>
      </xdr:nvPicPr>
      <xdr:blipFill>
        <a:blip xmlns:r="http://schemas.openxmlformats.org/officeDocument/2006/relationships" r:embed="rId14"/>
        <a:stretch>
          <a:fillRect/>
        </a:stretch>
      </xdr:blipFill>
      <xdr:spPr>
        <a:xfrm>
          <a:off x="29300633" y="18753668"/>
          <a:ext cx="8964725" cy="5525942"/>
        </a:xfrm>
        <a:prstGeom prst="rect">
          <a:avLst/>
        </a:prstGeom>
      </xdr:spPr>
    </xdr:pic>
    <xdr:clientData/>
  </xdr:twoCellAnchor>
  <xdr:twoCellAnchor editAs="oneCell">
    <xdr:from>
      <xdr:col>0</xdr:col>
      <xdr:colOff>380999</xdr:colOff>
      <xdr:row>35</xdr:row>
      <xdr:rowOff>127001</xdr:rowOff>
    </xdr:from>
    <xdr:to>
      <xdr:col>10</xdr:col>
      <xdr:colOff>559706</xdr:colOff>
      <xdr:row>59</xdr:row>
      <xdr:rowOff>50521</xdr:rowOff>
    </xdr:to>
    <xdr:pic>
      <xdr:nvPicPr>
        <xdr:cNvPr id="77" name="Picture 6">
          <a:extLst>
            <a:ext uri="{FF2B5EF4-FFF2-40B4-BE49-F238E27FC236}">
              <a16:creationId xmlns:a16="http://schemas.microsoft.com/office/drawing/2014/main" id="{D8273785-2AF9-1EE7-1EC2-51E2F96138C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80999" y="7474858"/>
          <a:ext cx="7982857" cy="4343120"/>
        </a:xfrm>
        <a:prstGeom prst="rect">
          <a:avLst/>
        </a:prstGeom>
      </xdr:spPr>
    </xdr:pic>
    <xdr:clientData/>
  </xdr:twoCellAnchor>
  <xdr:twoCellAnchor editAs="oneCell">
    <xdr:from>
      <xdr:col>1</xdr:col>
      <xdr:colOff>235324</xdr:colOff>
      <xdr:row>59</xdr:row>
      <xdr:rowOff>165894</xdr:rowOff>
    </xdr:from>
    <xdr:to>
      <xdr:col>9</xdr:col>
      <xdr:colOff>515513</xdr:colOff>
      <xdr:row>74</xdr:row>
      <xdr:rowOff>33718</xdr:rowOff>
    </xdr:to>
    <xdr:pic>
      <xdr:nvPicPr>
        <xdr:cNvPr id="200" name="Picture 8">
          <a:extLst>
            <a:ext uri="{FF2B5EF4-FFF2-40B4-BE49-F238E27FC236}">
              <a16:creationId xmlns:a16="http://schemas.microsoft.com/office/drawing/2014/main" id="{10F87903-B857-6BEC-8476-94822D64945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883835" y="11839085"/>
          <a:ext cx="6865139" cy="2630074"/>
        </a:xfrm>
        <a:prstGeom prst="rect">
          <a:avLst/>
        </a:prstGeom>
      </xdr:spPr>
    </xdr:pic>
    <xdr:clientData/>
  </xdr:twoCellAnchor>
  <xdr:twoCellAnchor editAs="oneCell">
    <xdr:from>
      <xdr:col>1</xdr:col>
      <xdr:colOff>176217</xdr:colOff>
      <xdr:row>74</xdr:row>
      <xdr:rowOff>70446</xdr:rowOff>
    </xdr:from>
    <xdr:to>
      <xdr:col>9</xdr:col>
      <xdr:colOff>475459</xdr:colOff>
      <xdr:row>85</xdr:row>
      <xdr:rowOff>108562</xdr:rowOff>
    </xdr:to>
    <xdr:pic>
      <xdr:nvPicPr>
        <xdr:cNvPr id="199" name="Picture 10">
          <a:extLst>
            <a:ext uri="{FF2B5EF4-FFF2-40B4-BE49-F238E27FC236}">
              <a16:creationId xmlns:a16="http://schemas.microsoft.com/office/drawing/2014/main" id="{F8461F9C-6F0B-B92E-D9BC-4BD172E0D905}"/>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824728" y="14479542"/>
          <a:ext cx="6884192" cy="20637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Gantt-projektplanl&#230;gger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ktplanlægger"/>
    </sheetNames>
    <sheetDataSet>
      <sheetData sheetId="0" refreshError="1"/>
    </sheetDataSet>
  </externalBook>
</externalLink>
</file>

<file path=xl/ink/ink1.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1-19T13:49:05.107"/>
    </inkml:context>
    <inkml:brush xml:id="br0">
      <inkml:brushProperty name="width" value="0.025" units="cm"/>
      <inkml:brushProperty name="height" value="0.025" units="cm"/>
    </inkml:brush>
  </inkml:definitions>
  <inkml:trace contextRef="#ctx0" brushRef="#br0">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3:49:43.617"/>
    </inkml:context>
    <inkml:brush xml:id="br0">
      <inkml:brushProperty name="width" value="0.025" units="cm"/>
      <inkml:brushProperty name="height" value="0.025" units="cm"/>
    </inkml:brush>
  </inkml:definitions>
  <inkml:trace contextRef="#ctx0" brushRef="#br0">68 0 24093,'-67'411'0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3:49:48.972"/>
    </inkml:context>
    <inkml:brush xml:id="br0">
      <inkml:brushProperty name="width" value="0.025" units="cm"/>
      <inkml:brushProperty name="height" value="0.025" units="cm"/>
    </inkml:brush>
  </inkml:definitions>
  <inkml:trace contextRef="#ctx0" brushRef="#br0">1 1 24575,'6'0'0,"7"0"0,8 0 0,5 0 0,6 0 0,1 0 0,2 0 0,1 0 0,0 0 0,-1 0 0,0 0 0,-6 5 0,-8 3-8191</inkml:trace>
</inkml:ink>
</file>

<file path=xl/ink/ink4.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01T10:37:14.465"/>
    </inkml:context>
    <inkml:brush xml:id="br0">
      <inkml:brushProperty name="width" value="0.025" units="cm"/>
      <inkml:brushProperty name="height" value="0.025" units="cm"/>
    </inkml:brush>
  </inkml:definitions>
  <inkml:trace contextRef="#ctx0" brushRef="#br0">0 0 0</inkml:trace>
</inkml:ink>
</file>

<file path=xl/ink/ink5.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01T13:30:04.868"/>
    </inkml:context>
    <inkml:brush xml:id="br0">
      <inkml:brushProperty name="width" value="0.025" units="cm"/>
      <inkml:brushProperty name="height" value="0.025" units="cm"/>
    </inkml:brush>
  </inkml:definitions>
  <inkml:trace contextRef="#ctx0" brushRef="#br0">0 0 0</inkml:trace>
</inkml:ink>
</file>

<file path=xl/persons/person.xml><?xml version="1.0" encoding="utf-8"?>
<personList xmlns="http://schemas.microsoft.com/office/spreadsheetml/2018/threadedcomments" xmlns:x="http://schemas.openxmlformats.org/spreadsheetml/2006/main">
  <person displayName="Simon Boll Vandall" id="{018183AF-DB5F-4F7F-8EEB-3BF121C87830}" userId="S::siva0002@stud.ek.dk::75965e87-0598-4b14-8eaf-655541f9e460"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4" dT="2025-12-08T20:33:42.08" personId="{018183AF-DB5F-4F7F-8EEB-3BF121C87830}" id="{B3E71D52-469A-4653-A942-99B6EB4CD392}">
    <text>Intet behov</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04916C-F1E9-49B7-BA6B-62056695F8E0}">
  <we:reference id="wa200001095" version="1.0.0.4" store="en-US" storeType="OMEX"/>
  <we:alternateReferences>
    <we:reference id="WA200001095" version="1.0.0.4" store="WA200001095" storeType="OMEX"/>
  </we:alternateReferences>
  <we:properties>
    <we:property name="Office.AutoShowTaskpaneWithDocument" value="false"/>
    <we:property name="gantt_start" value="&quot;2025-11-19T00:00&quot;"/>
    <we:property name="version" value="&quot;2.0&quot;"/>
    <we:property name="gantt_zoom" value="0"/>
    <we:property name="progress_column" value="false"/>
    <we:property name="progress_gantt" value="false"/>
    <we:property name="critical_gantt" value="false"/>
    <we:property name="slack_gantt" value="fals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s://staalet.dk/vare/rundt-staalroer/"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lingyumachinery.en.made-in-china.com/product/hwaAVTmcYtkZ/China-High-Quality-Spray-Paint-System-Powder-Coating-Production-Line-for-Manufacture-Wooden-Furniture-and-Chair.html?pv_id=1jatismome92&amp;faw_id=1jatjhlvc3e3&amp;bv_id=1jatjhlve51d&amp;pbv_id=1jatislbc1f5" TargetMode="External"/><Relationship Id="rId13" Type="http://schemas.openxmlformats.org/officeDocument/2006/relationships/printerSettings" Target="../printerSettings/printerSettings8.bin"/><Relationship Id="rId3" Type="http://schemas.openxmlformats.org/officeDocument/2006/relationships/hyperlink" Target="https://www.hoechsmann.com/en/article/84547/biesse_rover_k_smart_1532" TargetMode="External"/><Relationship Id="rId7" Type="http://schemas.openxmlformats.org/officeDocument/2006/relationships/hyperlink" Target="https://www.hoechsmann.com/en/article/79653/biesse_rover_a_smart_1632" TargetMode="External"/><Relationship Id="rId12" Type="http://schemas.openxmlformats.org/officeDocument/2006/relationships/hyperlink" Target="https://sagahf.en.made-in-china.com/product/GFKaARpJBUYn/China-Press-Machine-for-Chair-Seats-and-Backs-Plywood-Curved-Gluing-Press.html" TargetMode="External"/><Relationship Id="rId2" Type="http://schemas.openxmlformats.org/officeDocument/2006/relationships/hyperlink" Target="https://www.migatronic.com/da/produkter-og-loesninger/svejsemaskiner/cowelder/" TargetMode="External"/><Relationship Id="rId1" Type="http://schemas.openxmlformats.org/officeDocument/2006/relationships/hyperlink" Target="https://www.exapro.com/maier-mlk-32-d-proline-p230314034/?utm_source=chatgpt.com" TargetMode="External"/><Relationship Id="rId6" Type="http://schemas.openxmlformats.org/officeDocument/2006/relationships/hyperlink" Target="https://www.machineseeker.dk/herber-127+cnc/i-17699608" TargetMode="External"/><Relationship Id="rId11" Type="http://schemas.openxmlformats.org/officeDocument/2006/relationships/hyperlink" Target="https://360degreemachinery.com/shop/categories-machine-type/laminate-slitters/evans-midwest-4283-lay-up-table/" TargetMode="External"/><Relationship Id="rId5" Type="http://schemas.openxmlformats.org/officeDocument/2006/relationships/hyperlink" Target="https://www.omma.com/en/products/p/open-glue-spreader" TargetMode="External"/><Relationship Id="rId10" Type="http://schemas.openxmlformats.org/officeDocument/2006/relationships/hyperlink" Target="https://quickwood.com/collections/curved-parts-sanding/products/qt4-4-sided-curved-part-sanding" TargetMode="External"/><Relationship Id="rId4" Type="http://schemas.openxmlformats.org/officeDocument/2006/relationships/hyperlink" Target="https://bodor.com/en/fiber-laser-cutting-machine/tube-laser-cutting-machines/t.html" TargetMode="External"/><Relationship Id="rId9" Type="http://schemas.openxmlformats.org/officeDocument/2006/relationships/hyperlink" Target="https://nsmaquinas.com/product/od120-od160-tube-end-deburring-machines"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hyperlink" Target="https://www.edc.dk/erhverv/erhvervslejemaal/lager-produktion/6705-esbjerg-oe/spangsbjerg-moellevej-100/670114509/"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https://billig-arbejdstoj.dk/OX-ON-Cut-D-Advanced-9903-skaerehandsker-Graa%2FSort/162176.html" TargetMode="External"/><Relationship Id="rId13" Type="http://schemas.microsoft.com/office/2017/10/relationships/threadedComment" Target="../threadedComments/threadedComment1.xml"/><Relationship Id="rId3" Type="http://schemas.openxmlformats.org/officeDocument/2006/relationships/hyperlink" Target="https://www.hulgaardadvokater.dk/vores-specialer/selskaber-og-fonde/start-af-virksomhed/" TargetMode="External"/><Relationship Id="rId7" Type="http://schemas.openxmlformats.org/officeDocument/2006/relationships/hyperlink" Target="https://billig-arbejdstoj.dk/Sanita-S-Feel-Prenit-sikkerhedssko-S1P-Black%2Fwhite/135267.html" TargetMode="External"/><Relationship Id="rId12" Type="http://schemas.openxmlformats.org/officeDocument/2006/relationships/comments" Target="../comments1.xml"/><Relationship Id="rId2" Type="http://schemas.openxmlformats.org/officeDocument/2006/relationships/hyperlink" Target="https://www.bilbasen.dk/brugt/varebil-ekskl-moms/ford/transit-connect/15-ecoblue-trend-aut-lang/6615504" TargetMode="External"/><Relationship Id="rId1" Type="http://schemas.openxmlformats.org/officeDocument/2006/relationships/hyperlink" Target="https://www.edc.dk/erhverv/erhvervslejemaal/lager-produktion/6705-esbjerg-oe/spangsbjerg-moellevej-100/670114509/" TargetMode="External"/><Relationship Id="rId6" Type="http://schemas.openxmlformats.org/officeDocument/2006/relationships/hyperlink" Target="https://www.dba.dk/recommerce/forsale/item/12816048" TargetMode="External"/><Relationship Id="rId11" Type="http://schemas.openxmlformats.org/officeDocument/2006/relationships/vmlDrawing" Target="../drawings/vmlDrawing1.vml"/><Relationship Id="rId5" Type="http://schemas.openxmlformats.org/officeDocument/2006/relationships/hyperlink" Target="https://www.dba.dk/recommerce/forsale/item/10511603" TargetMode="External"/><Relationship Id="rId10" Type="http://schemas.openxmlformats.org/officeDocument/2006/relationships/printerSettings" Target="../printerSettings/printerSettings14.bin"/><Relationship Id="rId4" Type="http://schemas.openxmlformats.org/officeDocument/2006/relationships/hyperlink" Target="https://finara.dk/revisor/revisor-priser-i-2025-hvad-er-rimeligt/" TargetMode="External"/><Relationship Id="rId9" Type="http://schemas.openxmlformats.org/officeDocument/2006/relationships/hyperlink" Target="https://www.silvan.dk/produkt/vecta-hoerevaern-m-justerbar-boejle-sort-2880-2073920"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proshop.dk/Tastatur/Logitech-MX-Keys-S-Graphite-ND" TargetMode="External"/><Relationship Id="rId13" Type="http://schemas.openxmlformats.org/officeDocument/2006/relationships/hyperlink" Target="https://www.jemogfix.dk/gummihammer-500-g/3122/9020664/" TargetMode="External"/><Relationship Id="rId3" Type="http://schemas.openxmlformats.org/officeDocument/2006/relationships/hyperlink" Target="https://nimara.dk/products/damian-haeve-og-saenkebord-120x60-cm-i-sort?gad_source" TargetMode="External"/><Relationship Id="rId7" Type="http://schemas.openxmlformats.org/officeDocument/2006/relationships/hyperlink" Target="https://www.proshop.dk/Skaerm/27-Dell-Pro-E2725HM-1920x1080-FHD-100Hz-IPS" TargetMode="External"/><Relationship Id="rId12" Type="http://schemas.openxmlformats.org/officeDocument/2006/relationships/hyperlink" Target="https://www.jemogfix.dk/falke-slagskruemaskine-akku-kulfri-18-v/3101/9059149/" TargetMode="External"/><Relationship Id="rId2" Type="http://schemas.openxmlformats.org/officeDocument/2006/relationships/hyperlink" Target="https://billig-arbejdstoj.dk/Sanita-S-Feel-Prenit-sikkerhedssko-S1P-Black%2Fwhite/135267.html" TargetMode="External"/><Relationship Id="rId16" Type="http://schemas.openxmlformats.org/officeDocument/2006/relationships/printerSettings" Target="../printerSettings/printerSettings15.bin"/><Relationship Id="rId1" Type="http://schemas.openxmlformats.org/officeDocument/2006/relationships/hyperlink" Target="https://billig-arbejdstoj.dk/OX-ON-Cut-D-Advanced-9903-skaerehandsker-Graa%2FSort/162176.html" TargetMode="External"/><Relationship Id="rId6" Type="http://schemas.openxmlformats.org/officeDocument/2006/relationships/hyperlink" Target="https://www.productkeys.dk/produkt/microsoft-office-2024-standard-pc" TargetMode="External"/><Relationship Id="rId11" Type="http://schemas.openxmlformats.org/officeDocument/2006/relationships/hyperlink" Target="https://www.dell.com/da-dk/shop/cty/pdp/spd/dell-pro-max-fct2250-desktop" TargetMode="External"/><Relationship Id="rId5" Type="http://schemas.openxmlformats.org/officeDocument/2006/relationships/hyperlink" Target="https://www.productkeys.dk/produkt/windows-11-home-retail" TargetMode="External"/><Relationship Id="rId15" Type="http://schemas.openxmlformats.org/officeDocument/2006/relationships/hyperlink" Target="https://www.spreadshirt.dk/design-selv?productType=812&amp;productTypeCategory=CG01" TargetMode="External"/><Relationship Id="rId10" Type="http://schemas.openxmlformats.org/officeDocument/2006/relationships/hyperlink" Target="https://www.proshop.dk/Hovedtelefonerheadset2/Jabra-Evolve-20SE-MS-Stereo" TargetMode="External"/><Relationship Id="rId4" Type="http://schemas.openxmlformats.org/officeDocument/2006/relationships/hyperlink" Target="https://webdanes.dk/shop/paracon-mesh-gaming-141027p.html" TargetMode="External"/><Relationship Id="rId9" Type="http://schemas.openxmlformats.org/officeDocument/2006/relationships/hyperlink" Target="https://www.proshop.dk/Mus/Logitech-M705-Marathon-Mouse-Mus-Laser-6-knapper-Sort" TargetMode="External"/><Relationship Id="rId14" Type="http://schemas.openxmlformats.org/officeDocument/2006/relationships/hyperlink" Target="https://billig-arbejdstoj.dk/Engel-Enterprise-arbejdsbukser-Graa%2FSort/2620.html"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06BD-A074-432D-85F4-65E258D783A4}">
  <dimension ref="A3:AC31"/>
  <sheetViews>
    <sheetView zoomScale="51" zoomScaleNormal="51" workbookViewId="0">
      <selection activeCell="C32" sqref="C32"/>
    </sheetView>
  </sheetViews>
  <sheetFormatPr baseColWidth="10" defaultColWidth="8.83203125" defaultRowHeight="15" x14ac:dyDescent="0.2"/>
  <sheetData>
    <row r="3" spans="1:29" ht="26" x14ac:dyDescent="0.2">
      <c r="A3" s="1" t="s">
        <v>0</v>
      </c>
    </row>
    <row r="4" spans="1:29"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row>
    <row r="5" spans="1:29" ht="26" x14ac:dyDescent="0.2">
      <c r="A5" s="1" t="s">
        <v>1</v>
      </c>
    </row>
    <row r="6" spans="1:29" x14ac:dyDescent="0.2">
      <c r="A6" s="5"/>
      <c r="B6" s="5"/>
      <c r="C6" s="5"/>
      <c r="D6" s="5"/>
      <c r="E6" s="5"/>
      <c r="F6" s="5"/>
      <c r="G6" s="5"/>
      <c r="H6" s="5"/>
      <c r="I6" s="5"/>
      <c r="J6" s="5"/>
      <c r="K6" s="5"/>
      <c r="L6" s="5"/>
      <c r="M6" s="5"/>
      <c r="N6" s="5"/>
      <c r="O6" s="5"/>
      <c r="P6" s="5"/>
      <c r="Q6" s="5"/>
      <c r="R6" s="5"/>
      <c r="S6" s="5"/>
      <c r="T6" s="5"/>
      <c r="U6" s="5"/>
      <c r="V6" s="5"/>
      <c r="W6" s="5"/>
      <c r="X6" s="5"/>
      <c r="Y6" s="5"/>
      <c r="Z6" s="5"/>
      <c r="AA6" s="5"/>
      <c r="AB6" s="5"/>
      <c r="AC6" s="5"/>
    </row>
    <row r="7" spans="1:29" ht="26" x14ac:dyDescent="0.2">
      <c r="A7" s="1" t="s">
        <v>2</v>
      </c>
    </row>
    <row r="8" spans="1:29" x14ac:dyDescent="0.2">
      <c r="A8" s="5"/>
      <c r="B8" s="5"/>
      <c r="C8" s="5"/>
      <c r="D8" s="5"/>
      <c r="E8" s="5"/>
      <c r="F8" s="5"/>
      <c r="G8" s="5"/>
      <c r="H8" s="5"/>
      <c r="I8" s="5"/>
      <c r="J8" s="5"/>
      <c r="K8" s="5"/>
      <c r="L8" s="5"/>
      <c r="M8" s="5"/>
      <c r="N8" s="5"/>
      <c r="O8" s="5"/>
      <c r="P8" s="5"/>
      <c r="Q8" s="5"/>
      <c r="R8" s="5"/>
      <c r="S8" s="5"/>
      <c r="T8" s="5"/>
      <c r="U8" s="5"/>
      <c r="V8" s="5"/>
      <c r="W8" s="5"/>
      <c r="X8" s="5"/>
      <c r="Y8" s="5"/>
      <c r="Z8" s="5"/>
      <c r="AA8" s="5"/>
      <c r="AB8" s="5"/>
      <c r="AC8" s="5"/>
    </row>
    <row r="9" spans="1:29" ht="26" x14ac:dyDescent="0.2">
      <c r="A9" s="2" t="s">
        <v>3</v>
      </c>
    </row>
    <row r="10" spans="1:29" x14ac:dyDescent="0.2">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row>
    <row r="11" spans="1:29" ht="26" x14ac:dyDescent="0.2">
      <c r="A11" s="2" t="s">
        <v>4</v>
      </c>
    </row>
    <row r="12" spans="1:29" x14ac:dyDescent="0.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spans="1:29" ht="26" x14ac:dyDescent="0.2">
      <c r="A13" s="2" t="s">
        <v>5</v>
      </c>
    </row>
    <row r="14" spans="1:29" x14ac:dyDescent="0.2">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spans="1:29" ht="26" x14ac:dyDescent="0.2">
      <c r="A15" s="2" t="s">
        <v>6</v>
      </c>
    </row>
    <row r="16" spans="1:29" x14ac:dyDescent="0.2">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spans="1:29" ht="26" x14ac:dyDescent="0.2">
      <c r="A17" s="2" t="s">
        <v>7</v>
      </c>
    </row>
    <row r="18" spans="1:29" x14ac:dyDescent="0.2">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spans="1:29" ht="26" x14ac:dyDescent="0.2">
      <c r="A19" s="2" t="s">
        <v>8</v>
      </c>
    </row>
    <row r="20" spans="1:29"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spans="1:29" ht="26" x14ac:dyDescent="0.2">
      <c r="A21" s="2" t="s">
        <v>9</v>
      </c>
    </row>
    <row r="22" spans="1:29" x14ac:dyDescent="0.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spans="1:29" s="4" customFormat="1" ht="26" x14ac:dyDescent="0.2">
      <c r="A23" s="3" t="s">
        <v>10</v>
      </c>
    </row>
    <row r="24" spans="1:29" x14ac:dyDescent="0.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spans="1:29" ht="26" x14ac:dyDescent="0.2">
      <c r="A25" s="3" t="s">
        <v>11</v>
      </c>
    </row>
    <row r="26" spans="1:29"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ht="26" x14ac:dyDescent="0.2">
      <c r="A27" s="3" t="s">
        <v>12</v>
      </c>
    </row>
    <row r="28" spans="1:29"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ht="26" x14ac:dyDescent="0.2">
      <c r="A29" s="3" t="s">
        <v>13</v>
      </c>
    </row>
    <row r="30" spans="1:29"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ht="26" x14ac:dyDescent="0.2">
      <c r="A31" s="3" t="s">
        <v>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5"/>
  <sheetViews>
    <sheetView zoomScale="32" zoomScaleNormal="55" workbookViewId="0">
      <selection activeCell="D38" sqref="D38"/>
    </sheetView>
  </sheetViews>
  <sheetFormatPr baseColWidth="10" defaultColWidth="8.83203125" defaultRowHeight="15" x14ac:dyDescent="0.2"/>
  <cols>
    <col min="1" max="1" width="49.33203125" bestFit="1" customWidth="1"/>
    <col min="2" max="2" width="41.6640625" customWidth="1"/>
    <col min="3" max="3" width="44.1640625" customWidth="1"/>
    <col min="4" max="4" width="41.6640625" customWidth="1"/>
    <col min="5" max="5" width="49.33203125" customWidth="1"/>
    <col min="6" max="6" width="10.33203125" bestFit="1" customWidth="1"/>
    <col min="7" max="7" width="12.5" customWidth="1"/>
    <col min="8" max="8" width="15.1640625" bestFit="1" customWidth="1"/>
    <col min="9" max="9" width="16.33203125" customWidth="1"/>
    <col min="10" max="10" width="17" bestFit="1" customWidth="1"/>
    <col min="11" max="11" width="13.6640625" bestFit="1" customWidth="1"/>
    <col min="12" max="12" width="21.5" bestFit="1" customWidth="1"/>
    <col min="13" max="13" width="19.6640625" customWidth="1"/>
    <col min="14" max="14" width="16.1640625" customWidth="1"/>
    <col min="15" max="15" width="16.6640625" customWidth="1"/>
    <col min="16" max="16" width="11.6640625" customWidth="1"/>
    <col min="17" max="17" width="9.6640625" bestFit="1" customWidth="1"/>
    <col min="18" max="24" width="12.5" customWidth="1"/>
    <col min="25" max="25" width="10.33203125" bestFit="1" customWidth="1"/>
    <col min="26" max="26" width="11.1640625" customWidth="1"/>
    <col min="27" max="27" width="11.5" customWidth="1"/>
    <col min="28" max="28" width="10.33203125" bestFit="1" customWidth="1"/>
    <col min="29" max="29" width="11.6640625" customWidth="1"/>
    <col min="30" max="32" width="10.33203125" bestFit="1" customWidth="1"/>
    <col min="33" max="33" width="10" bestFit="1" customWidth="1"/>
    <col min="34" max="34" width="9.33203125" bestFit="1" customWidth="1"/>
  </cols>
  <sheetData>
    <row r="1" spans="1:35" ht="20" thickBot="1" x14ac:dyDescent="0.3">
      <c r="A1" s="175"/>
      <c r="B1" s="175"/>
      <c r="C1" s="175"/>
      <c r="D1" s="175"/>
      <c r="E1" s="175"/>
      <c r="F1" s="330"/>
      <c r="G1" s="330"/>
      <c r="H1" s="330"/>
      <c r="I1" s="330"/>
      <c r="J1" s="330"/>
      <c r="K1" s="330"/>
      <c r="L1" s="518"/>
      <c r="M1" s="518"/>
      <c r="N1" s="518"/>
      <c r="O1" s="518"/>
      <c r="P1" s="330"/>
      <c r="Q1" s="330"/>
      <c r="R1" s="330"/>
      <c r="S1" s="330"/>
      <c r="T1" s="330"/>
      <c r="U1" s="330"/>
      <c r="V1" s="330"/>
      <c r="W1" s="330"/>
      <c r="X1" s="330"/>
      <c r="Y1" s="330"/>
      <c r="Z1" s="330"/>
      <c r="AA1" s="330"/>
      <c r="AB1" s="330"/>
      <c r="AC1" s="330"/>
      <c r="AD1" s="330"/>
      <c r="AE1" s="330"/>
      <c r="AF1" s="330"/>
      <c r="AG1" s="330"/>
      <c r="AH1" s="330"/>
      <c r="AI1" s="330"/>
    </row>
    <row r="2" spans="1:35" ht="32.75" customHeight="1" thickBot="1" x14ac:dyDescent="0.3">
      <c r="A2" s="175"/>
      <c r="B2" s="973" t="s">
        <v>15</v>
      </c>
      <c r="C2" s="974"/>
      <c r="D2" s="974"/>
      <c r="E2" s="975"/>
      <c r="F2" s="330"/>
      <c r="G2" s="330"/>
      <c r="H2" s="330"/>
      <c r="I2" s="330"/>
      <c r="J2" s="330"/>
      <c r="K2" s="330"/>
      <c r="L2" s="331"/>
      <c r="M2" s="519"/>
      <c r="N2" s="519"/>
      <c r="O2" s="519"/>
      <c r="P2" s="330"/>
      <c r="Q2" s="330"/>
      <c r="R2" s="330"/>
      <c r="S2" s="330"/>
      <c r="T2" s="330"/>
      <c r="U2" s="330"/>
      <c r="V2" s="330"/>
      <c r="W2" s="330"/>
      <c r="X2" s="330"/>
      <c r="Y2" s="330"/>
      <c r="Z2" s="330"/>
      <c r="AA2" s="330"/>
      <c r="AB2" s="330"/>
      <c r="AC2" s="330"/>
      <c r="AD2" s="330"/>
      <c r="AE2" s="330"/>
      <c r="AF2" s="330"/>
      <c r="AG2" s="330"/>
      <c r="AH2" s="330"/>
      <c r="AI2" s="330"/>
    </row>
    <row r="3" spans="1:35" ht="99.75" customHeight="1" thickBot="1" x14ac:dyDescent="0.3">
      <c r="A3" s="175"/>
      <c r="B3" s="560" t="s">
        <v>16</v>
      </c>
      <c r="C3" s="561" t="s">
        <v>17</v>
      </c>
      <c r="D3" s="560" t="s">
        <v>18</v>
      </c>
      <c r="E3" s="561" t="s">
        <v>19</v>
      </c>
      <c r="F3" s="330"/>
      <c r="G3" s="330"/>
      <c r="H3" s="330"/>
      <c r="I3" s="330"/>
      <c r="J3" s="330"/>
      <c r="K3" s="330"/>
      <c r="L3" s="330"/>
      <c r="M3" s="330"/>
      <c r="N3" s="330"/>
      <c r="O3" s="330"/>
      <c r="P3" s="330"/>
      <c r="Q3" s="330"/>
      <c r="R3" s="330"/>
      <c r="S3" s="330"/>
      <c r="T3" s="330"/>
      <c r="U3" s="330"/>
      <c r="V3" s="330"/>
      <c r="W3" s="330"/>
      <c r="X3" s="330"/>
      <c r="Y3" s="330"/>
      <c r="Z3" s="330"/>
      <c r="AA3" s="330"/>
      <c r="AB3" s="330"/>
      <c r="AC3" s="330"/>
      <c r="AD3" s="330"/>
      <c r="AE3" s="330"/>
      <c r="AF3" s="330"/>
      <c r="AG3" s="330"/>
      <c r="AH3" s="330"/>
      <c r="AI3" s="330"/>
    </row>
    <row r="4" spans="1:35" ht="408.75" customHeight="1" thickBot="1" x14ac:dyDescent="0.3">
      <c r="A4" s="175"/>
      <c r="B4" s="556" t="s">
        <v>20</v>
      </c>
      <c r="C4" s="557" t="s">
        <v>21</v>
      </c>
      <c r="D4" s="558" t="s">
        <v>22</v>
      </c>
      <c r="E4" s="559" t="s">
        <v>23</v>
      </c>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row>
    <row r="5" spans="1:35" ht="19" x14ac:dyDescent="0.25">
      <c r="A5" s="330"/>
      <c r="B5" s="330"/>
      <c r="C5" s="330"/>
      <c r="D5" s="330"/>
      <c r="E5" s="330"/>
      <c r="F5" s="330"/>
      <c r="G5" s="330"/>
      <c r="H5" s="330"/>
      <c r="I5" s="330"/>
      <c r="J5" s="330"/>
      <c r="K5" s="330"/>
      <c r="L5" s="330"/>
      <c r="M5" s="330"/>
      <c r="N5" s="330"/>
      <c r="O5" s="330"/>
      <c r="P5" s="330"/>
      <c r="Q5" s="330"/>
      <c r="R5" s="330"/>
      <c r="S5" s="330"/>
      <c r="T5" s="330"/>
      <c r="U5" s="330"/>
      <c r="V5" s="330"/>
      <c r="W5" s="330"/>
      <c r="X5" s="330"/>
      <c r="Y5" s="330"/>
      <c r="Z5" s="330"/>
      <c r="AA5" s="330"/>
      <c r="AB5" s="330"/>
      <c r="AC5" s="330"/>
      <c r="AD5" s="330"/>
      <c r="AE5" s="330"/>
      <c r="AF5" s="330"/>
      <c r="AG5" s="330"/>
      <c r="AH5" s="330"/>
      <c r="AI5" s="330"/>
    </row>
    <row r="6" spans="1:35" ht="19" x14ac:dyDescent="0.25">
      <c r="A6" s="330"/>
      <c r="B6" s="330"/>
      <c r="C6" s="330"/>
      <c r="D6" s="330"/>
      <c r="E6" s="330"/>
      <c r="F6" s="330"/>
      <c r="G6" s="330"/>
      <c r="H6" s="330"/>
      <c r="I6" s="330"/>
      <c r="J6" s="330"/>
      <c r="K6" s="330"/>
      <c r="L6" s="330"/>
      <c r="M6" s="330"/>
      <c r="N6" s="330"/>
      <c r="O6" s="330"/>
      <c r="P6" s="330"/>
      <c r="Q6" s="330"/>
      <c r="R6" s="330"/>
      <c r="S6" s="330"/>
      <c r="T6" s="330"/>
      <c r="U6" s="330"/>
      <c r="V6" s="330"/>
      <c r="W6" s="330"/>
      <c r="X6" s="330"/>
      <c r="Y6" s="330"/>
      <c r="Z6" s="330"/>
      <c r="AA6" s="330"/>
      <c r="AB6" s="330"/>
      <c r="AC6" s="330"/>
      <c r="AD6" s="330"/>
      <c r="AE6" s="330"/>
      <c r="AF6" s="330"/>
      <c r="AG6" s="330"/>
      <c r="AH6" s="330"/>
      <c r="AI6" s="330"/>
    </row>
    <row r="7" spans="1:35" ht="20" thickBot="1" x14ac:dyDescent="0.3">
      <c r="A7" s="330"/>
      <c r="B7" s="330"/>
      <c r="C7" s="330"/>
      <c r="D7" s="330"/>
      <c r="E7" s="330"/>
      <c r="F7" s="330"/>
      <c r="G7" s="330"/>
      <c r="H7" s="330"/>
      <c r="I7" s="330"/>
      <c r="J7" s="330"/>
      <c r="K7" s="330"/>
      <c r="L7" s="330"/>
      <c r="M7" s="330"/>
      <c r="N7" s="330"/>
      <c r="O7" s="330"/>
      <c r="P7" s="330"/>
      <c r="Q7" s="330"/>
      <c r="R7" s="330"/>
      <c r="S7" s="330"/>
      <c r="T7" s="330"/>
      <c r="U7" s="330"/>
      <c r="V7" s="330"/>
      <c r="W7" s="330"/>
      <c r="X7" s="330"/>
      <c r="Y7" s="330"/>
      <c r="Z7" s="330"/>
      <c r="AA7" s="330"/>
      <c r="AB7" s="330"/>
      <c r="AC7" s="330"/>
      <c r="AD7" s="330"/>
      <c r="AE7" s="330"/>
      <c r="AF7" s="330"/>
      <c r="AG7" s="330"/>
      <c r="AH7" s="330"/>
      <c r="AI7" s="330"/>
    </row>
    <row r="8" spans="1:35" ht="31" x14ac:dyDescent="0.35">
      <c r="A8" s="977" t="s">
        <v>24</v>
      </c>
      <c r="B8" s="978"/>
      <c r="C8" s="920"/>
      <c r="D8" s="520"/>
      <c r="E8" s="520"/>
      <c r="F8" s="520"/>
      <c r="G8" s="521"/>
      <c r="H8" s="520"/>
      <c r="I8" s="520"/>
      <c r="J8" s="520"/>
      <c r="K8" s="520"/>
      <c r="L8" s="520"/>
      <c r="M8" s="520"/>
      <c r="N8" s="520"/>
      <c r="O8" s="520"/>
      <c r="P8" s="520"/>
      <c r="Q8" s="520"/>
      <c r="R8" s="520"/>
      <c r="S8" s="520"/>
      <c r="T8" s="520"/>
      <c r="U8" s="520"/>
      <c r="V8" s="520"/>
      <c r="W8" s="520"/>
      <c r="X8" s="520"/>
      <c r="Y8" s="520"/>
      <c r="Z8" s="520"/>
      <c r="AA8" s="520"/>
      <c r="AB8" s="520"/>
      <c r="AC8" s="520"/>
      <c r="AD8" s="520"/>
      <c r="AE8" s="520"/>
      <c r="AF8" s="520"/>
      <c r="AG8" s="522"/>
      <c r="AH8" s="330"/>
    </row>
    <row r="9" spans="1:35" ht="31" x14ac:dyDescent="0.35">
      <c r="A9" s="979" t="s">
        <v>25</v>
      </c>
      <c r="B9" s="980"/>
      <c r="C9" s="921"/>
      <c r="D9" s="922"/>
      <c r="E9" s="922"/>
      <c r="F9" s="922"/>
      <c r="G9" s="922"/>
      <c r="H9" s="922"/>
      <c r="I9" s="922"/>
      <c r="J9" s="922"/>
      <c r="K9" s="922"/>
      <c r="L9" s="922"/>
      <c r="M9" s="922"/>
      <c r="N9" s="922"/>
      <c r="O9" s="922"/>
      <c r="P9" s="922"/>
      <c r="Q9" s="922"/>
      <c r="R9" s="922"/>
      <c r="S9" s="922"/>
      <c r="T9" s="922"/>
      <c r="U9" s="922"/>
      <c r="V9" s="922"/>
      <c r="W9" s="922"/>
      <c r="X9" s="922"/>
      <c r="Y9" s="922"/>
      <c r="Z9" s="922"/>
      <c r="AA9" s="922"/>
      <c r="AB9" s="922"/>
      <c r="AC9" s="922"/>
      <c r="AD9" s="922"/>
      <c r="AE9" s="922"/>
      <c r="AF9" s="922"/>
      <c r="AG9" s="523"/>
      <c r="AH9" s="330"/>
    </row>
    <row r="10" spans="1:35" ht="26" x14ac:dyDescent="0.3">
      <c r="A10" s="554" t="s">
        <v>26</v>
      </c>
      <c r="B10" s="914">
        <v>45964</v>
      </c>
      <c r="C10" s="921"/>
      <c r="D10" s="922"/>
      <c r="E10" s="922"/>
      <c r="F10" s="976"/>
      <c r="G10" s="976"/>
      <c r="H10" s="923"/>
      <c r="I10" s="923"/>
      <c r="J10" s="976"/>
      <c r="K10" s="976"/>
      <c r="L10" s="922"/>
      <c r="M10" s="922"/>
      <c r="N10" s="922"/>
      <c r="O10" s="922"/>
      <c r="P10" s="923"/>
      <c r="Q10" s="922"/>
      <c r="R10" s="922"/>
      <c r="S10" s="976"/>
      <c r="T10" s="976"/>
      <c r="U10" s="922"/>
      <c r="V10" s="922"/>
      <c r="W10" s="976"/>
      <c r="X10" s="976"/>
      <c r="Y10" s="922"/>
      <c r="Z10" s="922"/>
      <c r="AA10" s="922"/>
      <c r="AB10" s="922"/>
      <c r="AC10" s="922"/>
      <c r="AD10" s="922"/>
      <c r="AE10" s="922"/>
      <c r="AF10" s="922"/>
      <c r="AG10" s="523"/>
      <c r="AH10" s="330"/>
    </row>
    <row r="11" spans="1:35" ht="27" thickBot="1" x14ac:dyDescent="0.35">
      <c r="A11" s="555" t="s">
        <v>27</v>
      </c>
      <c r="B11" s="915">
        <v>46002</v>
      </c>
      <c r="C11" s="924"/>
      <c r="D11" s="925"/>
      <c r="E11" s="925"/>
      <c r="F11" s="925"/>
      <c r="G11" s="925"/>
      <c r="H11" s="925"/>
      <c r="I11" s="925"/>
      <c r="J11" s="925"/>
      <c r="K11" s="925"/>
      <c r="L11" s="925"/>
      <c r="M11" s="925"/>
      <c r="N11" s="925"/>
      <c r="O11" s="925"/>
      <c r="P11" s="925"/>
      <c r="Q11" s="925"/>
      <c r="R11" s="925"/>
      <c r="S11" s="925"/>
      <c r="T11" s="925"/>
      <c r="U11" s="925"/>
      <c r="V11" s="925"/>
      <c r="W11" s="925"/>
      <c r="X11" s="925"/>
      <c r="Y11" s="925"/>
      <c r="Z11" s="925"/>
      <c r="AA11" s="925"/>
      <c r="AB11" s="925"/>
      <c r="AC11" s="925"/>
      <c r="AD11" s="925"/>
      <c r="AE11" s="925"/>
      <c r="AF11" s="925"/>
      <c r="AG11" s="926"/>
      <c r="AH11" s="330"/>
    </row>
    <row r="12" spans="1:35" ht="21" thickBot="1" x14ac:dyDescent="0.3">
      <c r="A12" s="552" t="s">
        <v>28</v>
      </c>
      <c r="B12" s="553" t="s">
        <v>29</v>
      </c>
      <c r="C12" s="916" t="s">
        <v>30</v>
      </c>
      <c r="D12" s="917" t="s">
        <v>31</v>
      </c>
      <c r="E12" s="918">
        <v>45964</v>
      </c>
      <c r="F12" s="918">
        <v>45965</v>
      </c>
      <c r="G12" s="918">
        <v>45966</v>
      </c>
      <c r="H12" s="918">
        <v>45967</v>
      </c>
      <c r="I12" s="918">
        <v>45968</v>
      </c>
      <c r="J12" s="918">
        <v>45971</v>
      </c>
      <c r="K12" s="918">
        <v>45972</v>
      </c>
      <c r="L12" s="918">
        <v>45973</v>
      </c>
      <c r="M12" s="918">
        <v>45974</v>
      </c>
      <c r="N12" s="918">
        <v>45975</v>
      </c>
      <c r="O12" s="918">
        <v>45978</v>
      </c>
      <c r="P12" s="918">
        <v>45979</v>
      </c>
      <c r="Q12" s="918">
        <v>45980</v>
      </c>
      <c r="R12" s="918">
        <v>45981</v>
      </c>
      <c r="S12" s="918">
        <v>45982</v>
      </c>
      <c r="T12" s="918">
        <v>45985</v>
      </c>
      <c r="U12" s="918">
        <v>45986</v>
      </c>
      <c r="V12" s="918">
        <v>45987</v>
      </c>
      <c r="W12" s="918">
        <v>45988</v>
      </c>
      <c r="X12" s="918">
        <v>45989</v>
      </c>
      <c r="Y12" s="918">
        <v>45992</v>
      </c>
      <c r="Z12" s="918">
        <v>45993</v>
      </c>
      <c r="AA12" s="918">
        <v>45994</v>
      </c>
      <c r="AB12" s="918">
        <v>45995</v>
      </c>
      <c r="AC12" s="918">
        <v>45996</v>
      </c>
      <c r="AD12" s="918">
        <v>45999</v>
      </c>
      <c r="AE12" s="918">
        <v>46000</v>
      </c>
      <c r="AF12" s="918">
        <v>46001</v>
      </c>
      <c r="AG12" s="919">
        <v>46002</v>
      </c>
      <c r="AI12" s="330"/>
    </row>
    <row r="13" spans="1:35" ht="20" thickBot="1" x14ac:dyDescent="0.3">
      <c r="A13" s="524"/>
      <c r="B13" s="525"/>
      <c r="C13" s="525"/>
      <c r="D13" s="525"/>
      <c r="E13" s="526"/>
      <c r="F13" s="526"/>
      <c r="G13" s="525"/>
      <c r="H13" s="525"/>
      <c r="I13" s="525"/>
      <c r="J13" s="525"/>
      <c r="K13" s="525"/>
      <c r="L13" s="525"/>
      <c r="M13" s="525"/>
      <c r="N13" s="525"/>
      <c r="O13" s="525"/>
      <c r="P13" s="525"/>
      <c r="Q13" s="525"/>
      <c r="R13" s="525"/>
      <c r="S13" s="525"/>
      <c r="T13" s="525"/>
      <c r="U13" s="525"/>
      <c r="V13" s="525"/>
      <c r="W13" s="525"/>
      <c r="X13" s="525"/>
      <c r="Y13" s="525"/>
      <c r="Z13" s="525"/>
      <c r="AA13" s="525"/>
      <c r="AB13" s="525"/>
      <c r="AC13" s="525"/>
      <c r="AD13" s="525"/>
      <c r="AE13" s="525"/>
      <c r="AF13" s="525"/>
      <c r="AG13" s="527"/>
      <c r="AI13" s="330"/>
    </row>
    <row r="14" spans="1:35" ht="19" x14ac:dyDescent="0.25">
      <c r="A14" s="528" t="s">
        <v>32</v>
      </c>
      <c r="B14" s="529">
        <v>45978</v>
      </c>
      <c r="C14" s="529">
        <v>45978</v>
      </c>
      <c r="D14" s="529">
        <v>46001</v>
      </c>
      <c r="E14" s="530"/>
      <c r="F14" s="530"/>
      <c r="G14" s="530"/>
      <c r="H14" s="530"/>
      <c r="I14" s="530"/>
      <c r="J14" s="530"/>
      <c r="K14" s="530"/>
      <c r="L14" s="530"/>
      <c r="M14" s="530"/>
      <c r="N14" s="530"/>
      <c r="O14" s="531"/>
      <c r="P14" s="531"/>
      <c r="Q14" s="531"/>
      <c r="R14" s="531"/>
      <c r="S14" s="531"/>
      <c r="T14" s="531"/>
      <c r="U14" s="531"/>
      <c r="V14" s="531"/>
      <c r="W14" s="531"/>
      <c r="X14" s="531"/>
      <c r="Y14" s="531"/>
      <c r="Z14" s="531"/>
      <c r="AA14" s="531"/>
      <c r="AB14" s="531"/>
      <c r="AC14" s="531"/>
      <c r="AD14" s="531"/>
      <c r="AE14" s="531"/>
      <c r="AF14" s="531"/>
      <c r="AG14" s="532"/>
      <c r="AI14" s="330"/>
    </row>
    <row r="15" spans="1:35" ht="19" x14ac:dyDescent="0.25">
      <c r="A15" s="533" t="s">
        <v>33</v>
      </c>
      <c r="B15" s="534">
        <v>45982</v>
      </c>
      <c r="C15" s="534">
        <v>45982</v>
      </c>
      <c r="D15" s="534">
        <v>45989</v>
      </c>
      <c r="E15" s="535"/>
      <c r="F15" s="535"/>
      <c r="G15" s="535"/>
      <c r="H15" s="535"/>
      <c r="I15" s="535"/>
      <c r="J15" s="535"/>
      <c r="K15" s="535"/>
      <c r="L15" s="535"/>
      <c r="M15" s="535"/>
      <c r="N15" s="535"/>
      <c r="O15" s="535"/>
      <c r="P15" s="535"/>
      <c r="Q15" s="535"/>
      <c r="R15" s="535"/>
      <c r="S15" s="536"/>
      <c r="T15" s="536"/>
      <c r="U15" s="536"/>
      <c r="V15" s="536"/>
      <c r="W15" s="536"/>
      <c r="X15" s="536"/>
      <c r="Y15" s="535"/>
      <c r="Z15" s="535"/>
      <c r="AA15" s="535"/>
      <c r="AB15" s="535"/>
      <c r="AC15" s="535"/>
      <c r="AD15" s="535"/>
      <c r="AE15" s="535"/>
      <c r="AF15" s="535"/>
      <c r="AG15" s="537"/>
      <c r="AI15" s="330"/>
    </row>
    <row r="16" spans="1:35" ht="19" x14ac:dyDescent="0.25">
      <c r="A16" s="538" t="s">
        <v>34</v>
      </c>
      <c r="B16" s="539">
        <v>45964</v>
      </c>
      <c r="C16" s="539">
        <v>45964</v>
      </c>
      <c r="D16" s="539">
        <v>45967</v>
      </c>
      <c r="E16" s="536"/>
      <c r="F16" s="536"/>
      <c r="G16" s="536"/>
      <c r="H16" s="536"/>
      <c r="I16" s="535"/>
      <c r="J16" s="535"/>
      <c r="K16" s="535"/>
      <c r="L16" s="535"/>
      <c r="M16" s="535"/>
      <c r="N16" s="535"/>
      <c r="O16" s="535"/>
      <c r="P16" s="535"/>
      <c r="Q16" s="535"/>
      <c r="R16" s="535"/>
      <c r="S16" s="535"/>
      <c r="T16" s="535"/>
      <c r="U16" s="535"/>
      <c r="V16" s="535"/>
      <c r="W16" s="535"/>
      <c r="X16" s="535"/>
      <c r="Y16" s="535"/>
      <c r="Z16" s="535"/>
      <c r="AA16" s="535"/>
      <c r="AB16" s="535"/>
      <c r="AC16" s="535"/>
      <c r="AD16" s="535"/>
      <c r="AE16" s="535"/>
      <c r="AF16" s="535"/>
      <c r="AG16" s="537"/>
      <c r="AI16" s="330"/>
    </row>
    <row r="17" spans="1:35" ht="19" x14ac:dyDescent="0.25">
      <c r="A17" s="533" t="s">
        <v>35</v>
      </c>
      <c r="B17" s="534">
        <v>45964</v>
      </c>
      <c r="C17" s="534">
        <v>45964</v>
      </c>
      <c r="D17" s="534">
        <v>45965</v>
      </c>
      <c r="E17" s="536"/>
      <c r="F17" s="536"/>
      <c r="G17" s="535"/>
      <c r="H17" s="535"/>
      <c r="I17" s="535"/>
      <c r="J17" s="535"/>
      <c r="K17" s="535"/>
      <c r="L17" s="535"/>
      <c r="M17" s="535"/>
      <c r="N17" s="535"/>
      <c r="O17" s="535"/>
      <c r="P17" s="535"/>
      <c r="Q17" s="535"/>
      <c r="R17" s="535"/>
      <c r="S17" s="535"/>
      <c r="T17" s="535"/>
      <c r="U17" s="535"/>
      <c r="V17" s="535"/>
      <c r="W17" s="535"/>
      <c r="X17" s="535"/>
      <c r="Y17" s="535"/>
      <c r="Z17" s="535"/>
      <c r="AA17" s="535"/>
      <c r="AB17" s="535"/>
      <c r="AC17" s="535"/>
      <c r="AD17" s="535"/>
      <c r="AE17" s="535"/>
      <c r="AF17" s="535"/>
      <c r="AG17" s="537"/>
      <c r="AI17" s="330"/>
    </row>
    <row r="18" spans="1:35" ht="19" x14ac:dyDescent="0.25">
      <c r="A18" s="538" t="s">
        <v>36</v>
      </c>
      <c r="B18" s="539">
        <v>45965</v>
      </c>
      <c r="C18" s="539">
        <v>45965</v>
      </c>
      <c r="D18" s="539">
        <v>45994</v>
      </c>
      <c r="E18" s="535"/>
      <c r="F18" s="536"/>
      <c r="G18" s="536"/>
      <c r="H18" s="536"/>
      <c r="I18" s="536"/>
      <c r="J18" s="536"/>
      <c r="K18" s="536"/>
      <c r="L18" s="536"/>
      <c r="M18" s="536"/>
      <c r="N18" s="536"/>
      <c r="O18" s="536"/>
      <c r="P18" s="536"/>
      <c r="Q18" s="536"/>
      <c r="R18" s="536"/>
      <c r="S18" s="536"/>
      <c r="T18" s="536"/>
      <c r="U18" s="536"/>
      <c r="V18" s="536"/>
      <c r="W18" s="536"/>
      <c r="X18" s="536"/>
      <c r="Y18" s="536"/>
      <c r="Z18" s="536"/>
      <c r="AA18" s="536"/>
      <c r="AB18" s="535"/>
      <c r="AC18" s="535"/>
      <c r="AD18" s="535"/>
      <c r="AE18" s="535"/>
      <c r="AF18" s="535"/>
      <c r="AG18" s="537"/>
      <c r="AI18" s="330"/>
    </row>
    <row r="19" spans="1:35" ht="19" x14ac:dyDescent="0.25">
      <c r="A19" s="533" t="s">
        <v>37</v>
      </c>
      <c r="B19" s="534">
        <v>45965</v>
      </c>
      <c r="C19" s="534">
        <v>45965</v>
      </c>
      <c r="D19" s="534">
        <v>45967</v>
      </c>
      <c r="E19" s="535"/>
      <c r="F19" s="536"/>
      <c r="G19" s="536"/>
      <c r="H19" s="536"/>
      <c r="I19" s="535"/>
      <c r="J19" s="535"/>
      <c r="K19" s="535"/>
      <c r="L19" s="535"/>
      <c r="M19" s="535"/>
      <c r="N19" s="535"/>
      <c r="O19" s="535"/>
      <c r="P19" s="535"/>
      <c r="Q19" s="535"/>
      <c r="R19" s="535"/>
      <c r="S19" s="535"/>
      <c r="T19" s="535"/>
      <c r="U19" s="535"/>
      <c r="V19" s="535"/>
      <c r="W19" s="535"/>
      <c r="X19" s="535"/>
      <c r="Y19" s="535"/>
      <c r="Z19" s="535"/>
      <c r="AA19" s="535"/>
      <c r="AB19" s="535"/>
      <c r="AC19" s="535"/>
      <c r="AD19" s="535"/>
      <c r="AE19" s="535"/>
      <c r="AF19" s="535"/>
      <c r="AG19" s="537"/>
      <c r="AI19" s="330"/>
    </row>
    <row r="20" spans="1:35" ht="19" x14ac:dyDescent="0.25">
      <c r="A20" s="538" t="s">
        <v>38</v>
      </c>
      <c r="B20" s="539">
        <v>45964</v>
      </c>
      <c r="C20" s="539">
        <v>45966</v>
      </c>
      <c r="D20" s="539">
        <v>45987</v>
      </c>
      <c r="E20" s="535"/>
      <c r="F20" s="535"/>
      <c r="G20" s="536"/>
      <c r="H20" s="536"/>
      <c r="I20" s="536"/>
      <c r="J20" s="536"/>
      <c r="K20" s="536"/>
      <c r="L20" s="536"/>
      <c r="M20" s="536"/>
      <c r="N20" s="536"/>
      <c r="O20" s="536"/>
      <c r="P20" s="536"/>
      <c r="Q20" s="536"/>
      <c r="R20" s="536"/>
      <c r="S20" s="536"/>
      <c r="T20" s="536"/>
      <c r="U20" s="536"/>
      <c r="V20" s="536"/>
      <c r="W20" s="535"/>
      <c r="X20" s="535"/>
      <c r="Y20" s="535"/>
      <c r="Z20" s="535"/>
      <c r="AA20" s="535"/>
      <c r="AB20" s="535"/>
      <c r="AC20" s="535"/>
      <c r="AD20" s="535"/>
      <c r="AE20" s="535"/>
      <c r="AF20" s="535"/>
      <c r="AG20" s="537"/>
      <c r="AI20" s="330"/>
    </row>
    <row r="21" spans="1:35" ht="19" x14ac:dyDescent="0.25">
      <c r="A21" s="533" t="s">
        <v>39</v>
      </c>
      <c r="B21" s="534">
        <v>45978</v>
      </c>
      <c r="C21" s="540">
        <v>45992</v>
      </c>
      <c r="D21" s="540">
        <v>45996</v>
      </c>
      <c r="E21" s="535"/>
      <c r="F21" s="535"/>
      <c r="G21" s="535"/>
      <c r="H21" s="535"/>
      <c r="I21" s="535"/>
      <c r="J21" s="535"/>
      <c r="K21" s="535"/>
      <c r="L21" s="535"/>
      <c r="M21" s="535"/>
      <c r="N21" s="535"/>
      <c r="O21" s="535"/>
      <c r="P21" s="535"/>
      <c r="Q21" s="535"/>
      <c r="R21" s="535"/>
      <c r="S21" s="535"/>
      <c r="T21" s="535"/>
      <c r="U21" s="535"/>
      <c r="V21" s="535"/>
      <c r="W21" s="535"/>
      <c r="X21" s="535"/>
      <c r="Y21" s="536"/>
      <c r="Z21" s="536"/>
      <c r="AA21" s="536"/>
      <c r="AB21" s="536"/>
      <c r="AC21" s="536"/>
      <c r="AD21" s="535"/>
      <c r="AE21" s="535"/>
      <c r="AF21" s="535"/>
      <c r="AG21" s="537"/>
      <c r="AI21" s="330"/>
    </row>
    <row r="22" spans="1:35" ht="19" x14ac:dyDescent="0.25">
      <c r="A22" s="541" t="s">
        <v>40</v>
      </c>
      <c r="B22" s="539">
        <v>45978</v>
      </c>
      <c r="C22" s="539">
        <v>45978</v>
      </c>
      <c r="D22" s="539">
        <v>45992</v>
      </c>
      <c r="E22" s="535"/>
      <c r="F22" s="535"/>
      <c r="G22" s="535"/>
      <c r="H22" s="535"/>
      <c r="I22" s="535"/>
      <c r="J22" s="535"/>
      <c r="K22" s="535"/>
      <c r="L22" s="535"/>
      <c r="M22" s="535"/>
      <c r="N22" s="535"/>
      <c r="O22" s="536"/>
      <c r="P22" s="536"/>
      <c r="Q22" s="536"/>
      <c r="R22" s="536"/>
      <c r="S22" s="536"/>
      <c r="T22" s="536"/>
      <c r="U22" s="536"/>
      <c r="V22" s="536"/>
      <c r="W22" s="536"/>
      <c r="X22" s="536"/>
      <c r="Y22" s="536"/>
      <c r="Z22" s="535"/>
      <c r="AA22" s="535"/>
      <c r="AB22" s="535"/>
      <c r="AC22" s="535"/>
      <c r="AD22" s="535"/>
      <c r="AE22" s="535"/>
      <c r="AF22" s="535"/>
      <c r="AG22" s="537"/>
      <c r="AI22" s="330"/>
    </row>
    <row r="23" spans="1:35" ht="19" x14ac:dyDescent="0.25">
      <c r="A23" s="542" t="s">
        <v>41</v>
      </c>
      <c r="B23" s="543">
        <v>45980</v>
      </c>
      <c r="C23" s="543">
        <v>45992</v>
      </c>
      <c r="D23" s="543">
        <v>45996</v>
      </c>
      <c r="E23" s="535"/>
      <c r="F23" s="535"/>
      <c r="G23" s="535"/>
      <c r="H23" s="535"/>
      <c r="I23" s="535"/>
      <c r="J23" s="535"/>
      <c r="K23" s="535"/>
      <c r="L23" s="535"/>
      <c r="M23" s="535"/>
      <c r="N23" s="535"/>
      <c r="O23" s="535"/>
      <c r="P23" s="535"/>
      <c r="Q23" s="535"/>
      <c r="R23" s="535"/>
      <c r="S23" s="535"/>
      <c r="T23" s="535"/>
      <c r="U23" s="535"/>
      <c r="V23" s="535"/>
      <c r="W23" s="535"/>
      <c r="X23" s="535"/>
      <c r="Y23" s="536"/>
      <c r="Z23" s="536"/>
      <c r="AA23" s="536"/>
      <c r="AB23" s="536"/>
      <c r="AC23" s="536"/>
      <c r="AD23" s="535"/>
      <c r="AE23" s="535"/>
      <c r="AF23" s="535"/>
      <c r="AG23" s="537"/>
      <c r="AI23" s="330"/>
    </row>
    <row r="24" spans="1:35" ht="19" x14ac:dyDescent="0.25">
      <c r="A24" s="541" t="s">
        <v>42</v>
      </c>
      <c r="B24" s="539">
        <v>45979</v>
      </c>
      <c r="C24" s="539">
        <v>45980</v>
      </c>
      <c r="D24" s="539">
        <v>45982</v>
      </c>
      <c r="E24" s="544"/>
      <c r="F24" s="544"/>
      <c r="G24" s="544"/>
      <c r="H24" s="544"/>
      <c r="I24" s="544"/>
      <c r="J24" s="544"/>
      <c r="K24" s="544"/>
      <c r="L24" s="544"/>
      <c r="M24" s="544"/>
      <c r="N24" s="544"/>
      <c r="O24" s="544"/>
      <c r="P24" s="544"/>
      <c r="Q24" s="544"/>
      <c r="R24" s="544"/>
      <c r="S24" s="544"/>
      <c r="T24" s="544"/>
      <c r="U24" s="544"/>
      <c r="V24" s="544"/>
      <c r="W24" s="544"/>
      <c r="X24" s="544"/>
      <c r="Y24" s="544"/>
      <c r="Z24" s="544"/>
      <c r="AA24" s="545"/>
      <c r="AB24" s="545"/>
      <c r="AC24" s="545"/>
      <c r="AD24" s="545"/>
      <c r="AE24" s="545"/>
      <c r="AF24" s="545"/>
      <c r="AG24" s="546"/>
      <c r="AI24" s="330"/>
    </row>
    <row r="25" spans="1:35" ht="19" x14ac:dyDescent="0.25">
      <c r="A25" s="542" t="s">
        <v>43</v>
      </c>
      <c r="B25" s="543">
        <v>45992</v>
      </c>
      <c r="C25" s="543">
        <v>45994</v>
      </c>
      <c r="D25" s="543">
        <v>46001</v>
      </c>
      <c r="E25" s="535"/>
      <c r="F25" s="535"/>
      <c r="G25" s="535"/>
      <c r="H25" s="535"/>
      <c r="I25" s="535"/>
      <c r="J25" s="535"/>
      <c r="K25" s="535"/>
      <c r="L25" s="535"/>
      <c r="M25" s="535"/>
      <c r="N25" s="535"/>
      <c r="O25" s="535"/>
      <c r="P25" s="535"/>
      <c r="Q25" s="536"/>
      <c r="R25" s="536"/>
      <c r="S25" s="536"/>
      <c r="T25" s="535"/>
      <c r="U25" s="535"/>
      <c r="V25" s="535"/>
      <c r="W25" s="535"/>
      <c r="X25" s="535"/>
      <c r="Y25" s="535"/>
      <c r="Z25" s="535"/>
      <c r="AA25" s="535"/>
      <c r="AB25" s="535"/>
      <c r="AC25" s="535"/>
      <c r="AD25" s="535"/>
      <c r="AE25" s="535"/>
      <c r="AF25" s="535"/>
      <c r="AG25" s="537"/>
      <c r="AI25" s="330"/>
    </row>
    <row r="26" spans="1:35" ht="19" x14ac:dyDescent="0.25">
      <c r="A26" s="541" t="s">
        <v>44</v>
      </c>
      <c r="B26" s="539">
        <v>45985</v>
      </c>
      <c r="C26" s="539">
        <v>45985</v>
      </c>
      <c r="D26" s="539">
        <v>45992</v>
      </c>
      <c r="E26" s="535"/>
      <c r="F26" s="535"/>
      <c r="G26" s="535"/>
      <c r="H26" s="535"/>
      <c r="I26" s="535"/>
      <c r="J26" s="535"/>
      <c r="K26" s="535"/>
      <c r="L26" s="535"/>
      <c r="M26" s="535"/>
      <c r="N26" s="535"/>
      <c r="O26" s="535"/>
      <c r="P26" s="535"/>
      <c r="Q26" s="535"/>
      <c r="R26" s="535"/>
      <c r="S26" s="535"/>
      <c r="T26" s="536"/>
      <c r="U26" s="536"/>
      <c r="V26" s="536"/>
      <c r="W26" s="536"/>
      <c r="X26" s="536"/>
      <c r="Y26" s="536"/>
      <c r="Z26" s="535"/>
      <c r="AA26" s="535"/>
      <c r="AB26" s="535"/>
      <c r="AC26" s="535"/>
      <c r="AD26" s="535"/>
      <c r="AE26" s="535"/>
      <c r="AF26" s="535"/>
      <c r="AG26" s="537"/>
      <c r="AI26" s="330"/>
    </row>
    <row r="27" spans="1:35" ht="19" x14ac:dyDescent="0.25">
      <c r="A27" s="542" t="s">
        <v>45</v>
      </c>
      <c r="B27" s="543">
        <v>45992</v>
      </c>
      <c r="C27" s="543">
        <v>45992</v>
      </c>
      <c r="D27" s="543">
        <v>46001</v>
      </c>
      <c r="E27" s="535"/>
      <c r="F27" s="535"/>
      <c r="G27" s="535"/>
      <c r="H27" s="535"/>
      <c r="I27" s="535"/>
      <c r="J27" s="535"/>
      <c r="K27" s="535"/>
      <c r="L27" s="535"/>
      <c r="M27" s="535"/>
      <c r="N27" s="535"/>
      <c r="O27" s="535"/>
      <c r="P27" s="535"/>
      <c r="Q27" s="535"/>
      <c r="R27" s="535"/>
      <c r="S27" s="535"/>
      <c r="T27" s="535"/>
      <c r="U27" s="535"/>
      <c r="V27" s="535"/>
      <c r="W27" s="535"/>
      <c r="X27" s="535"/>
      <c r="Y27" s="536"/>
      <c r="Z27" s="536"/>
      <c r="AA27" s="536"/>
      <c r="AB27" s="536"/>
      <c r="AC27" s="536"/>
      <c r="AD27" s="536"/>
      <c r="AE27" s="536"/>
      <c r="AF27" s="536"/>
      <c r="AG27" s="537"/>
      <c r="AI27" s="330"/>
    </row>
    <row r="28" spans="1:35" ht="20" thickBot="1" x14ac:dyDescent="0.3">
      <c r="A28" s="547" t="s">
        <v>46</v>
      </c>
      <c r="B28" s="548">
        <v>45992</v>
      </c>
      <c r="C28" s="548">
        <v>45996</v>
      </c>
      <c r="D28" s="548">
        <v>46001</v>
      </c>
      <c r="E28" s="549"/>
      <c r="F28" s="549"/>
      <c r="G28" s="549"/>
      <c r="H28" s="549"/>
      <c r="I28" s="549"/>
      <c r="J28" s="549"/>
      <c r="K28" s="549"/>
      <c r="L28" s="549"/>
      <c r="M28" s="549"/>
      <c r="N28" s="549"/>
      <c r="O28" s="549"/>
      <c r="P28" s="549"/>
      <c r="Q28" s="549"/>
      <c r="R28" s="549"/>
      <c r="S28" s="549"/>
      <c r="T28" s="549"/>
      <c r="U28" s="549"/>
      <c r="V28" s="549"/>
      <c r="W28" s="549"/>
      <c r="X28" s="549"/>
      <c r="Y28" s="549"/>
      <c r="Z28" s="549"/>
      <c r="AA28" s="549"/>
      <c r="AB28" s="549"/>
      <c r="AC28" s="550"/>
      <c r="AD28" s="550"/>
      <c r="AE28" s="550"/>
      <c r="AF28" s="550"/>
      <c r="AG28" s="551"/>
      <c r="AI28" s="330"/>
    </row>
    <row r="29" spans="1:35" ht="19" x14ac:dyDescent="0.25">
      <c r="A29" s="330"/>
      <c r="B29" s="330"/>
      <c r="C29" s="330"/>
      <c r="D29" s="330"/>
      <c r="E29" s="330"/>
      <c r="F29" s="330"/>
      <c r="G29" s="330"/>
      <c r="H29" s="330"/>
      <c r="I29" s="330"/>
      <c r="J29" s="330"/>
      <c r="K29" s="330"/>
      <c r="L29" s="330"/>
      <c r="M29" s="330"/>
      <c r="N29" s="330"/>
      <c r="O29" s="330"/>
      <c r="P29" s="330"/>
      <c r="Q29" s="330"/>
      <c r="R29" s="330"/>
      <c r="S29" s="330"/>
      <c r="T29" s="330"/>
      <c r="U29" s="330"/>
      <c r="V29" s="330"/>
      <c r="W29" s="330"/>
      <c r="X29" s="330"/>
      <c r="Y29" s="330"/>
      <c r="Z29" s="330"/>
      <c r="AA29" s="330"/>
      <c r="AB29" s="330"/>
      <c r="AC29" s="330"/>
      <c r="AD29" s="330"/>
      <c r="AE29" s="330"/>
      <c r="AF29" s="330"/>
      <c r="AG29" s="330"/>
      <c r="AH29" s="330"/>
      <c r="AI29" s="330"/>
    </row>
    <row r="30" spans="1:35" ht="19" x14ac:dyDescent="0.25">
      <c r="A30" s="330"/>
      <c r="B30" s="330"/>
      <c r="C30" s="330"/>
      <c r="D30" s="330"/>
      <c r="E30" s="330"/>
      <c r="F30" s="330"/>
      <c r="G30" s="330"/>
      <c r="H30" s="330"/>
      <c r="I30" s="330"/>
      <c r="J30" s="330"/>
      <c r="K30" s="330"/>
      <c r="L30" s="330"/>
      <c r="M30" s="330"/>
      <c r="N30" s="330"/>
      <c r="O30" s="330"/>
      <c r="P30" s="330"/>
      <c r="Q30" s="330"/>
      <c r="R30" s="330"/>
      <c r="S30" s="330"/>
      <c r="T30" s="330"/>
      <c r="U30" s="330"/>
      <c r="V30" s="330"/>
      <c r="W30" s="330"/>
      <c r="X30" s="330"/>
      <c r="Y30" s="330"/>
      <c r="Z30" s="330"/>
      <c r="AA30" s="330"/>
      <c r="AB30" s="330"/>
      <c r="AC30" s="330"/>
      <c r="AD30" s="330"/>
      <c r="AE30" s="330"/>
      <c r="AF30" s="330"/>
      <c r="AG30" s="330"/>
      <c r="AH30" s="330"/>
      <c r="AI30" s="330"/>
    </row>
    <row r="31" spans="1:35" ht="19" x14ac:dyDescent="0.25">
      <c r="A31" s="330"/>
      <c r="B31" s="330"/>
      <c r="C31" s="330"/>
      <c r="D31" s="330"/>
      <c r="E31" s="330"/>
      <c r="F31" s="330"/>
      <c r="G31" s="330"/>
      <c r="H31" s="330"/>
      <c r="I31" s="330"/>
      <c r="J31" s="330"/>
      <c r="K31" s="330"/>
      <c r="L31" s="330"/>
      <c r="M31" s="330"/>
      <c r="N31" s="330"/>
      <c r="O31" s="330"/>
      <c r="P31" s="330"/>
      <c r="Q31" s="330"/>
      <c r="R31" s="330"/>
      <c r="S31" s="330"/>
      <c r="T31" s="330"/>
      <c r="U31" s="330"/>
      <c r="V31" s="330"/>
      <c r="W31" s="330"/>
      <c r="X31" s="330"/>
      <c r="Y31" s="330"/>
      <c r="Z31" s="330"/>
      <c r="AA31" s="330"/>
      <c r="AB31" s="330"/>
      <c r="AC31" s="330"/>
      <c r="AD31" s="330"/>
      <c r="AE31" s="330"/>
      <c r="AF31" s="330"/>
      <c r="AG31" s="330"/>
      <c r="AH31" s="330"/>
      <c r="AI31" s="330"/>
    </row>
    <row r="39" spans="2:2" x14ac:dyDescent="0.2">
      <c r="B39" s="146"/>
    </row>
    <row r="40" spans="2:2" x14ac:dyDescent="0.2">
      <c r="B40" s="146"/>
    </row>
    <row r="41" spans="2:2" x14ac:dyDescent="0.2">
      <c r="B41" s="146"/>
    </row>
    <row r="43" spans="2:2" x14ac:dyDescent="0.2">
      <c r="B43" s="146"/>
    </row>
    <row r="45" spans="2:2" x14ac:dyDescent="0.2">
      <c r="B45" s="146"/>
    </row>
    <row r="46" spans="2:2" x14ac:dyDescent="0.2">
      <c r="B46" s="146"/>
    </row>
    <row r="49" spans="2:2" x14ac:dyDescent="0.2">
      <c r="B49" s="146"/>
    </row>
    <row r="50" spans="2:2" x14ac:dyDescent="0.2">
      <c r="B50" s="146"/>
    </row>
    <row r="51" spans="2:2" x14ac:dyDescent="0.2">
      <c r="B51" s="146"/>
    </row>
    <row r="55" spans="2:2" x14ac:dyDescent="0.2">
      <c r="B55" s="146"/>
    </row>
  </sheetData>
  <mergeCells count="7">
    <mergeCell ref="B2:E2"/>
    <mergeCell ref="S10:T10"/>
    <mergeCell ref="W10:X10"/>
    <mergeCell ref="A8:B8"/>
    <mergeCell ref="A9:B9"/>
    <mergeCell ref="F10:G10"/>
    <mergeCell ref="J10:K1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90BBE-D743-4DBB-A757-9F4F066F62F6}">
  <dimension ref="B2:R31"/>
  <sheetViews>
    <sheetView zoomScale="70" workbookViewId="0">
      <selection activeCell="N15" sqref="N15"/>
    </sheetView>
  </sheetViews>
  <sheetFormatPr baseColWidth="10" defaultColWidth="8.83203125" defaultRowHeight="15" x14ac:dyDescent="0.2"/>
  <cols>
    <col min="9" max="9" width="14.83203125" bestFit="1" customWidth="1"/>
    <col min="10" max="10" width="9.6640625" customWidth="1"/>
    <col min="12" max="12" width="25" customWidth="1"/>
    <col min="13" max="13" width="21.6640625" customWidth="1"/>
    <col min="14" max="14" width="24" customWidth="1"/>
    <col min="15" max="15" width="19.5" customWidth="1"/>
    <col min="16" max="16" width="17.6640625" customWidth="1"/>
    <col min="17" max="17" width="14.33203125" customWidth="1"/>
  </cols>
  <sheetData>
    <row r="2" spans="2:18" ht="16" thickBot="1" x14ac:dyDescent="0.25"/>
    <row r="3" spans="2:18" ht="27" thickBot="1" x14ac:dyDescent="0.25">
      <c r="B3" s="984" t="s">
        <v>47</v>
      </c>
      <c r="C3" s="985"/>
      <c r="D3" s="985"/>
      <c r="E3" s="985"/>
      <c r="F3" s="985"/>
      <c r="G3" s="985"/>
      <c r="H3" s="985"/>
      <c r="I3" s="985"/>
      <c r="J3" s="986"/>
      <c r="L3" s="984" t="s">
        <v>48</v>
      </c>
      <c r="M3" s="985"/>
      <c r="N3" s="985"/>
      <c r="O3" s="985"/>
      <c r="P3" s="985"/>
      <c r="Q3" s="986"/>
    </row>
    <row r="4" spans="2:18" ht="29.75" customHeight="1" thickBot="1" x14ac:dyDescent="0.25">
      <c r="B4" s="32" t="s">
        <v>49</v>
      </c>
      <c r="C4" s="38"/>
      <c r="D4" s="38"/>
      <c r="E4" s="38"/>
      <c r="F4" s="38"/>
      <c r="G4" s="41"/>
      <c r="H4" s="42"/>
      <c r="I4" s="42"/>
      <c r="J4" s="43" t="s">
        <v>50</v>
      </c>
      <c r="L4" s="49" t="s">
        <v>51</v>
      </c>
      <c r="M4" s="50" t="s">
        <v>52</v>
      </c>
      <c r="N4" s="50" t="s">
        <v>53</v>
      </c>
      <c r="O4" s="50" t="s">
        <v>54</v>
      </c>
      <c r="P4" s="50" t="s">
        <v>55</v>
      </c>
      <c r="Q4" s="51" t="s">
        <v>56</v>
      </c>
    </row>
    <row r="5" spans="2:18" ht="45" customHeight="1" x14ac:dyDescent="0.2">
      <c r="B5" s="33"/>
      <c r="C5" s="39"/>
      <c r="D5" s="39"/>
      <c r="E5" s="39"/>
      <c r="F5" s="39"/>
      <c r="G5" s="44"/>
      <c r="H5" s="45"/>
      <c r="I5" s="45" t="s">
        <v>57</v>
      </c>
      <c r="J5" s="46" t="s">
        <v>58</v>
      </c>
      <c r="L5" s="69" t="s">
        <v>59</v>
      </c>
      <c r="M5" s="70" t="s">
        <v>60</v>
      </c>
      <c r="N5" s="70" t="s">
        <v>61</v>
      </c>
      <c r="O5" s="70" t="s">
        <v>62</v>
      </c>
      <c r="P5" s="70" t="s">
        <v>63</v>
      </c>
      <c r="Q5" s="71" t="s">
        <v>49</v>
      </c>
      <c r="R5" s="66"/>
    </row>
    <row r="6" spans="2:18" ht="36" customHeight="1" x14ac:dyDescent="0.2">
      <c r="B6" s="33"/>
      <c r="C6" s="39"/>
      <c r="D6" s="39"/>
      <c r="E6" s="39"/>
      <c r="F6" s="39"/>
      <c r="G6" s="44"/>
      <c r="H6" s="45"/>
      <c r="I6" s="45" t="s">
        <v>64</v>
      </c>
      <c r="J6" s="102" t="s">
        <v>65</v>
      </c>
      <c r="L6" s="108" t="s">
        <v>66</v>
      </c>
      <c r="M6" s="109" t="s">
        <v>67</v>
      </c>
      <c r="N6" s="109" t="s">
        <v>61</v>
      </c>
      <c r="O6" s="109" t="s">
        <v>68</v>
      </c>
      <c r="P6" s="109" t="s">
        <v>69</v>
      </c>
      <c r="Q6" s="110" t="s">
        <v>49</v>
      </c>
    </row>
    <row r="7" spans="2:18" ht="36.75" customHeight="1" thickBot="1" x14ac:dyDescent="0.25">
      <c r="B7" s="1018" t="s">
        <v>70</v>
      </c>
      <c r="C7" s="40"/>
      <c r="D7" s="40"/>
      <c r="E7" s="40"/>
      <c r="F7" s="40"/>
      <c r="G7" s="47"/>
      <c r="H7" s="48"/>
      <c r="I7" s="104"/>
      <c r="J7" s="67" t="s">
        <v>71</v>
      </c>
      <c r="L7" s="72" t="s">
        <v>72</v>
      </c>
      <c r="M7" s="63" t="s">
        <v>73</v>
      </c>
      <c r="N7" s="63" t="s">
        <v>74</v>
      </c>
      <c r="O7" s="63" t="s">
        <v>68</v>
      </c>
      <c r="P7" s="63" t="s">
        <v>75</v>
      </c>
      <c r="Q7" s="65" t="s">
        <v>49</v>
      </c>
      <c r="R7" s="66"/>
    </row>
    <row r="8" spans="2:18" ht="42" customHeight="1" x14ac:dyDescent="0.2">
      <c r="B8" s="1019"/>
      <c r="C8" s="49"/>
      <c r="D8" s="50"/>
      <c r="E8" s="50"/>
      <c r="F8" s="51"/>
      <c r="G8" s="58"/>
      <c r="H8" s="59"/>
      <c r="I8" s="59"/>
      <c r="J8" s="60" t="s">
        <v>76</v>
      </c>
      <c r="L8" s="108" t="s">
        <v>64</v>
      </c>
      <c r="M8" s="109" t="s">
        <v>77</v>
      </c>
      <c r="N8" s="109" t="s">
        <v>78</v>
      </c>
      <c r="O8" s="109" t="s">
        <v>79</v>
      </c>
      <c r="P8" s="109" t="s">
        <v>80</v>
      </c>
      <c r="Q8" s="110" t="s">
        <v>49</v>
      </c>
      <c r="R8" s="66"/>
    </row>
    <row r="9" spans="2:18" ht="37.25" customHeight="1" x14ac:dyDescent="0.2">
      <c r="B9" s="35"/>
      <c r="C9" s="52"/>
      <c r="D9" s="53"/>
      <c r="E9" s="53"/>
      <c r="F9" s="54"/>
      <c r="G9" s="58"/>
      <c r="H9" s="59"/>
      <c r="I9" s="59" t="s">
        <v>81</v>
      </c>
      <c r="J9" s="61" t="s">
        <v>82</v>
      </c>
      <c r="L9" s="64" t="s">
        <v>83</v>
      </c>
      <c r="M9" s="63" t="s">
        <v>84</v>
      </c>
      <c r="N9" s="63" t="s">
        <v>62</v>
      </c>
      <c r="O9" s="63" t="s">
        <v>79</v>
      </c>
      <c r="P9" s="63" t="s">
        <v>85</v>
      </c>
      <c r="Q9" s="65" t="s">
        <v>49</v>
      </c>
      <c r="R9" s="66"/>
    </row>
    <row r="10" spans="2:18" ht="41" customHeight="1" x14ac:dyDescent="0.2">
      <c r="B10" s="35"/>
      <c r="C10" s="52"/>
      <c r="D10" s="53"/>
      <c r="E10" s="90"/>
      <c r="F10" s="54"/>
      <c r="G10" s="91"/>
      <c r="H10" s="62"/>
      <c r="I10" s="62" t="s">
        <v>86</v>
      </c>
      <c r="J10" s="60" t="s">
        <v>87</v>
      </c>
      <c r="L10" s="108" t="s">
        <v>88</v>
      </c>
      <c r="M10" s="109" t="s">
        <v>89</v>
      </c>
      <c r="N10" s="109" t="s">
        <v>74</v>
      </c>
      <c r="O10" s="111" t="s">
        <v>62</v>
      </c>
      <c r="P10" s="109" t="s">
        <v>90</v>
      </c>
      <c r="Q10" s="112" t="s">
        <v>49</v>
      </c>
      <c r="R10" s="66"/>
    </row>
    <row r="11" spans="2:18" ht="48" customHeight="1" thickBot="1" x14ac:dyDescent="0.25">
      <c r="B11" s="34" t="s">
        <v>91</v>
      </c>
      <c r="C11" s="55"/>
      <c r="D11" s="56"/>
      <c r="E11" s="56"/>
      <c r="F11" s="57"/>
      <c r="G11" s="58"/>
      <c r="H11" s="62"/>
      <c r="I11" s="62" t="s">
        <v>92</v>
      </c>
      <c r="J11" s="60" t="s">
        <v>93</v>
      </c>
      <c r="L11" s="72" t="s">
        <v>94</v>
      </c>
      <c r="M11" s="63" t="s">
        <v>95</v>
      </c>
      <c r="N11" s="68" t="s">
        <v>61</v>
      </c>
      <c r="O11" s="68" t="s">
        <v>62</v>
      </c>
      <c r="P11" s="68" t="s">
        <v>96</v>
      </c>
      <c r="Q11" s="73" t="s">
        <v>49</v>
      </c>
    </row>
    <row r="12" spans="2:18" ht="42" customHeight="1" x14ac:dyDescent="0.2">
      <c r="B12" s="1024"/>
      <c r="C12" s="1020" t="s">
        <v>91</v>
      </c>
      <c r="D12" s="36"/>
      <c r="E12" s="36"/>
      <c r="F12" s="1020" t="s">
        <v>97</v>
      </c>
      <c r="G12" s="1020"/>
      <c r="H12" s="36"/>
      <c r="I12" s="36"/>
      <c r="J12" s="1022" t="s">
        <v>49</v>
      </c>
      <c r="L12" s="108" t="s">
        <v>98</v>
      </c>
      <c r="M12" s="109" t="s">
        <v>99</v>
      </c>
      <c r="N12" s="111" t="s">
        <v>61</v>
      </c>
      <c r="O12" s="111" t="s">
        <v>62</v>
      </c>
      <c r="P12" s="109" t="s">
        <v>100</v>
      </c>
      <c r="Q12" s="112" t="s">
        <v>101</v>
      </c>
    </row>
    <row r="13" spans="2:18" ht="26.75" customHeight="1" thickBot="1" x14ac:dyDescent="0.25">
      <c r="B13" s="1025"/>
      <c r="C13" s="1021"/>
      <c r="D13" s="37"/>
      <c r="E13" s="37"/>
      <c r="F13" s="1021"/>
      <c r="G13" s="1021"/>
      <c r="H13" s="37"/>
      <c r="I13" s="37"/>
      <c r="J13" s="1023"/>
      <c r="L13" s="74" t="s">
        <v>58</v>
      </c>
      <c r="M13" s="75" t="s">
        <v>102</v>
      </c>
      <c r="N13" s="75" t="s">
        <v>61</v>
      </c>
      <c r="O13" s="75" t="s">
        <v>79</v>
      </c>
      <c r="P13" s="75" t="s">
        <v>103</v>
      </c>
      <c r="Q13" s="76" t="s">
        <v>49</v>
      </c>
    </row>
    <row r="14" spans="2:18" ht="26.75" customHeight="1" thickBot="1" x14ac:dyDescent="0.25">
      <c r="B14" s="105"/>
      <c r="C14" s="106"/>
      <c r="D14" s="107"/>
      <c r="E14" s="107"/>
      <c r="F14" s="106"/>
      <c r="G14" s="106"/>
      <c r="H14" s="107"/>
      <c r="I14" s="107"/>
      <c r="J14" s="106"/>
      <c r="L14" s="103"/>
      <c r="M14" s="103"/>
      <c r="N14" s="103"/>
      <c r="O14" s="103"/>
      <c r="P14" s="103"/>
      <c r="Q14" s="103"/>
    </row>
    <row r="15" spans="2:18" ht="34.25" customHeight="1" thickBot="1" x14ac:dyDescent="0.25">
      <c r="B15" s="984" t="s">
        <v>104</v>
      </c>
      <c r="C15" s="985"/>
      <c r="D15" s="985"/>
      <c r="E15" s="985"/>
      <c r="F15" s="985"/>
      <c r="G15" s="985"/>
      <c r="H15" s="985"/>
      <c r="I15" s="985"/>
      <c r="J15" s="985"/>
      <c r="K15" s="986"/>
    </row>
    <row r="16" spans="2:18" ht="34.25" customHeight="1" thickBot="1" x14ac:dyDescent="0.25">
      <c r="B16" s="981" t="s">
        <v>50</v>
      </c>
      <c r="C16" s="982"/>
      <c r="D16" s="981" t="s">
        <v>105</v>
      </c>
      <c r="E16" s="983"/>
      <c r="F16" s="983"/>
      <c r="G16" s="983"/>
      <c r="H16" s="983"/>
      <c r="I16" s="983"/>
      <c r="J16" s="983"/>
      <c r="K16" s="982"/>
    </row>
    <row r="17" spans="2:13" ht="29" customHeight="1" thickBot="1" x14ac:dyDescent="0.25">
      <c r="B17" s="989" t="s">
        <v>58</v>
      </c>
      <c r="C17" s="991"/>
      <c r="D17" s="1015" t="s">
        <v>106</v>
      </c>
      <c r="E17" s="1016"/>
      <c r="F17" s="1016"/>
      <c r="G17" s="1016"/>
      <c r="H17" s="1016"/>
      <c r="I17" s="1016"/>
      <c r="J17" s="1016"/>
      <c r="K17" s="1017"/>
    </row>
    <row r="18" spans="2:13" ht="32" customHeight="1" thickBot="1" x14ac:dyDescent="0.25">
      <c r="B18" s="981" t="s">
        <v>57</v>
      </c>
      <c r="C18" s="982"/>
      <c r="D18" s="1006" t="s">
        <v>107</v>
      </c>
      <c r="E18" s="1007"/>
      <c r="F18" s="1007"/>
      <c r="G18" s="1007"/>
      <c r="H18" s="1007"/>
      <c r="I18" s="1007"/>
      <c r="J18" s="1007"/>
      <c r="K18" s="1008"/>
      <c r="M18">
        <v>7</v>
      </c>
    </row>
    <row r="19" spans="2:13" x14ac:dyDescent="0.2">
      <c r="B19" s="994" t="s">
        <v>108</v>
      </c>
      <c r="C19" s="996"/>
      <c r="D19" s="1009" t="s">
        <v>109</v>
      </c>
      <c r="E19" s="1010"/>
      <c r="F19" s="1010"/>
      <c r="G19" s="1010"/>
      <c r="H19" s="1010"/>
      <c r="I19" s="1010"/>
      <c r="J19" s="1010"/>
      <c r="K19" s="1011"/>
    </row>
    <row r="20" spans="2:13" ht="16" thickBot="1" x14ac:dyDescent="0.25">
      <c r="B20" s="1003"/>
      <c r="C20" s="1004"/>
      <c r="D20" s="1012"/>
      <c r="E20" s="1013"/>
      <c r="F20" s="1013"/>
      <c r="G20" s="1013"/>
      <c r="H20" s="1013"/>
      <c r="I20" s="1013"/>
      <c r="J20" s="1013"/>
      <c r="K20" s="1014"/>
    </row>
    <row r="21" spans="2:13" ht="16" thickBot="1" x14ac:dyDescent="0.25">
      <c r="B21" s="997" t="s">
        <v>64</v>
      </c>
      <c r="C21" s="998"/>
      <c r="D21" s="997" t="s">
        <v>110</v>
      </c>
      <c r="E21" s="1001"/>
      <c r="F21" s="1001"/>
      <c r="G21" s="1001"/>
      <c r="H21" s="1001"/>
      <c r="I21" s="1001"/>
      <c r="J21" s="1001"/>
      <c r="K21" s="998"/>
    </row>
    <row r="22" spans="2:13" x14ac:dyDescent="0.2">
      <c r="B22" s="994" t="s">
        <v>111</v>
      </c>
      <c r="C22" s="996"/>
      <c r="D22" s="994" t="s">
        <v>112</v>
      </c>
      <c r="E22" s="995"/>
      <c r="F22" s="995"/>
      <c r="G22" s="995"/>
      <c r="H22" s="995"/>
      <c r="I22" s="995"/>
      <c r="J22" s="995"/>
      <c r="K22" s="996"/>
    </row>
    <row r="23" spans="2:13" ht="16" thickBot="1" x14ac:dyDescent="0.25">
      <c r="B23" s="1003"/>
      <c r="C23" s="1004"/>
      <c r="D23" s="1003"/>
      <c r="E23" s="1005"/>
      <c r="F23" s="1005"/>
      <c r="G23" s="1005"/>
      <c r="H23" s="1005"/>
      <c r="I23" s="1005"/>
      <c r="J23" s="1005"/>
      <c r="K23" s="1004"/>
    </row>
    <row r="24" spans="2:13" ht="16" thickBot="1" x14ac:dyDescent="0.25">
      <c r="B24" s="992" t="s">
        <v>82</v>
      </c>
      <c r="C24" s="993"/>
      <c r="D24" s="981" t="s">
        <v>113</v>
      </c>
      <c r="E24" s="983"/>
      <c r="F24" s="983"/>
      <c r="G24" s="983"/>
      <c r="H24" s="983"/>
      <c r="I24" s="983"/>
      <c r="J24" s="983"/>
      <c r="K24" s="982"/>
    </row>
    <row r="25" spans="2:13" ht="16" thickBot="1" x14ac:dyDescent="0.25">
      <c r="B25" s="987" t="s">
        <v>114</v>
      </c>
      <c r="C25" s="988"/>
      <c r="D25" s="989" t="s">
        <v>115</v>
      </c>
      <c r="E25" s="990"/>
      <c r="F25" s="990"/>
      <c r="G25" s="990"/>
      <c r="H25" s="990"/>
      <c r="I25" s="990"/>
      <c r="J25" s="990"/>
      <c r="K25" s="991"/>
    </row>
    <row r="26" spans="2:13" x14ac:dyDescent="0.2">
      <c r="B26" s="997" t="s">
        <v>92</v>
      </c>
      <c r="C26" s="998"/>
      <c r="D26" s="997" t="s">
        <v>116</v>
      </c>
      <c r="E26" s="1001"/>
      <c r="F26" s="1001"/>
      <c r="G26" s="1001"/>
      <c r="H26" s="1001"/>
      <c r="I26" s="1001"/>
      <c r="J26" s="1001"/>
      <c r="K26" s="998"/>
    </row>
    <row r="27" spans="2:13" ht="16" thickBot="1" x14ac:dyDescent="0.25">
      <c r="B27" s="999"/>
      <c r="C27" s="1000"/>
      <c r="D27" s="999"/>
      <c r="E27" s="1002"/>
      <c r="F27" s="1002"/>
      <c r="G27" s="1002"/>
      <c r="H27" s="1002"/>
      <c r="I27" s="1002"/>
      <c r="J27" s="1002"/>
      <c r="K27" s="1000"/>
    </row>
    <row r="28" spans="2:13" ht="16" thickBot="1" x14ac:dyDescent="0.25">
      <c r="B28" s="987" t="s">
        <v>76</v>
      </c>
      <c r="C28" s="988"/>
      <c r="D28" s="989" t="s">
        <v>117</v>
      </c>
      <c r="E28" s="990"/>
      <c r="F28" s="990"/>
      <c r="G28" s="990"/>
      <c r="H28" s="990"/>
      <c r="I28" s="990"/>
      <c r="J28" s="990"/>
      <c r="K28" s="991"/>
    </row>
    <row r="29" spans="2:13" ht="16" thickBot="1" x14ac:dyDescent="0.25">
      <c r="B29" s="992" t="s">
        <v>111</v>
      </c>
      <c r="C29" s="993"/>
      <c r="D29" s="981" t="s">
        <v>118</v>
      </c>
      <c r="E29" s="983"/>
      <c r="F29" s="983"/>
      <c r="G29" s="983"/>
      <c r="H29" s="983"/>
      <c r="I29" s="983"/>
      <c r="J29" s="983"/>
      <c r="K29" s="982"/>
    </row>
    <row r="30" spans="2:13" ht="16" thickBot="1" x14ac:dyDescent="0.25">
      <c r="B30" s="987" t="s">
        <v>119</v>
      </c>
      <c r="C30" s="988"/>
      <c r="D30" s="994" t="s">
        <v>120</v>
      </c>
      <c r="E30" s="995"/>
      <c r="F30" s="995"/>
      <c r="G30" s="995"/>
      <c r="H30" s="995"/>
      <c r="I30" s="995"/>
      <c r="J30" s="995"/>
      <c r="K30" s="996"/>
    </row>
    <row r="31" spans="2:13" ht="16" thickBot="1" x14ac:dyDescent="0.25">
      <c r="B31" s="981" t="s">
        <v>81</v>
      </c>
      <c r="C31" s="982"/>
      <c r="D31" s="981" t="s">
        <v>121</v>
      </c>
      <c r="E31" s="983"/>
      <c r="F31" s="983"/>
      <c r="G31" s="983"/>
      <c r="H31" s="983"/>
      <c r="I31" s="983"/>
      <c r="J31" s="983"/>
      <c r="K31" s="982"/>
    </row>
  </sheetData>
  <mergeCells count="34">
    <mergeCell ref="B7:B8"/>
    <mergeCell ref="F12:G13"/>
    <mergeCell ref="C12:C13"/>
    <mergeCell ref="J12:J13"/>
    <mergeCell ref="B12:B13"/>
    <mergeCell ref="B15:K15"/>
    <mergeCell ref="D16:K16"/>
    <mergeCell ref="D17:K17"/>
    <mergeCell ref="B17:C17"/>
    <mergeCell ref="B16:C16"/>
    <mergeCell ref="D21:K21"/>
    <mergeCell ref="B22:C23"/>
    <mergeCell ref="D22:K23"/>
    <mergeCell ref="B18:C18"/>
    <mergeCell ref="D18:K18"/>
    <mergeCell ref="B19:C20"/>
    <mergeCell ref="D19:K20"/>
    <mergeCell ref="B21:C21"/>
    <mergeCell ref="B31:C31"/>
    <mergeCell ref="D31:K31"/>
    <mergeCell ref="B3:J3"/>
    <mergeCell ref="L3:Q3"/>
    <mergeCell ref="B28:C28"/>
    <mergeCell ref="D28:K28"/>
    <mergeCell ref="B29:C29"/>
    <mergeCell ref="D29:K29"/>
    <mergeCell ref="B30:C30"/>
    <mergeCell ref="D30:K30"/>
    <mergeCell ref="D24:K24"/>
    <mergeCell ref="B24:C24"/>
    <mergeCell ref="B25:C25"/>
    <mergeCell ref="D25:K25"/>
    <mergeCell ref="B26:C27"/>
    <mergeCell ref="D26:K2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C711-77B9-4A7C-9338-10D08DB8525C}">
  <dimension ref="B3:S47"/>
  <sheetViews>
    <sheetView zoomScale="56" zoomScaleNormal="85" workbookViewId="0">
      <selection activeCell="K47" sqref="K47"/>
    </sheetView>
  </sheetViews>
  <sheetFormatPr baseColWidth="10" defaultColWidth="8.83203125" defaultRowHeight="15" x14ac:dyDescent="0.2"/>
  <cols>
    <col min="2" max="2" width="11.5" bestFit="1" customWidth="1"/>
    <col min="9" max="9" width="13.5" bestFit="1" customWidth="1"/>
    <col min="10" max="10" width="9.5" bestFit="1" customWidth="1"/>
    <col min="13" max="13" width="36.33203125" bestFit="1" customWidth="1"/>
    <col min="14" max="14" width="20.33203125" bestFit="1" customWidth="1"/>
    <col min="15" max="15" width="40.6640625" bestFit="1" customWidth="1"/>
    <col min="18" max="18" width="11.6640625" bestFit="1" customWidth="1"/>
    <col min="19" max="19" width="9.1640625" bestFit="1" customWidth="1"/>
  </cols>
  <sheetData>
    <row r="3" spans="2:9" ht="16" thickBot="1" x14ac:dyDescent="0.25"/>
    <row r="4" spans="2:9" x14ac:dyDescent="0.2">
      <c r="B4" s="1026" t="s">
        <v>122</v>
      </c>
      <c r="C4" s="1027"/>
      <c r="D4" s="1027"/>
      <c r="E4" s="1027"/>
      <c r="F4" s="1027"/>
      <c r="G4" s="1027"/>
      <c r="H4" s="1027"/>
      <c r="I4" s="1028"/>
    </row>
    <row r="5" spans="2:9" ht="16" thickBot="1" x14ac:dyDescent="0.25">
      <c r="B5" s="1029"/>
      <c r="C5" s="1030"/>
      <c r="D5" s="1030"/>
      <c r="E5" s="1030"/>
      <c r="F5" s="1030"/>
      <c r="G5" s="1030"/>
      <c r="H5" s="1030"/>
      <c r="I5" s="1031"/>
    </row>
    <row r="6" spans="2:9" x14ac:dyDescent="0.2">
      <c r="B6" s="94"/>
      <c r="C6" s="95"/>
      <c r="D6" s="95"/>
      <c r="E6" s="95"/>
      <c r="F6" s="95"/>
      <c r="G6" s="95"/>
      <c r="H6" s="95"/>
      <c r="I6" s="96"/>
    </row>
    <row r="7" spans="2:9" x14ac:dyDescent="0.2">
      <c r="B7" s="97"/>
      <c r="C7" s="130"/>
      <c r="D7" s="130"/>
      <c r="E7" s="130"/>
      <c r="F7" s="130"/>
      <c r="G7" s="130"/>
      <c r="H7" s="130"/>
      <c r="I7" s="98"/>
    </row>
    <row r="8" spans="2:9" x14ac:dyDescent="0.2">
      <c r="B8" s="97"/>
      <c r="C8" s="130"/>
      <c r="D8" s="130"/>
      <c r="E8" s="130"/>
      <c r="F8" s="130"/>
      <c r="G8" s="130"/>
      <c r="H8" s="130"/>
      <c r="I8" s="98"/>
    </row>
    <row r="9" spans="2:9" x14ac:dyDescent="0.2">
      <c r="B9" s="97"/>
      <c r="C9" s="130"/>
      <c r="D9" s="130"/>
      <c r="E9" s="130"/>
      <c r="F9" s="130"/>
      <c r="G9" s="130"/>
      <c r="H9" s="130"/>
      <c r="I9" s="98"/>
    </row>
    <row r="10" spans="2:9" x14ac:dyDescent="0.2">
      <c r="B10" s="97"/>
      <c r="C10" s="130"/>
      <c r="D10" s="130"/>
      <c r="E10" s="130"/>
      <c r="F10" s="130"/>
      <c r="G10" s="130"/>
      <c r="H10" s="130"/>
      <c r="I10" s="98"/>
    </row>
    <row r="11" spans="2:9" x14ac:dyDescent="0.2">
      <c r="B11" s="97"/>
      <c r="C11" s="130"/>
      <c r="D11" s="130"/>
      <c r="E11" s="130"/>
      <c r="F11" s="130"/>
      <c r="G11" s="130"/>
      <c r="H11" s="130"/>
      <c r="I11" s="98"/>
    </row>
    <row r="12" spans="2:9" x14ac:dyDescent="0.2">
      <c r="B12" s="97"/>
      <c r="C12" s="130"/>
      <c r="D12" s="130"/>
      <c r="E12" s="130"/>
      <c r="F12" s="130"/>
      <c r="G12" s="130"/>
      <c r="H12" s="130"/>
      <c r="I12" s="98"/>
    </row>
    <row r="13" spans="2:9" x14ac:dyDescent="0.2">
      <c r="B13" s="97"/>
      <c r="C13" s="130"/>
      <c r="D13" s="130"/>
      <c r="E13" s="130"/>
      <c r="F13" s="130"/>
      <c r="G13" s="130"/>
      <c r="H13" s="130"/>
      <c r="I13" s="98"/>
    </row>
    <row r="14" spans="2:9" x14ac:dyDescent="0.2">
      <c r="B14" s="97"/>
      <c r="C14" s="130"/>
      <c r="D14" s="130"/>
      <c r="E14" s="130"/>
      <c r="F14" s="130"/>
      <c r="G14" s="130"/>
      <c r="H14" s="130"/>
      <c r="I14" s="98"/>
    </row>
    <row r="15" spans="2:9" x14ac:dyDescent="0.2">
      <c r="B15" s="97"/>
      <c r="C15" s="130"/>
      <c r="D15" s="130"/>
      <c r="E15" s="130"/>
      <c r="F15" s="130"/>
      <c r="G15" s="130"/>
      <c r="H15" s="130"/>
      <c r="I15" s="98"/>
    </row>
    <row r="16" spans="2:9" x14ac:dyDescent="0.2">
      <c r="B16" s="97"/>
      <c r="C16" s="130"/>
      <c r="D16" s="130"/>
      <c r="E16" s="130"/>
      <c r="F16" s="130"/>
      <c r="G16" s="130"/>
      <c r="H16" s="130"/>
      <c r="I16" s="98"/>
    </row>
    <row r="17" spans="2:19" x14ac:dyDescent="0.2">
      <c r="B17" s="97"/>
      <c r="C17" s="130"/>
      <c r="D17" s="130"/>
      <c r="E17" s="130"/>
      <c r="F17" s="130"/>
      <c r="G17" s="130"/>
      <c r="H17" s="130"/>
      <c r="I17" s="98"/>
    </row>
    <row r="18" spans="2:19" x14ac:dyDescent="0.2">
      <c r="B18" s="97"/>
      <c r="C18" s="130"/>
      <c r="D18" s="130"/>
      <c r="E18" s="130"/>
      <c r="F18" s="130"/>
      <c r="G18" s="130"/>
      <c r="H18" s="130"/>
      <c r="I18" s="98"/>
    </row>
    <row r="19" spans="2:19" x14ac:dyDescent="0.2">
      <c r="B19" s="97"/>
      <c r="C19" s="130"/>
      <c r="D19" s="130"/>
      <c r="E19" s="130"/>
      <c r="F19" s="130"/>
      <c r="G19" s="130"/>
      <c r="H19" s="130"/>
      <c r="I19" s="98"/>
    </row>
    <row r="20" spans="2:19" x14ac:dyDescent="0.2">
      <c r="B20" s="97"/>
      <c r="C20" s="130"/>
      <c r="D20" s="130"/>
      <c r="E20" s="130"/>
      <c r="F20" s="130"/>
      <c r="G20" s="130"/>
      <c r="H20" s="130"/>
      <c r="I20" s="98"/>
    </row>
    <row r="21" spans="2:19" x14ac:dyDescent="0.2">
      <c r="B21" s="97"/>
      <c r="C21" s="130"/>
      <c r="D21" s="130"/>
      <c r="E21" s="130"/>
      <c r="F21" s="130"/>
      <c r="G21" s="130"/>
      <c r="H21" s="130"/>
      <c r="I21" s="98"/>
    </row>
    <row r="22" spans="2:19" x14ac:dyDescent="0.2">
      <c r="B22" s="97"/>
      <c r="C22" s="130"/>
      <c r="D22" s="130"/>
      <c r="E22" s="130"/>
      <c r="F22" s="130"/>
      <c r="G22" s="130"/>
      <c r="H22" s="130"/>
      <c r="I22" s="98"/>
    </row>
    <row r="23" spans="2:19" x14ac:dyDescent="0.2">
      <c r="B23" s="97"/>
      <c r="C23" s="130"/>
      <c r="D23" s="130"/>
      <c r="E23" s="130"/>
      <c r="F23" s="130"/>
      <c r="G23" s="130"/>
      <c r="H23" s="130"/>
      <c r="I23" s="98"/>
    </row>
    <row r="24" spans="2:19" x14ac:dyDescent="0.2">
      <c r="B24" s="97"/>
      <c r="C24" s="130"/>
      <c r="D24" s="130"/>
      <c r="E24" s="130"/>
      <c r="F24" s="130"/>
      <c r="G24" s="130"/>
      <c r="H24" s="130"/>
      <c r="I24" s="98"/>
    </row>
    <row r="25" spans="2:19" x14ac:dyDescent="0.2">
      <c r="B25" s="97"/>
      <c r="C25" s="130"/>
      <c r="D25" s="130"/>
      <c r="E25" s="130"/>
      <c r="F25" s="130"/>
      <c r="G25" s="130"/>
      <c r="H25" s="130"/>
      <c r="I25" s="98"/>
    </row>
    <row r="26" spans="2:19" ht="16" thickBot="1" x14ac:dyDescent="0.25">
      <c r="B26" s="99"/>
      <c r="C26" s="100"/>
      <c r="D26" s="100"/>
      <c r="E26" s="100"/>
      <c r="F26" s="100"/>
      <c r="G26" s="100"/>
      <c r="H26" s="100"/>
      <c r="I26" s="101"/>
    </row>
    <row r="27" spans="2:19" ht="16" thickBot="1" x14ac:dyDescent="0.25"/>
    <row r="28" spans="2:19" ht="26" customHeight="1" x14ac:dyDescent="0.2">
      <c r="B28" s="1026" t="s">
        <v>123</v>
      </c>
      <c r="C28" s="1048"/>
      <c r="D28" s="1048"/>
      <c r="E28" s="1048"/>
      <c r="F28" s="1048"/>
      <c r="G28" s="1048"/>
      <c r="H28" s="1048"/>
      <c r="I28" s="1048"/>
      <c r="J28" s="1049"/>
    </row>
    <row r="29" spans="2:19" ht="16" thickBot="1" x14ac:dyDescent="0.25">
      <c r="B29" s="1050"/>
      <c r="C29" s="1051"/>
      <c r="D29" s="1051"/>
      <c r="E29" s="1051"/>
      <c r="F29" s="1051"/>
      <c r="G29" s="1051"/>
      <c r="H29" s="1051"/>
      <c r="I29" s="1051"/>
      <c r="J29" s="1052"/>
    </row>
    <row r="30" spans="2:19" ht="34.5" customHeight="1" thickBot="1" x14ac:dyDescent="0.25">
      <c r="B30" s="1032" t="s">
        <v>50</v>
      </c>
      <c r="C30" s="1033"/>
      <c r="D30" s="1044" t="s">
        <v>124</v>
      </c>
      <c r="E30" s="1044"/>
      <c r="F30" s="1044"/>
      <c r="G30" s="1044"/>
      <c r="H30" s="1044"/>
      <c r="I30" s="1044"/>
      <c r="J30" s="1045"/>
      <c r="K30">
        <v>1</v>
      </c>
    </row>
    <row r="31" spans="2:19" ht="48.75" customHeight="1" x14ac:dyDescent="0.2">
      <c r="B31" s="1034" t="s">
        <v>58</v>
      </c>
      <c r="C31" s="1035"/>
      <c r="D31" s="1038" t="s">
        <v>125</v>
      </c>
      <c r="E31" s="1039"/>
      <c r="F31" s="1039"/>
      <c r="G31" s="1039"/>
      <c r="H31" s="1039"/>
      <c r="I31" s="1039"/>
      <c r="J31" s="1040"/>
      <c r="K31" s="93"/>
      <c r="L31" s="93"/>
      <c r="M31" s="93"/>
      <c r="N31" s="93"/>
      <c r="O31" s="93"/>
      <c r="P31" s="93"/>
      <c r="Q31" s="93"/>
      <c r="R31" s="93"/>
      <c r="S31" s="93"/>
    </row>
    <row r="32" spans="2:19" ht="16" thickBot="1" x14ac:dyDescent="0.25">
      <c r="B32" s="1036"/>
      <c r="C32" s="1037"/>
      <c r="D32" s="1041"/>
      <c r="E32" s="1042"/>
      <c r="F32" s="1042"/>
      <c r="G32" s="1042"/>
      <c r="H32" s="1042"/>
      <c r="I32" s="1042"/>
      <c r="J32" s="1043"/>
      <c r="Q32" s="93"/>
    </row>
    <row r="33" spans="2:17" ht="48.75" customHeight="1" thickBot="1" x14ac:dyDescent="0.25">
      <c r="B33" s="1032" t="s">
        <v>57</v>
      </c>
      <c r="C33" s="1033"/>
      <c r="D33" s="1044" t="s">
        <v>126</v>
      </c>
      <c r="E33" s="1044"/>
      <c r="F33" s="1044"/>
      <c r="G33" s="1044"/>
      <c r="H33" s="1044"/>
      <c r="I33" s="1044"/>
      <c r="J33" s="1045"/>
      <c r="K33">
        <v>1</v>
      </c>
      <c r="Q33" s="93"/>
    </row>
    <row r="34" spans="2:17" ht="42.75" customHeight="1" x14ac:dyDescent="0.2">
      <c r="B34" s="1034" t="s">
        <v>108</v>
      </c>
      <c r="C34" s="1035"/>
      <c r="D34" s="1038" t="s">
        <v>127</v>
      </c>
      <c r="E34" s="1039"/>
      <c r="F34" s="1039"/>
      <c r="G34" s="1039"/>
      <c r="H34" s="1039"/>
      <c r="I34" s="1039"/>
      <c r="J34" s="1040"/>
      <c r="Q34" s="93"/>
    </row>
    <row r="35" spans="2:17" ht="16" thickBot="1" x14ac:dyDescent="0.25">
      <c r="B35" s="1036"/>
      <c r="C35" s="1037"/>
      <c r="D35" s="1041"/>
      <c r="E35" s="1042"/>
      <c r="F35" s="1042"/>
      <c r="G35" s="1042"/>
      <c r="H35" s="1042"/>
      <c r="I35" s="1042"/>
      <c r="J35" s="1043"/>
      <c r="Q35" s="93"/>
    </row>
    <row r="36" spans="2:17" ht="54" customHeight="1" thickBot="1" x14ac:dyDescent="0.25">
      <c r="B36" s="1032" t="s">
        <v>64</v>
      </c>
      <c r="C36" s="1033"/>
      <c r="D36" s="1044" t="s">
        <v>128</v>
      </c>
      <c r="E36" s="1044"/>
      <c r="F36" s="1044"/>
      <c r="G36" s="1044"/>
      <c r="H36" s="1044"/>
      <c r="I36" s="1044"/>
      <c r="J36" s="1045"/>
      <c r="K36">
        <v>1</v>
      </c>
      <c r="Q36" s="93"/>
    </row>
    <row r="37" spans="2:17" ht="30" customHeight="1" x14ac:dyDescent="0.2">
      <c r="B37" s="1034" t="s">
        <v>111</v>
      </c>
      <c r="C37" s="1035"/>
      <c r="D37" s="1038" t="s">
        <v>129</v>
      </c>
      <c r="E37" s="1039"/>
      <c r="F37" s="1039"/>
      <c r="G37" s="1039"/>
      <c r="H37" s="1039"/>
      <c r="I37" s="1039"/>
      <c r="J37" s="1040"/>
      <c r="K37">
        <v>2</v>
      </c>
      <c r="Q37" s="93"/>
    </row>
    <row r="38" spans="2:17" ht="16" thickBot="1" x14ac:dyDescent="0.25">
      <c r="B38" s="1036"/>
      <c r="C38" s="1037"/>
      <c r="D38" s="1041"/>
      <c r="E38" s="1042"/>
      <c r="F38" s="1042"/>
      <c r="G38" s="1042"/>
      <c r="H38" s="1042"/>
      <c r="I38" s="1042"/>
      <c r="J38" s="1043"/>
      <c r="Q38" s="93"/>
    </row>
    <row r="39" spans="2:17" ht="48.75" customHeight="1" thickBot="1" x14ac:dyDescent="0.25">
      <c r="B39" s="1032" t="s">
        <v>82</v>
      </c>
      <c r="C39" s="1033"/>
      <c r="D39" s="1061" t="s">
        <v>130</v>
      </c>
      <c r="E39" s="1044"/>
      <c r="F39" s="1044"/>
      <c r="G39" s="1044"/>
      <c r="H39" s="1044"/>
      <c r="I39" s="1044"/>
      <c r="J39" s="1045"/>
      <c r="K39">
        <v>2</v>
      </c>
    </row>
    <row r="40" spans="2:17" ht="44" customHeight="1" thickBot="1" x14ac:dyDescent="0.25">
      <c r="B40" s="1046" t="s">
        <v>114</v>
      </c>
      <c r="C40" s="1047"/>
      <c r="D40" s="1055" t="s">
        <v>131</v>
      </c>
      <c r="E40" s="1055"/>
      <c r="F40" s="1055"/>
      <c r="G40" s="1055"/>
      <c r="H40" s="1055"/>
      <c r="I40" s="1055"/>
      <c r="J40" s="1056"/>
    </row>
    <row r="41" spans="2:17" x14ac:dyDescent="0.2">
      <c r="B41" s="1053" t="s">
        <v>92</v>
      </c>
      <c r="C41" s="1054"/>
      <c r="D41" s="1062" t="s">
        <v>132</v>
      </c>
      <c r="E41" s="1063"/>
      <c r="F41" s="1063"/>
      <c r="G41" s="1063"/>
      <c r="H41" s="1063"/>
      <c r="I41" s="1063"/>
      <c r="J41" s="1064"/>
    </row>
    <row r="42" spans="2:17" ht="16" thickBot="1" x14ac:dyDescent="0.25">
      <c r="B42" s="1059"/>
      <c r="C42" s="1060"/>
      <c r="D42" s="1065"/>
      <c r="E42" s="1066"/>
      <c r="F42" s="1066"/>
      <c r="G42" s="1066"/>
      <c r="H42" s="1066"/>
      <c r="I42" s="1066"/>
      <c r="J42" s="1067"/>
    </row>
    <row r="43" spans="2:17" ht="66.75" customHeight="1" thickBot="1" x14ac:dyDescent="0.25">
      <c r="B43" s="1046" t="s">
        <v>76</v>
      </c>
      <c r="C43" s="1047"/>
      <c r="D43" s="1055" t="s">
        <v>133</v>
      </c>
      <c r="E43" s="1055"/>
      <c r="F43" s="1055"/>
      <c r="G43" s="1055"/>
      <c r="H43" s="1055"/>
      <c r="I43" s="1055"/>
      <c r="J43" s="1056"/>
      <c r="K43">
        <v>6</v>
      </c>
    </row>
    <row r="44" spans="2:17" ht="59" customHeight="1" thickBot="1" x14ac:dyDescent="0.25">
      <c r="B44" s="1032" t="s">
        <v>111</v>
      </c>
      <c r="C44" s="1033"/>
      <c r="D44" s="1044" t="s">
        <v>134</v>
      </c>
      <c r="E44" s="1044"/>
      <c r="F44" s="1044"/>
      <c r="G44" s="1044"/>
      <c r="H44" s="1044"/>
      <c r="I44" s="1044"/>
      <c r="J44" s="1045"/>
      <c r="K44">
        <v>4</v>
      </c>
    </row>
    <row r="45" spans="2:17" ht="48" customHeight="1" thickBot="1" x14ac:dyDescent="0.25">
      <c r="B45" s="1046" t="s">
        <v>119</v>
      </c>
      <c r="C45" s="1047"/>
      <c r="D45" s="1055" t="s">
        <v>135</v>
      </c>
      <c r="E45" s="1055"/>
      <c r="F45" s="1055"/>
      <c r="G45" s="1055"/>
      <c r="H45" s="1055"/>
      <c r="I45" s="1055"/>
      <c r="J45" s="1056"/>
    </row>
    <row r="46" spans="2:17" ht="66.75" customHeight="1" thickBot="1" x14ac:dyDescent="0.25">
      <c r="B46" s="1053" t="s">
        <v>81</v>
      </c>
      <c r="C46" s="1054"/>
      <c r="D46" s="1057" t="s">
        <v>136</v>
      </c>
      <c r="E46" s="1057"/>
      <c r="F46" s="1057"/>
      <c r="G46" s="1057"/>
      <c r="H46" s="1057"/>
      <c r="I46" s="1057"/>
      <c r="J46" s="1058"/>
      <c r="K46">
        <v>22</v>
      </c>
    </row>
    <row r="47" spans="2:17" ht="16" thickBot="1" x14ac:dyDescent="0.25">
      <c r="B47" s="802" t="s">
        <v>137</v>
      </c>
      <c r="C47" s="803">
        <f>SUM(K30:K46)</f>
        <v>39</v>
      </c>
      <c r="D47" s="803"/>
      <c r="E47" s="803"/>
      <c r="F47" s="803"/>
      <c r="G47" s="803"/>
      <c r="H47" s="803"/>
      <c r="I47" s="803" t="s">
        <v>138</v>
      </c>
      <c r="J47" s="828">
        <f>40000+28000+28000+70000+90000+115000+56000+60000+33000+330000+385000</f>
        <v>1235000</v>
      </c>
    </row>
  </sheetData>
  <mergeCells count="28">
    <mergeCell ref="B45:C45"/>
    <mergeCell ref="B46:C46"/>
    <mergeCell ref="B34:C35"/>
    <mergeCell ref="D45:J45"/>
    <mergeCell ref="D46:J46"/>
    <mergeCell ref="B44:C44"/>
    <mergeCell ref="B43:C43"/>
    <mergeCell ref="B41:C42"/>
    <mergeCell ref="B39:C39"/>
    <mergeCell ref="D39:J39"/>
    <mergeCell ref="D41:J42"/>
    <mergeCell ref="D36:J36"/>
    <mergeCell ref="D44:J44"/>
    <mergeCell ref="D40:J40"/>
    <mergeCell ref="D43:J43"/>
    <mergeCell ref="D34:J35"/>
    <mergeCell ref="D37:J38"/>
    <mergeCell ref="B37:C38"/>
    <mergeCell ref="B36:C36"/>
    <mergeCell ref="B40:C40"/>
    <mergeCell ref="B28:J29"/>
    <mergeCell ref="B4:I5"/>
    <mergeCell ref="B33:C33"/>
    <mergeCell ref="B31:C32"/>
    <mergeCell ref="B30:C30"/>
    <mergeCell ref="D31:J32"/>
    <mergeCell ref="D30:J30"/>
    <mergeCell ref="D33:J3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EE913-8A12-43FA-9AFB-93D4447199BC}">
  <dimension ref="B3:N13"/>
  <sheetViews>
    <sheetView topLeftCell="A6" zoomScale="46" workbookViewId="0">
      <selection activeCell="AA13" sqref="AA13"/>
    </sheetView>
  </sheetViews>
  <sheetFormatPr baseColWidth="10" defaultColWidth="8.83203125" defaultRowHeight="15" x14ac:dyDescent="0.2"/>
  <cols>
    <col min="2" max="2" width="19.33203125" customWidth="1"/>
    <col min="3" max="3" width="29.1640625" customWidth="1"/>
    <col min="4" max="4" width="18.33203125" customWidth="1"/>
    <col min="5" max="5" width="36.33203125" bestFit="1" customWidth="1"/>
    <col min="6" max="6" width="12.5" customWidth="1"/>
    <col min="7" max="7" width="7.33203125" customWidth="1"/>
  </cols>
  <sheetData>
    <row r="3" spans="2:14" ht="15.75" customHeight="1" thickBot="1" x14ac:dyDescent="0.4">
      <c r="B3" s="31"/>
    </row>
    <row r="4" spans="2:14" ht="36" customHeight="1" thickBot="1" x14ac:dyDescent="0.25">
      <c r="B4" s="1068" t="s">
        <v>35</v>
      </c>
      <c r="C4" s="1069"/>
      <c r="D4" s="1069"/>
      <c r="E4" s="1069"/>
      <c r="F4" s="1070"/>
    </row>
    <row r="5" spans="2:14" ht="20" thickBot="1" x14ac:dyDescent="0.3">
      <c r="B5" s="77" t="s">
        <v>139</v>
      </c>
      <c r="C5" s="78" t="s">
        <v>140</v>
      </c>
      <c r="D5" s="78" t="s">
        <v>141</v>
      </c>
      <c r="E5" s="78" t="s">
        <v>142</v>
      </c>
      <c r="F5" s="79" t="s">
        <v>143</v>
      </c>
    </row>
    <row r="6" spans="2:14" ht="152" customHeight="1" x14ac:dyDescent="0.25">
      <c r="B6" s="27" t="s">
        <v>144</v>
      </c>
      <c r="C6" s="28" t="e" vm="1">
        <v>#VALUE!</v>
      </c>
      <c r="D6" s="29" t="s">
        <v>145</v>
      </c>
      <c r="E6" s="29" t="s">
        <v>146</v>
      </c>
      <c r="F6" s="30">
        <v>1</v>
      </c>
    </row>
    <row r="7" spans="2:14" ht="170.75" customHeight="1" x14ac:dyDescent="0.25">
      <c r="B7" s="22" t="s">
        <v>147</v>
      </c>
      <c r="C7" s="23" t="e" vm="2">
        <v>#VALUE!</v>
      </c>
      <c r="D7" s="24" t="s">
        <v>148</v>
      </c>
      <c r="E7" s="24" t="s">
        <v>149</v>
      </c>
      <c r="F7" s="25">
        <v>1</v>
      </c>
      <c r="N7" t="s">
        <v>150</v>
      </c>
    </row>
    <row r="8" spans="2:14" ht="116.75" customHeight="1" x14ac:dyDescent="0.25">
      <c r="B8" s="22">
        <v>1001</v>
      </c>
      <c r="C8" s="23" t="e" vm="3">
        <v>#VALUE!</v>
      </c>
      <c r="D8" s="24" t="s">
        <v>151</v>
      </c>
      <c r="E8" s="26" t="s">
        <v>152</v>
      </c>
      <c r="F8" s="25">
        <v>4</v>
      </c>
    </row>
    <row r="9" spans="2:14" ht="140.75" customHeight="1" x14ac:dyDescent="0.25">
      <c r="B9" s="22">
        <v>1003</v>
      </c>
      <c r="C9" s="23" t="e" vm="4">
        <v>#VALUE!</v>
      </c>
      <c r="D9" s="24" t="s">
        <v>153</v>
      </c>
      <c r="E9" s="24" t="s">
        <v>154</v>
      </c>
      <c r="F9" s="25">
        <v>8</v>
      </c>
    </row>
    <row r="10" spans="2:14" ht="135.75" customHeight="1" x14ac:dyDescent="0.25">
      <c r="B10" s="22">
        <v>1005</v>
      </c>
      <c r="C10" s="23" t="e" vm="5">
        <v>#VALUE!</v>
      </c>
      <c r="D10" s="24" t="s">
        <v>155</v>
      </c>
      <c r="E10" s="24" t="s">
        <v>156</v>
      </c>
      <c r="F10" s="25">
        <v>4</v>
      </c>
    </row>
    <row r="11" spans="2:14" ht="150" customHeight="1" x14ac:dyDescent="0.25">
      <c r="B11" s="22">
        <v>1006</v>
      </c>
      <c r="C11" s="23" t="e" vm="6">
        <v>#VALUE!</v>
      </c>
      <c r="D11" s="24" t="s">
        <v>157</v>
      </c>
      <c r="E11" s="26" t="s">
        <v>158</v>
      </c>
      <c r="F11" s="25">
        <v>4</v>
      </c>
    </row>
    <row r="12" spans="2:14" ht="113.75" customHeight="1" x14ac:dyDescent="0.25">
      <c r="B12" s="22">
        <v>1004</v>
      </c>
      <c r="C12" s="23" t="e" vm="7">
        <v>#VALUE!</v>
      </c>
      <c r="D12" s="24" t="s">
        <v>159</v>
      </c>
      <c r="E12" s="24" t="s">
        <v>156</v>
      </c>
      <c r="F12" s="25">
        <v>4</v>
      </c>
    </row>
    <row r="13" spans="2:14" ht="147" customHeight="1" thickBot="1" x14ac:dyDescent="0.3">
      <c r="B13" s="18">
        <v>1002</v>
      </c>
      <c r="C13" s="20" t="e" vm="8">
        <v>#VALUE!</v>
      </c>
      <c r="D13" s="21" t="s">
        <v>160</v>
      </c>
      <c r="E13" s="21" t="s">
        <v>161</v>
      </c>
      <c r="F13" s="19">
        <v>4</v>
      </c>
    </row>
  </sheetData>
  <mergeCells count="1">
    <mergeCell ref="B4:F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7279-F6FF-4943-8D79-FCE8E0CD0F65}">
  <dimension ref="A1:Q232"/>
  <sheetViews>
    <sheetView topLeftCell="A229" zoomScale="82" workbookViewId="0">
      <selection activeCell="B70" sqref="B70"/>
    </sheetView>
  </sheetViews>
  <sheetFormatPr baseColWidth="10" defaultColWidth="8.83203125" defaultRowHeight="15" x14ac:dyDescent="0.2"/>
  <cols>
    <col min="1" max="1" width="16.6640625" customWidth="1"/>
    <col min="2" max="2" width="13.33203125" bestFit="1" customWidth="1"/>
    <col min="3" max="3" width="16.33203125" bestFit="1" customWidth="1"/>
    <col min="4" max="4" width="21.1640625" bestFit="1" customWidth="1"/>
    <col min="5" max="5" width="12.6640625" customWidth="1"/>
    <col min="6" max="6" width="27.33203125" customWidth="1"/>
    <col min="7" max="7" width="9.1640625" bestFit="1" customWidth="1"/>
    <col min="8" max="8" width="25.6640625" customWidth="1"/>
    <col min="9" max="9" width="13.6640625" customWidth="1"/>
    <col min="10" max="10" width="10.6640625" customWidth="1"/>
    <col min="11" max="11" width="13.33203125" customWidth="1"/>
    <col min="12" max="12" width="16.33203125" customWidth="1"/>
    <col min="13" max="13" width="21.1640625" bestFit="1" customWidth="1"/>
    <col min="14" max="14" width="11.33203125" customWidth="1"/>
    <col min="16" max="16" width="14.5" customWidth="1"/>
  </cols>
  <sheetData>
    <row r="1" spans="1:17" ht="42.75" customHeight="1" thickBot="1" x14ac:dyDescent="0.25">
      <c r="A1" s="1068" t="s">
        <v>35</v>
      </c>
      <c r="B1" s="1069"/>
      <c r="C1" s="1069"/>
      <c r="D1" s="1069"/>
      <c r="E1" s="1070"/>
    </row>
    <row r="2" spans="1:17" ht="20" thickBot="1" x14ac:dyDescent="0.3">
      <c r="A2" s="77" t="s">
        <v>139</v>
      </c>
      <c r="B2" s="78" t="s">
        <v>140</v>
      </c>
      <c r="C2" s="78" t="s">
        <v>141</v>
      </c>
      <c r="D2" s="78" t="s">
        <v>142</v>
      </c>
      <c r="E2" s="79" t="s">
        <v>143</v>
      </c>
    </row>
    <row r="3" spans="1:17" ht="73.25" customHeight="1" x14ac:dyDescent="0.25">
      <c r="A3" s="27" t="s">
        <v>144</v>
      </c>
      <c r="B3" s="28" t="e" vm="1">
        <v>#VALUE!</v>
      </c>
      <c r="C3" s="29" t="s">
        <v>145</v>
      </c>
      <c r="D3" s="29" t="s">
        <v>146</v>
      </c>
      <c r="E3" s="30">
        <v>1</v>
      </c>
    </row>
    <row r="4" spans="1:17" ht="75.75" customHeight="1" x14ac:dyDescent="0.25">
      <c r="A4" s="22" t="s">
        <v>147</v>
      </c>
      <c r="B4" s="23" t="e" vm="2">
        <v>#VALUE!</v>
      </c>
      <c r="C4" s="24" t="s">
        <v>148</v>
      </c>
      <c r="D4" s="24" t="s">
        <v>149</v>
      </c>
      <c r="E4" s="25">
        <v>1</v>
      </c>
    </row>
    <row r="5" spans="1:17" ht="59" customHeight="1" x14ac:dyDescent="0.25">
      <c r="A5" s="22">
        <v>1001</v>
      </c>
      <c r="B5" s="23" t="e" vm="3">
        <v>#VALUE!</v>
      </c>
      <c r="C5" s="24" t="s">
        <v>151</v>
      </c>
      <c r="D5" s="26" t="s">
        <v>152</v>
      </c>
      <c r="E5" s="25">
        <v>4</v>
      </c>
      <c r="J5" s="333"/>
      <c r="K5" s="333"/>
      <c r="L5" s="333"/>
      <c r="M5" s="333"/>
      <c r="N5" s="333"/>
    </row>
    <row r="6" spans="1:17" ht="56" customHeight="1" x14ac:dyDescent="0.25">
      <c r="A6" s="22">
        <v>1003</v>
      </c>
      <c r="B6" s="23" t="e" vm="4">
        <v>#VALUE!</v>
      </c>
      <c r="C6" s="24" t="s">
        <v>153</v>
      </c>
      <c r="D6" s="24" t="s">
        <v>154</v>
      </c>
      <c r="E6" s="25">
        <v>8</v>
      </c>
      <c r="J6" s="329"/>
      <c r="K6" s="330"/>
      <c r="L6" s="330"/>
      <c r="M6" s="330"/>
      <c r="N6" s="330"/>
    </row>
    <row r="7" spans="1:17" ht="55.25" customHeight="1" x14ac:dyDescent="0.3">
      <c r="A7" s="22">
        <v>1005</v>
      </c>
      <c r="B7" s="23" t="e" vm="5">
        <v>#VALUE!</v>
      </c>
      <c r="C7" s="24" t="s">
        <v>155</v>
      </c>
      <c r="D7" s="24" t="s">
        <v>156</v>
      </c>
      <c r="E7" s="25">
        <v>4</v>
      </c>
      <c r="I7" s="804"/>
      <c r="J7" s="331"/>
      <c r="K7" s="330"/>
      <c r="L7" s="331"/>
      <c r="M7" s="331"/>
      <c r="N7" s="331"/>
    </row>
    <row r="8" spans="1:17" ht="69" customHeight="1" x14ac:dyDescent="0.25">
      <c r="A8" s="22">
        <v>1006</v>
      </c>
      <c r="B8" s="23" t="e" vm="6">
        <v>#VALUE!</v>
      </c>
      <c r="C8" s="24" t="s">
        <v>157</v>
      </c>
      <c r="D8" s="26" t="s">
        <v>158</v>
      </c>
      <c r="E8" s="25">
        <v>4</v>
      </c>
      <c r="J8" s="331"/>
      <c r="K8" s="330"/>
      <c r="L8" s="331"/>
      <c r="M8" s="331"/>
      <c r="N8" s="331"/>
    </row>
    <row r="9" spans="1:17" ht="62.75" customHeight="1" x14ac:dyDescent="0.25">
      <c r="A9" s="22">
        <v>1004</v>
      </c>
      <c r="B9" s="23" t="e" vm="7">
        <v>#VALUE!</v>
      </c>
      <c r="C9" s="24" t="s">
        <v>159</v>
      </c>
      <c r="D9" s="24" t="s">
        <v>156</v>
      </c>
      <c r="E9" s="25">
        <v>4</v>
      </c>
      <c r="J9" s="331"/>
      <c r="K9" s="330"/>
      <c r="L9" s="331"/>
      <c r="M9" s="332"/>
      <c r="N9" s="331"/>
    </row>
    <row r="10" spans="1:17" ht="58.25" customHeight="1" thickBot="1" x14ac:dyDescent="0.3">
      <c r="A10" s="18">
        <v>1002</v>
      </c>
      <c r="B10" s="20" t="e" vm="8">
        <v>#VALUE!</v>
      </c>
      <c r="C10" s="21" t="s">
        <v>160</v>
      </c>
      <c r="D10" s="21" t="s">
        <v>161</v>
      </c>
      <c r="E10" s="19">
        <v>4</v>
      </c>
      <c r="J10" s="331"/>
      <c r="K10" s="330"/>
      <c r="L10" s="331"/>
      <c r="M10" s="331"/>
      <c r="N10" s="331"/>
    </row>
    <row r="11" spans="1:17" ht="33" customHeight="1" thickBot="1" x14ac:dyDescent="0.3">
      <c r="J11" s="331"/>
      <c r="K11" s="330"/>
      <c r="L11" s="331"/>
      <c r="M11" s="332"/>
      <c r="N11" s="331"/>
    </row>
    <row r="12" spans="1:17" ht="26" customHeight="1" thickBot="1" x14ac:dyDescent="0.35">
      <c r="A12" s="1083" t="s">
        <v>162</v>
      </c>
      <c r="B12" s="1084"/>
      <c r="C12" s="1084"/>
      <c r="D12" s="1084"/>
      <c r="E12" s="1084"/>
      <c r="F12" s="1084"/>
      <c r="G12" s="1084"/>
      <c r="H12" s="1085"/>
      <c r="J12" s="331"/>
      <c r="K12" s="330"/>
      <c r="L12" s="331"/>
      <c r="M12" s="331"/>
      <c r="N12" s="331"/>
    </row>
    <row r="13" spans="1:17" ht="29.75" customHeight="1" x14ac:dyDescent="0.25">
      <c r="A13" s="168" t="s">
        <v>163</v>
      </c>
      <c r="B13" s="169"/>
      <c r="C13" s="170" t="s">
        <v>164</v>
      </c>
      <c r="D13" s="170" t="s">
        <v>165</v>
      </c>
      <c r="E13" s="307" t="s">
        <v>166</v>
      </c>
      <c r="F13" s="308" t="s">
        <v>167</v>
      </c>
      <c r="G13" s="170" t="s">
        <v>168</v>
      </c>
      <c r="H13" s="302" t="s">
        <v>169</v>
      </c>
      <c r="J13" s="331"/>
      <c r="K13" s="330"/>
      <c r="L13" s="331"/>
      <c r="M13" s="331"/>
      <c r="N13" s="331"/>
    </row>
    <row r="14" spans="1:17" x14ac:dyDescent="0.2">
      <c r="A14" s="171" t="s">
        <v>170</v>
      </c>
      <c r="B14" s="166"/>
      <c r="C14" s="299">
        <f>D70</f>
        <v>495.26912418705513</v>
      </c>
      <c r="D14" s="166">
        <v>144</v>
      </c>
      <c r="E14" s="299">
        <f>C14/D14</f>
        <v>3.4393689179656608</v>
      </c>
      <c r="F14" s="300">
        <f>E14+F21</f>
        <v>5.451868917965661</v>
      </c>
      <c r="G14" s="6">
        <v>8000</v>
      </c>
      <c r="H14" s="312">
        <f>F14*G14</f>
        <v>43614.95134372529</v>
      </c>
    </row>
    <row r="15" spans="1:17" x14ac:dyDescent="0.2">
      <c r="A15" s="171" t="s">
        <v>148</v>
      </c>
      <c r="B15" s="167"/>
      <c r="C15" s="301">
        <f>D84+D98+D112+D127</f>
        <v>1275.8647764417874</v>
      </c>
      <c r="D15" s="167">
        <v>130</v>
      </c>
      <c r="E15" s="301">
        <f>C15/D15</f>
        <v>9.8143444341675945</v>
      </c>
      <c r="F15" s="301">
        <f>E15+F22</f>
        <v>235.64767776750091</v>
      </c>
      <c r="G15" s="149">
        <v>2000</v>
      </c>
      <c r="H15" s="312">
        <f>(F15*G15)</f>
        <v>471295.35553500184</v>
      </c>
      <c r="Q15" s="8" t="s">
        <v>171</v>
      </c>
    </row>
    <row r="16" spans="1:17" x14ac:dyDescent="0.2">
      <c r="A16" s="171" t="s">
        <v>145</v>
      </c>
      <c r="B16" s="166"/>
      <c r="C16" s="299">
        <f>D144+D158+D172+D186+D200+D214</f>
        <v>790.54889173150059</v>
      </c>
      <c r="D16" s="166">
        <v>30</v>
      </c>
      <c r="E16" s="299">
        <f>C16/D16</f>
        <v>26.351629724383354</v>
      </c>
      <c r="F16" s="300">
        <f>E16+F23</f>
        <v>67.601629724383358</v>
      </c>
      <c r="G16" s="6">
        <v>2000</v>
      </c>
      <c r="H16" s="312">
        <f>F16*G16</f>
        <v>135203.25944876671</v>
      </c>
      <c r="Q16" t="s">
        <v>172</v>
      </c>
    </row>
    <row r="17" spans="1:8" ht="16" thickBot="1" x14ac:dyDescent="0.25">
      <c r="A17" s="172" t="s">
        <v>173</v>
      </c>
      <c r="B17" s="173"/>
      <c r="C17" s="306">
        <f>D70+D84+D98+D112+D144+D158+D172+D186+D127</f>
        <v>2311.572212080383</v>
      </c>
      <c r="D17" s="173"/>
      <c r="E17" s="306">
        <f>E14+E15+E16</f>
        <v>39.605343076516611</v>
      </c>
      <c r="F17" s="190">
        <f>SUM(F14:F16)</f>
        <v>308.70117640984995</v>
      </c>
      <c r="G17" s="174"/>
      <c r="H17" s="313">
        <f>SUM(H14:H16)*1.1</f>
        <v>715124.9229602433</v>
      </c>
    </row>
    <row r="18" spans="1:8" ht="16" thickBot="1" x14ac:dyDescent="0.25"/>
    <row r="19" spans="1:8" ht="27" thickBot="1" x14ac:dyDescent="0.35">
      <c r="A19" s="1083" t="s">
        <v>174</v>
      </c>
      <c r="B19" s="1084"/>
      <c r="C19" s="1084"/>
      <c r="D19" s="1084"/>
      <c r="E19" s="1084"/>
      <c r="F19" s="1084"/>
      <c r="G19" s="1084"/>
      <c r="H19" s="1085"/>
    </row>
    <row r="20" spans="1:8" x14ac:dyDescent="0.2">
      <c r="A20" s="168" t="s">
        <v>175</v>
      </c>
      <c r="B20" s="170" t="s">
        <v>176</v>
      </c>
      <c r="C20" s="170" t="s">
        <v>177</v>
      </c>
      <c r="D20" s="170" t="s">
        <v>178</v>
      </c>
      <c r="E20" s="170" t="s">
        <v>179</v>
      </c>
      <c r="F20" s="170" t="s">
        <v>180</v>
      </c>
      <c r="G20" s="170" t="s">
        <v>168</v>
      </c>
      <c r="H20" s="302" t="s">
        <v>173</v>
      </c>
    </row>
    <row r="21" spans="1:8" x14ac:dyDescent="0.2">
      <c r="A21" s="303" t="s">
        <v>170</v>
      </c>
      <c r="B21" s="68" t="s">
        <v>181</v>
      </c>
      <c r="C21" s="68" t="s">
        <v>182</v>
      </c>
      <c r="D21" s="68">
        <f>3000/14</f>
        <v>214.28571428571428</v>
      </c>
      <c r="E21" s="151">
        <f>575*0.75</f>
        <v>431.25</v>
      </c>
      <c r="F21" s="151">
        <f>E21/D21</f>
        <v>2.0125000000000002</v>
      </c>
      <c r="G21" s="68">
        <v>8000</v>
      </c>
      <c r="H21" s="511">
        <f>(G21*F21)</f>
        <v>16100.000000000002</v>
      </c>
    </row>
    <row r="22" spans="1:8" x14ac:dyDescent="0.2">
      <c r="A22" s="303" t="s">
        <v>148</v>
      </c>
      <c r="B22" s="111" t="s">
        <v>183</v>
      </c>
      <c r="C22" s="111" t="s">
        <v>184</v>
      </c>
      <c r="D22" s="111">
        <f>5400/6000</f>
        <v>0.9</v>
      </c>
      <c r="E22" s="111">
        <f>271*0.75</f>
        <v>203.25</v>
      </c>
      <c r="F22" s="150">
        <f>E22/D22</f>
        <v>225.83333333333331</v>
      </c>
      <c r="G22" s="111">
        <v>2000</v>
      </c>
      <c r="H22" s="512">
        <f>(F22*G22)</f>
        <v>451666.66666666663</v>
      </c>
    </row>
    <row r="23" spans="1:8" x14ac:dyDescent="0.2">
      <c r="A23" s="303" t="s">
        <v>145</v>
      </c>
      <c r="B23" s="68" t="s">
        <v>185</v>
      </c>
      <c r="C23" s="68" t="s">
        <v>186</v>
      </c>
      <c r="D23" s="68">
        <v>9</v>
      </c>
      <c r="E23" s="151">
        <f>495*0.75</f>
        <v>371.25</v>
      </c>
      <c r="F23" s="151">
        <f>E23/D23</f>
        <v>41.25</v>
      </c>
      <c r="G23" s="68">
        <v>2000</v>
      </c>
      <c r="H23" s="511">
        <f>(G23*F23)</f>
        <v>82500</v>
      </c>
    </row>
    <row r="24" spans="1:8" x14ac:dyDescent="0.2">
      <c r="A24" s="368" t="s">
        <v>187</v>
      </c>
      <c r="B24" s="181" t="s">
        <v>188</v>
      </c>
      <c r="C24" s="181" t="s">
        <v>189</v>
      </c>
      <c r="D24" s="181">
        <f>15000/167</f>
        <v>89.820359281437121</v>
      </c>
      <c r="E24" s="369">
        <f>2050*0.75</f>
        <v>1537.5</v>
      </c>
      <c r="F24" s="369">
        <f>E24/D24</f>
        <v>17.1175</v>
      </c>
      <c r="G24" s="181">
        <v>2000</v>
      </c>
      <c r="H24" s="513">
        <f>F24*G24</f>
        <v>34235</v>
      </c>
    </row>
    <row r="25" spans="1:8" x14ac:dyDescent="0.2">
      <c r="A25" s="368" t="s">
        <v>190</v>
      </c>
      <c r="B25" s="181" t="s">
        <v>191</v>
      </c>
      <c r="C25" s="181" t="s">
        <v>192</v>
      </c>
      <c r="D25" s="181">
        <f>3000/'12 MRP'!F9</f>
        <v>17.574692442882252</v>
      </c>
      <c r="E25" s="369">
        <f>659*0.75</f>
        <v>494.25</v>
      </c>
      <c r="F25" s="369">
        <f>E25/D25</f>
        <v>28.122824999999995</v>
      </c>
      <c r="G25" s="181">
        <v>2000</v>
      </c>
      <c r="H25" s="513">
        <f>G25*F25</f>
        <v>56245.649999999994</v>
      </c>
    </row>
    <row r="26" spans="1:8" ht="16" thickBot="1" x14ac:dyDescent="0.25">
      <c r="A26" s="304" t="s">
        <v>173</v>
      </c>
      <c r="B26" s="275"/>
      <c r="C26" s="275"/>
      <c r="D26" s="275"/>
      <c r="E26" s="305">
        <f>SUM(E21:E25)</f>
        <v>3037.5</v>
      </c>
      <c r="F26" s="305">
        <f>SUM(F21:F23)</f>
        <v>269.0958333333333</v>
      </c>
      <c r="G26" s="275"/>
      <c r="H26" s="514">
        <f>SUM(H21:H25)*1.1</f>
        <v>704822.04833333334</v>
      </c>
    </row>
    <row r="28" spans="1:8" ht="16" thickBot="1" x14ac:dyDescent="0.25"/>
    <row r="29" spans="1:8" ht="26.75" customHeight="1" thickBot="1" x14ac:dyDescent="0.25">
      <c r="A29" s="1071" t="s">
        <v>193</v>
      </c>
      <c r="B29" s="1072"/>
      <c r="C29" s="1072"/>
      <c r="D29" s="1072"/>
      <c r="E29" s="1072"/>
      <c r="F29" s="1073"/>
    </row>
    <row r="30" spans="1:8" x14ac:dyDescent="0.2">
      <c r="A30" s="505" t="s">
        <v>175</v>
      </c>
      <c r="B30" s="386" t="s">
        <v>194</v>
      </c>
      <c r="C30" s="387" t="s">
        <v>195</v>
      </c>
      <c r="D30" s="387" t="s">
        <v>196</v>
      </c>
      <c r="E30" s="387" t="s">
        <v>168</v>
      </c>
      <c r="F30" s="388" t="s">
        <v>173</v>
      </c>
    </row>
    <row r="31" spans="1:8" x14ac:dyDescent="0.2">
      <c r="A31" s="506" t="s">
        <v>197</v>
      </c>
      <c r="B31" s="391" t="s">
        <v>198</v>
      </c>
      <c r="C31" s="508">
        <v>4.5</v>
      </c>
      <c r="D31" s="508">
        <f>C31*4</f>
        <v>18</v>
      </c>
      <c r="E31" s="390">
        <v>32000</v>
      </c>
      <c r="F31" s="515">
        <f>E31*C31</f>
        <v>144000</v>
      </c>
    </row>
    <row r="32" spans="1:8" x14ac:dyDescent="0.2">
      <c r="A32" s="506" t="s">
        <v>159</v>
      </c>
      <c r="B32" s="509" t="s">
        <v>156</v>
      </c>
      <c r="C32" s="152">
        <v>1.2</v>
      </c>
      <c r="D32" s="152">
        <f>C32*4</f>
        <v>4.8</v>
      </c>
      <c r="E32" s="167">
        <v>32000</v>
      </c>
      <c r="F32" s="516">
        <f>E32*C32</f>
        <v>38400</v>
      </c>
    </row>
    <row r="33" spans="1:9" x14ac:dyDescent="0.2">
      <c r="A33" s="506" t="s">
        <v>199</v>
      </c>
      <c r="B33" s="391" t="s">
        <v>156</v>
      </c>
      <c r="C33" s="508">
        <v>1.2</v>
      </c>
      <c r="D33" s="508">
        <f>C33*4</f>
        <v>4.8</v>
      </c>
      <c r="E33" s="390">
        <v>32000</v>
      </c>
      <c r="F33" s="515">
        <f>E33*C33</f>
        <v>38400</v>
      </c>
    </row>
    <row r="34" spans="1:9" x14ac:dyDescent="0.2">
      <c r="A34" s="506" t="s">
        <v>153</v>
      </c>
      <c r="B34" s="509" t="s">
        <v>154</v>
      </c>
      <c r="C34" s="152">
        <v>1.5</v>
      </c>
      <c r="D34" s="152">
        <f>C34*8</f>
        <v>12</v>
      </c>
      <c r="E34" s="167">
        <v>64000</v>
      </c>
      <c r="F34" s="516">
        <f>C34*E34</f>
        <v>96000</v>
      </c>
    </row>
    <row r="35" spans="1:9" x14ac:dyDescent="0.2">
      <c r="A35" s="506" t="s">
        <v>160</v>
      </c>
      <c r="B35" s="391" t="s">
        <v>200</v>
      </c>
      <c r="C35" s="508">
        <v>0.5</v>
      </c>
      <c r="D35" s="508">
        <f>C35*4</f>
        <v>2</v>
      </c>
      <c r="E35" s="390">
        <v>32000</v>
      </c>
      <c r="F35" s="515">
        <f>E35*C35</f>
        <v>16000</v>
      </c>
    </row>
    <row r="36" spans="1:9" ht="16" thickBot="1" x14ac:dyDescent="0.25">
      <c r="A36" s="507" t="s">
        <v>173</v>
      </c>
      <c r="B36" s="510"/>
      <c r="C36" s="173"/>
      <c r="D36" s="190">
        <f>SUM(D31:D35)</f>
        <v>41.6</v>
      </c>
      <c r="E36" s="190"/>
      <c r="F36" s="517">
        <f>SUM(F31:F35)</f>
        <v>332800</v>
      </c>
    </row>
    <row r="37" spans="1:9" x14ac:dyDescent="0.2">
      <c r="B37" s="92"/>
      <c r="C37" s="92"/>
      <c r="D37" s="92"/>
      <c r="E37" s="92"/>
      <c r="F37" s="92"/>
    </row>
    <row r="38" spans="1:9" ht="16" thickBot="1" x14ac:dyDescent="0.25">
      <c r="B38" s="92"/>
      <c r="C38" s="92"/>
      <c r="D38" s="92"/>
      <c r="E38" s="92"/>
      <c r="F38" s="92"/>
    </row>
    <row r="39" spans="1:9" x14ac:dyDescent="0.2">
      <c r="A39" s="505" t="s">
        <v>201</v>
      </c>
      <c r="B39" s="92"/>
      <c r="C39" s="92"/>
      <c r="D39" s="92"/>
      <c r="E39" s="92"/>
      <c r="F39" s="92"/>
    </row>
    <row r="40" spans="1:9" ht="16" thickBot="1" x14ac:dyDescent="0.25">
      <c r="A40" s="651">
        <f>C65+C79+C93+C107+C122+C139+C153+C167+C181+C195+C209</f>
        <v>560688.5</v>
      </c>
      <c r="B40" s="92"/>
      <c r="C40" s="92"/>
      <c r="D40" s="92"/>
      <c r="E40" s="92"/>
      <c r="F40" s="92"/>
    </row>
    <row r="41" spans="1:9" x14ac:dyDescent="0.2">
      <c r="B41" s="92"/>
      <c r="C41" s="92"/>
      <c r="D41" s="92"/>
      <c r="E41" s="92"/>
      <c r="F41" s="92"/>
    </row>
    <row r="43" spans="1:9" ht="16" thickBot="1" x14ac:dyDescent="0.25"/>
    <row r="44" spans="1:9" ht="27" thickBot="1" x14ac:dyDescent="0.25">
      <c r="A44" s="1074" t="s">
        <v>202</v>
      </c>
      <c r="B44" s="1075"/>
      <c r="C44" s="1075"/>
      <c r="D44" s="1075"/>
      <c r="E44" s="1075"/>
      <c r="F44" s="1075"/>
      <c r="G44" s="1075"/>
      <c r="H44" s="1075"/>
      <c r="I44" s="1076"/>
    </row>
    <row r="45" spans="1:9" ht="20" x14ac:dyDescent="0.2">
      <c r="A45" s="32" t="s">
        <v>49</v>
      </c>
      <c r="B45" s="348" t="s">
        <v>203</v>
      </c>
      <c r="C45" s="38"/>
      <c r="D45" s="38"/>
      <c r="E45" s="38"/>
      <c r="F45" s="347" t="s">
        <v>204</v>
      </c>
      <c r="G45" s="42"/>
      <c r="H45" s="42"/>
      <c r="I45" s="43"/>
    </row>
    <row r="46" spans="1:9" x14ac:dyDescent="0.2">
      <c r="A46" s="33"/>
      <c r="B46" s="39"/>
      <c r="C46" s="39" t="s">
        <v>205</v>
      </c>
      <c r="D46" s="39" t="s">
        <v>206</v>
      </c>
      <c r="E46" s="39"/>
      <c r="F46" s="44"/>
      <c r="G46" s="45"/>
      <c r="H46" s="45"/>
      <c r="I46" s="46"/>
    </row>
    <row r="47" spans="1:9" x14ac:dyDescent="0.2">
      <c r="A47" s="33"/>
      <c r="B47" s="39"/>
      <c r="C47" s="39"/>
      <c r="D47" s="39" t="s">
        <v>207</v>
      </c>
      <c r="E47" s="39"/>
      <c r="F47" s="44" t="s">
        <v>190</v>
      </c>
      <c r="G47" s="45"/>
      <c r="H47" s="45"/>
      <c r="I47" s="102"/>
    </row>
    <row r="48" spans="1:9" ht="16" thickBot="1" x14ac:dyDescent="0.25">
      <c r="A48" s="1018" t="s">
        <v>208</v>
      </c>
      <c r="B48" s="40"/>
      <c r="C48" s="40" t="s">
        <v>187</v>
      </c>
      <c r="D48" s="40"/>
      <c r="E48" s="40"/>
      <c r="F48" s="47"/>
      <c r="G48" s="48"/>
      <c r="H48" s="104"/>
      <c r="I48" s="67"/>
    </row>
    <row r="49" spans="1:9" x14ac:dyDescent="0.2">
      <c r="A49" s="1019"/>
      <c r="B49" s="356" t="s">
        <v>209</v>
      </c>
      <c r="C49" s="252"/>
      <c r="D49" s="252"/>
      <c r="E49" s="283"/>
      <c r="F49" s="349" t="s">
        <v>210</v>
      </c>
      <c r="G49" s="350"/>
      <c r="H49" s="350"/>
      <c r="I49" s="351"/>
    </row>
    <row r="50" spans="1:9" x14ac:dyDescent="0.2">
      <c r="A50" s="35"/>
      <c r="B50" s="357"/>
      <c r="C50" s="289"/>
      <c r="D50" s="289" t="s">
        <v>160</v>
      </c>
      <c r="E50" s="358"/>
      <c r="F50" s="352" t="s">
        <v>157</v>
      </c>
      <c r="G50" s="350"/>
      <c r="H50" s="350"/>
      <c r="I50" s="353"/>
    </row>
    <row r="51" spans="1:9" ht="16" x14ac:dyDescent="0.2">
      <c r="A51" s="35"/>
      <c r="B51" s="357"/>
      <c r="C51" s="289"/>
      <c r="D51" s="359" t="s">
        <v>153</v>
      </c>
      <c r="E51" s="358" t="s">
        <v>155</v>
      </c>
      <c r="F51" s="354"/>
      <c r="G51" s="355"/>
      <c r="H51" s="355"/>
      <c r="I51" s="351"/>
    </row>
    <row r="52" spans="1:9" ht="21" thickBot="1" x14ac:dyDescent="0.25">
      <c r="A52" s="34" t="s">
        <v>91</v>
      </c>
      <c r="B52" s="309"/>
      <c r="C52" s="310"/>
      <c r="D52" s="310" t="s">
        <v>159</v>
      </c>
      <c r="E52" s="311"/>
      <c r="F52" s="352"/>
      <c r="G52" s="355"/>
      <c r="H52" s="355"/>
      <c r="I52" s="351"/>
    </row>
    <row r="53" spans="1:9" x14ac:dyDescent="0.2">
      <c r="A53" s="1024"/>
      <c r="B53" s="1020" t="s">
        <v>91</v>
      </c>
      <c r="C53" s="36"/>
      <c r="D53" s="36"/>
      <c r="E53" s="1020" t="s">
        <v>211</v>
      </c>
      <c r="F53" s="1020"/>
      <c r="G53" s="36"/>
      <c r="H53" s="36"/>
      <c r="I53" s="1022" t="s">
        <v>49</v>
      </c>
    </row>
    <row r="54" spans="1:9" ht="16" thickBot="1" x14ac:dyDescent="0.25">
      <c r="A54" s="1025"/>
      <c r="B54" s="1021"/>
      <c r="C54" s="37"/>
      <c r="D54" s="37"/>
      <c r="E54" s="1021"/>
      <c r="F54" s="1021"/>
      <c r="G54" s="37"/>
      <c r="H54" s="37"/>
      <c r="I54" s="1023"/>
    </row>
    <row r="58" spans="1:9" x14ac:dyDescent="0.2">
      <c r="A58" s="165" t="s">
        <v>170</v>
      </c>
      <c r="B58" t="s">
        <v>212</v>
      </c>
    </row>
    <row r="59" spans="1:9" x14ac:dyDescent="0.2">
      <c r="A59" s="80"/>
      <c r="B59" s="81" t="s">
        <v>213</v>
      </c>
      <c r="C59" s="81" t="s">
        <v>214</v>
      </c>
      <c r="D59" s="81" t="s">
        <v>215</v>
      </c>
    </row>
    <row r="60" spans="1:9" ht="32" x14ac:dyDescent="0.2">
      <c r="A60" s="89" t="s">
        <v>216</v>
      </c>
      <c r="B60" s="82">
        <v>400000</v>
      </c>
      <c r="C60" s="83"/>
      <c r="D60" s="84"/>
    </row>
    <row r="61" spans="1:9" ht="32" x14ac:dyDescent="0.2">
      <c r="A61" s="89" t="s">
        <v>217</v>
      </c>
      <c r="B61" s="913">
        <v>7.0000000000000007E-2</v>
      </c>
      <c r="C61" s="86">
        <f>B60*B61</f>
        <v>28000.000000000004</v>
      </c>
      <c r="D61" s="87">
        <f>C61/B64</f>
        <v>38.78116343490305</v>
      </c>
    </row>
    <row r="62" spans="1:9" ht="16" x14ac:dyDescent="0.2">
      <c r="A62" s="89" t="s">
        <v>218</v>
      </c>
      <c r="B62" s="88">
        <v>30</v>
      </c>
      <c r="C62" s="86">
        <f>B60/B62</f>
        <v>13333.333333333334</v>
      </c>
      <c r="D62" s="87">
        <f>C62/8765</f>
        <v>1.5212017493820118</v>
      </c>
    </row>
    <row r="63" spans="1:9" ht="21.75" customHeight="1" x14ac:dyDescent="0.2">
      <c r="A63" s="89" t="s">
        <v>219</v>
      </c>
      <c r="B63" s="82">
        <v>250</v>
      </c>
      <c r="C63" s="86">
        <f>B63*12</f>
        <v>3000</v>
      </c>
      <c r="D63" s="87">
        <f>C63/B64</f>
        <v>4.1551246537396125</v>
      </c>
    </row>
    <row r="64" spans="1:9" ht="32" x14ac:dyDescent="0.2">
      <c r="A64" s="89" t="s">
        <v>220</v>
      </c>
      <c r="B64" s="88">
        <v>722</v>
      </c>
      <c r="C64" s="83"/>
      <c r="D64" s="84"/>
    </row>
    <row r="65" spans="1:4" ht="48" x14ac:dyDescent="0.2">
      <c r="A65" s="89" t="s">
        <v>221</v>
      </c>
      <c r="B65" s="82">
        <v>63</v>
      </c>
      <c r="C65" s="86">
        <f>B65*B64</f>
        <v>45486</v>
      </c>
      <c r="D65" s="87">
        <f>C65/B64</f>
        <v>63</v>
      </c>
    </row>
    <row r="66" spans="1:4" ht="32" x14ac:dyDescent="0.2">
      <c r="A66" s="89" t="s">
        <v>222</v>
      </c>
      <c r="B66" s="85">
        <v>0.05</v>
      </c>
      <c r="C66" s="86">
        <f>B66*B60</f>
        <v>20000</v>
      </c>
      <c r="D66" s="87">
        <f>C66/B64</f>
        <v>27.700831024930746</v>
      </c>
    </row>
    <row r="67" spans="1:4" ht="32" x14ac:dyDescent="0.2">
      <c r="A67" s="89" t="s">
        <v>223</v>
      </c>
      <c r="B67" s="82">
        <v>150000</v>
      </c>
      <c r="C67" s="86">
        <f>B67</f>
        <v>150000</v>
      </c>
      <c r="D67" s="87">
        <f>C67/B64</f>
        <v>207.75623268698061</v>
      </c>
    </row>
    <row r="68" spans="1:4" ht="32" x14ac:dyDescent="0.2">
      <c r="A68" s="89" t="s">
        <v>224</v>
      </c>
      <c r="B68" s="82">
        <v>100000</v>
      </c>
      <c r="C68" s="86">
        <f>B68</f>
        <v>100000</v>
      </c>
      <c r="D68" s="87">
        <f>C68/B64</f>
        <v>138.50415512465375</v>
      </c>
    </row>
    <row r="69" spans="1:4" ht="32" x14ac:dyDescent="0.2">
      <c r="A69" s="89" t="s">
        <v>225</v>
      </c>
      <c r="B69" s="82">
        <v>10000</v>
      </c>
      <c r="C69" s="86">
        <f>B69</f>
        <v>10000</v>
      </c>
      <c r="D69" s="87">
        <f>C69/B64</f>
        <v>13.850415512465373</v>
      </c>
    </row>
    <row r="70" spans="1:4" x14ac:dyDescent="0.2">
      <c r="A70" s="81" t="s">
        <v>173</v>
      </c>
      <c r="B70" s="88"/>
      <c r="C70" s="86">
        <f>SUM(C61:C69)</f>
        <v>369819.33333333337</v>
      </c>
      <c r="D70" s="87">
        <f>SUM(D61:D69)</f>
        <v>495.26912418705513</v>
      </c>
    </row>
    <row r="72" spans="1:4" ht="16" x14ac:dyDescent="0.2">
      <c r="A72" s="164" t="s">
        <v>226</v>
      </c>
    </row>
    <row r="73" spans="1:4" x14ac:dyDescent="0.2">
      <c r="A73" s="80"/>
      <c r="B73" s="81" t="s">
        <v>213</v>
      </c>
      <c r="C73" s="81" t="s">
        <v>214</v>
      </c>
      <c r="D73" s="81" t="s">
        <v>215</v>
      </c>
    </row>
    <row r="74" spans="1:4" ht="32" x14ac:dyDescent="0.2">
      <c r="A74" s="89" t="s">
        <v>216</v>
      </c>
      <c r="B74" s="82">
        <v>250000</v>
      </c>
      <c r="C74" s="83"/>
      <c r="D74" s="84"/>
    </row>
    <row r="75" spans="1:4" ht="32" x14ac:dyDescent="0.2">
      <c r="A75" s="89" t="s">
        <v>217</v>
      </c>
      <c r="B75" s="85">
        <v>7.0000000000000007E-2</v>
      </c>
      <c r="C75" s="86">
        <f>B74*B75</f>
        <v>17500</v>
      </c>
      <c r="D75" s="87">
        <f>C75/B78</f>
        <v>60.763888888888886</v>
      </c>
    </row>
    <row r="76" spans="1:4" ht="27.75" customHeight="1" x14ac:dyDescent="0.2">
      <c r="A76" s="89" t="s">
        <v>218</v>
      </c>
      <c r="B76" s="88">
        <v>20</v>
      </c>
      <c r="C76" s="86">
        <f>B74/B76</f>
        <v>12500</v>
      </c>
      <c r="D76" s="87">
        <f>C76/B77</f>
        <v>20.833333333333332</v>
      </c>
    </row>
    <row r="77" spans="1:4" ht="29.25" customHeight="1" x14ac:dyDescent="0.2">
      <c r="A77" s="89" t="s">
        <v>219</v>
      </c>
      <c r="B77" s="82">
        <v>600</v>
      </c>
      <c r="C77" s="86">
        <f>B77*12</f>
        <v>7200</v>
      </c>
      <c r="D77" s="87">
        <f>C77/B78</f>
        <v>25</v>
      </c>
    </row>
    <row r="78" spans="1:4" ht="32" x14ac:dyDescent="0.2">
      <c r="A78" s="89" t="s">
        <v>220</v>
      </c>
      <c r="B78" s="88">
        <v>288</v>
      </c>
      <c r="C78" s="83"/>
      <c r="D78" s="84"/>
    </row>
    <row r="79" spans="1:4" ht="48" x14ac:dyDescent="0.2">
      <c r="A79" s="89" t="s">
        <v>221</v>
      </c>
      <c r="B79" s="82">
        <f>'7 Maskinliste &amp; fremstil.valg'!L8*2.5</f>
        <v>15</v>
      </c>
      <c r="C79" s="86">
        <f>B79*B78</f>
        <v>4320</v>
      </c>
      <c r="D79" s="87">
        <f>C79/B78</f>
        <v>15</v>
      </c>
    </row>
    <row r="80" spans="1:4" ht="32" x14ac:dyDescent="0.2">
      <c r="A80" s="89" t="s">
        <v>222</v>
      </c>
      <c r="B80" s="85">
        <v>0.05</v>
      </c>
      <c r="C80" s="86">
        <f>B80*B74</f>
        <v>12500</v>
      </c>
      <c r="D80" s="87">
        <f>C80/B78</f>
        <v>43.402777777777779</v>
      </c>
    </row>
    <row r="81" spans="1:4" ht="32" x14ac:dyDescent="0.2">
      <c r="A81" s="89" t="s">
        <v>223</v>
      </c>
      <c r="B81" s="82">
        <v>10000</v>
      </c>
      <c r="C81" s="86">
        <f>B81</f>
        <v>10000</v>
      </c>
      <c r="D81" s="87">
        <f>C81/B78</f>
        <v>34.722222222222221</v>
      </c>
    </row>
    <row r="82" spans="1:4" ht="32" x14ac:dyDescent="0.2">
      <c r="A82" s="89" t="s">
        <v>224</v>
      </c>
      <c r="B82" s="82">
        <v>50000</v>
      </c>
      <c r="C82" s="86">
        <f>B82</f>
        <v>50000</v>
      </c>
      <c r="D82" s="87">
        <f>C82/B78</f>
        <v>173.61111111111111</v>
      </c>
    </row>
    <row r="83" spans="1:4" ht="32" x14ac:dyDescent="0.2">
      <c r="A83" s="89" t="s">
        <v>225</v>
      </c>
      <c r="B83" s="82">
        <v>10000</v>
      </c>
      <c r="C83" s="86">
        <f>B83</f>
        <v>10000</v>
      </c>
      <c r="D83" s="87">
        <f>C83/B78</f>
        <v>34.722222222222221</v>
      </c>
    </row>
    <row r="84" spans="1:4" x14ac:dyDescent="0.2">
      <c r="A84" s="81" t="s">
        <v>173</v>
      </c>
      <c r="B84" s="88"/>
      <c r="C84" s="86">
        <f>SUM(C75:C83)</f>
        <v>124020</v>
      </c>
      <c r="D84" s="87">
        <f>SUM(D75:D83)</f>
        <v>408.0555555555556</v>
      </c>
    </row>
    <row r="86" spans="1:4" ht="16" x14ac:dyDescent="0.2">
      <c r="A86" s="164" t="s">
        <v>227</v>
      </c>
    </row>
    <row r="87" spans="1:4" x14ac:dyDescent="0.2">
      <c r="A87" s="80"/>
      <c r="B87" s="81" t="s">
        <v>213</v>
      </c>
      <c r="C87" s="81" t="s">
        <v>214</v>
      </c>
      <c r="D87" s="81" t="s">
        <v>215</v>
      </c>
    </row>
    <row r="88" spans="1:4" ht="32" x14ac:dyDescent="0.2">
      <c r="A88" s="89" t="s">
        <v>216</v>
      </c>
      <c r="B88" s="82">
        <v>600000</v>
      </c>
      <c r="C88" s="83"/>
      <c r="D88" s="84"/>
    </row>
    <row r="89" spans="1:4" ht="32" x14ac:dyDescent="0.2">
      <c r="A89" s="89" t="s">
        <v>217</v>
      </c>
      <c r="B89" s="85">
        <v>7.0000000000000007E-2</v>
      </c>
      <c r="C89" s="86">
        <f>B88*B89</f>
        <v>42000.000000000007</v>
      </c>
      <c r="D89" s="87">
        <f>C89/B92</f>
        <v>60.606060606060616</v>
      </c>
    </row>
    <row r="90" spans="1:4" ht="16" x14ac:dyDescent="0.2">
      <c r="A90" s="89" t="s">
        <v>218</v>
      </c>
      <c r="B90" s="88">
        <v>12</v>
      </c>
      <c r="C90" s="86">
        <f>B88/B90</f>
        <v>50000</v>
      </c>
      <c r="D90" s="87">
        <f>C90/B91</f>
        <v>83.333333333333329</v>
      </c>
    </row>
    <row r="91" spans="1:4" ht="16" x14ac:dyDescent="0.2">
      <c r="A91" s="89" t="s">
        <v>219</v>
      </c>
      <c r="B91" s="82">
        <v>600</v>
      </c>
      <c r="C91" s="86">
        <f>B91*12</f>
        <v>7200</v>
      </c>
      <c r="D91" s="87">
        <f>C91/B92</f>
        <v>10.38961038961039</v>
      </c>
    </row>
    <row r="92" spans="1:4" ht="32" x14ac:dyDescent="0.2">
      <c r="A92" s="89" t="s">
        <v>220</v>
      </c>
      <c r="B92" s="88">
        <v>693</v>
      </c>
      <c r="C92" s="83"/>
      <c r="D92" s="84"/>
    </row>
    <row r="93" spans="1:4" ht="48" x14ac:dyDescent="0.2">
      <c r="A93" s="89" t="s">
        <v>221</v>
      </c>
      <c r="B93" s="82">
        <f>'7 Maskinliste &amp; fremstil.valg'!L9*2.5</f>
        <v>35</v>
      </c>
      <c r="C93" s="86">
        <f>B93*B92</f>
        <v>24255</v>
      </c>
      <c r="D93" s="87">
        <f>C93/B92</f>
        <v>35</v>
      </c>
    </row>
    <row r="94" spans="1:4" ht="32" x14ac:dyDescent="0.2">
      <c r="A94" s="89" t="s">
        <v>222</v>
      </c>
      <c r="B94" s="85">
        <v>0.05</v>
      </c>
      <c r="C94" s="86">
        <f>B94*B88</f>
        <v>30000</v>
      </c>
      <c r="D94" s="87">
        <f>C94/B92</f>
        <v>43.290043290043293</v>
      </c>
    </row>
    <row r="95" spans="1:4" ht="32" x14ac:dyDescent="0.2">
      <c r="A95" s="89" t="s">
        <v>223</v>
      </c>
      <c r="B95" s="82">
        <v>10000</v>
      </c>
      <c r="C95" s="86">
        <f>B95</f>
        <v>10000</v>
      </c>
      <c r="D95" s="87">
        <f>C95/B92</f>
        <v>14.430014430014429</v>
      </c>
    </row>
    <row r="96" spans="1:4" ht="32" x14ac:dyDescent="0.2">
      <c r="A96" s="89" t="s">
        <v>224</v>
      </c>
      <c r="B96" s="82">
        <v>50000</v>
      </c>
      <c r="C96" s="86">
        <f>B96</f>
        <v>50000</v>
      </c>
      <c r="D96" s="87">
        <f>C96/B92</f>
        <v>72.150072150072148</v>
      </c>
    </row>
    <row r="97" spans="1:4" ht="32" x14ac:dyDescent="0.2">
      <c r="A97" s="89" t="s">
        <v>225</v>
      </c>
      <c r="B97" s="82">
        <v>10000</v>
      </c>
      <c r="C97" s="86">
        <f>B97</f>
        <v>10000</v>
      </c>
      <c r="D97" s="87">
        <f>C97/B92</f>
        <v>14.430014430014429</v>
      </c>
    </row>
    <row r="98" spans="1:4" x14ac:dyDescent="0.2">
      <c r="A98" s="81" t="s">
        <v>173</v>
      </c>
      <c r="B98" s="88"/>
      <c r="C98" s="86">
        <f>SUM(C89:C97)</f>
        <v>223455</v>
      </c>
      <c r="D98" s="87">
        <f>SUM(D89:D97)</f>
        <v>333.62914862914863</v>
      </c>
    </row>
    <row r="100" spans="1:4" ht="16" x14ac:dyDescent="0.2">
      <c r="A100" s="164" t="s">
        <v>228</v>
      </c>
    </row>
    <row r="101" spans="1:4" x14ac:dyDescent="0.2">
      <c r="A101" s="80"/>
      <c r="B101" s="81" t="s">
        <v>213</v>
      </c>
      <c r="C101" s="81" t="s">
        <v>214</v>
      </c>
      <c r="D101" s="81" t="s">
        <v>215</v>
      </c>
    </row>
    <row r="102" spans="1:4" ht="32" x14ac:dyDescent="0.2">
      <c r="A102" s="89" t="s">
        <v>216</v>
      </c>
      <c r="B102" s="82">
        <v>700000</v>
      </c>
      <c r="C102" s="83"/>
      <c r="D102" s="84"/>
    </row>
    <row r="103" spans="1:4" ht="32" x14ac:dyDescent="0.2">
      <c r="A103" s="89" t="s">
        <v>217</v>
      </c>
      <c r="B103" s="85">
        <v>7.0000000000000007E-2</v>
      </c>
      <c r="C103" s="86">
        <f>B102*B103</f>
        <v>49000.000000000007</v>
      </c>
      <c r="D103" s="87">
        <f>C103/B106</f>
        <v>61.250000000000007</v>
      </c>
    </row>
    <row r="104" spans="1:4" ht="16" x14ac:dyDescent="0.2">
      <c r="A104" s="89" t="s">
        <v>218</v>
      </c>
      <c r="B104" s="88">
        <v>25</v>
      </c>
      <c r="C104" s="86">
        <f>B102/B104</f>
        <v>28000</v>
      </c>
      <c r="D104" s="87">
        <f>C104/B105</f>
        <v>112</v>
      </c>
    </row>
    <row r="105" spans="1:4" ht="16" x14ac:dyDescent="0.2">
      <c r="A105" s="89" t="s">
        <v>219</v>
      </c>
      <c r="B105" s="82">
        <v>250</v>
      </c>
      <c r="C105" s="86">
        <f>B105*12</f>
        <v>3000</v>
      </c>
      <c r="D105" s="87">
        <f>C105/B106</f>
        <v>3.75</v>
      </c>
    </row>
    <row r="106" spans="1:4" ht="32" x14ac:dyDescent="0.2">
      <c r="A106" s="89" t="s">
        <v>220</v>
      </c>
      <c r="B106" s="88">
        <v>800</v>
      </c>
      <c r="C106" s="83"/>
      <c r="D106" s="84"/>
    </row>
    <row r="107" spans="1:4" ht="48" x14ac:dyDescent="0.2">
      <c r="A107" s="89" t="s">
        <v>221</v>
      </c>
      <c r="B107" s="82">
        <f>'7 Maskinliste &amp; fremstil.valg'!L10*2.5</f>
        <v>12.5</v>
      </c>
      <c r="C107" s="86">
        <f>B107*B106</f>
        <v>10000</v>
      </c>
      <c r="D107" s="87">
        <f>C107/B106</f>
        <v>12.5</v>
      </c>
    </row>
    <row r="108" spans="1:4" ht="32" x14ac:dyDescent="0.2">
      <c r="A108" s="89" t="s">
        <v>222</v>
      </c>
      <c r="B108" s="85">
        <v>0.05</v>
      </c>
      <c r="C108" s="86">
        <f>B108*B102</f>
        <v>35000</v>
      </c>
      <c r="D108" s="87">
        <f>C108/B106</f>
        <v>43.75</v>
      </c>
    </row>
    <row r="109" spans="1:4" ht="32" x14ac:dyDescent="0.2">
      <c r="A109" s="89" t="s">
        <v>223</v>
      </c>
      <c r="B109" s="82">
        <v>10000</v>
      </c>
      <c r="C109" s="86">
        <f>B109</f>
        <v>10000</v>
      </c>
      <c r="D109" s="87">
        <f>C109/B106</f>
        <v>12.5</v>
      </c>
    </row>
    <row r="110" spans="1:4" ht="32" x14ac:dyDescent="0.2">
      <c r="A110" s="89" t="s">
        <v>224</v>
      </c>
      <c r="B110" s="82">
        <v>50000</v>
      </c>
      <c r="C110" s="86">
        <f>B110</f>
        <v>50000</v>
      </c>
      <c r="D110" s="87">
        <f>C110/B106</f>
        <v>62.5</v>
      </c>
    </row>
    <row r="111" spans="1:4" ht="32" x14ac:dyDescent="0.2">
      <c r="A111" s="89" t="s">
        <v>225</v>
      </c>
      <c r="B111" s="82">
        <v>10000</v>
      </c>
      <c r="C111" s="86">
        <f>B111</f>
        <v>10000</v>
      </c>
      <c r="D111" s="87">
        <f>C111/B106</f>
        <v>12.5</v>
      </c>
    </row>
    <row r="112" spans="1:4" x14ac:dyDescent="0.2">
      <c r="A112" s="81" t="s">
        <v>173</v>
      </c>
      <c r="B112" s="88"/>
      <c r="C112" s="86">
        <f>SUM(C103:C111)</f>
        <v>195000</v>
      </c>
      <c r="D112" s="87">
        <f>SUM(D103:D111)</f>
        <v>320.75</v>
      </c>
    </row>
    <row r="115" spans="1:4" ht="16" x14ac:dyDescent="0.2">
      <c r="A115" s="164" t="s">
        <v>229</v>
      </c>
    </row>
    <row r="116" spans="1:4" x14ac:dyDescent="0.2">
      <c r="A116" s="80"/>
      <c r="B116" s="81" t="s">
        <v>213</v>
      </c>
      <c r="C116" s="81" t="s">
        <v>214</v>
      </c>
      <c r="D116" s="81" t="s">
        <v>215</v>
      </c>
    </row>
    <row r="117" spans="1:4" ht="32" x14ac:dyDescent="0.2">
      <c r="A117" s="89" t="s">
        <v>216</v>
      </c>
      <c r="B117" s="82">
        <v>90000</v>
      </c>
      <c r="C117" s="83"/>
      <c r="D117" s="84"/>
    </row>
    <row r="118" spans="1:4" ht="32" x14ac:dyDescent="0.2">
      <c r="A118" s="89" t="s">
        <v>217</v>
      </c>
      <c r="B118" s="85">
        <v>7.0000000000000007E-2</v>
      </c>
      <c r="C118" s="86">
        <f>B117*B118</f>
        <v>6300.0000000000009</v>
      </c>
      <c r="D118" s="87">
        <f>C118/B121</f>
        <v>21.875000000000004</v>
      </c>
    </row>
    <row r="119" spans="1:4" ht="16" x14ac:dyDescent="0.2">
      <c r="A119" s="89" t="s">
        <v>218</v>
      </c>
      <c r="B119" s="88">
        <v>20</v>
      </c>
      <c r="C119" s="86">
        <f>B117/B119</f>
        <v>4500</v>
      </c>
      <c r="D119" s="87">
        <f>C119/8765</f>
        <v>0.51340559041642897</v>
      </c>
    </row>
    <row r="120" spans="1:4" ht="16" x14ac:dyDescent="0.2">
      <c r="A120" s="89" t="s">
        <v>219</v>
      </c>
      <c r="B120" s="82">
        <v>250</v>
      </c>
      <c r="C120" s="86">
        <f>B120*12</f>
        <v>3000</v>
      </c>
      <c r="D120" s="87">
        <f>C120/B121</f>
        <v>10.416666666666666</v>
      </c>
    </row>
    <row r="121" spans="1:4" ht="32" x14ac:dyDescent="0.2">
      <c r="A121" s="89" t="s">
        <v>220</v>
      </c>
      <c r="B121" s="183">
        <v>288</v>
      </c>
      <c r="C121" s="83"/>
      <c r="D121" s="84"/>
    </row>
    <row r="122" spans="1:4" ht="48" x14ac:dyDescent="0.2">
      <c r="A122" s="89" t="s">
        <v>221</v>
      </c>
      <c r="B122" s="82">
        <f>'7 Maskinliste &amp; fremstil.valg'!L15*2.5</f>
        <v>8.75</v>
      </c>
      <c r="C122" s="86">
        <f>B122*B121</f>
        <v>2520</v>
      </c>
      <c r="D122" s="87">
        <f>C122/B121</f>
        <v>8.75</v>
      </c>
    </row>
    <row r="123" spans="1:4" ht="32" x14ac:dyDescent="0.2">
      <c r="A123" s="89" t="s">
        <v>222</v>
      </c>
      <c r="B123" s="85">
        <v>0.05</v>
      </c>
      <c r="C123" s="86">
        <f>B123*B117</f>
        <v>4500</v>
      </c>
      <c r="D123" s="87">
        <f>C123/B121</f>
        <v>15.625</v>
      </c>
    </row>
    <row r="124" spans="1:4" ht="32" x14ac:dyDescent="0.2">
      <c r="A124" s="89" t="s">
        <v>223</v>
      </c>
      <c r="B124" s="82">
        <v>10000</v>
      </c>
      <c r="C124" s="86">
        <f>B124</f>
        <v>10000</v>
      </c>
      <c r="D124" s="87">
        <f>C124/B121</f>
        <v>34.722222222222221</v>
      </c>
    </row>
    <row r="125" spans="1:4" ht="32" x14ac:dyDescent="0.2">
      <c r="A125" s="89" t="s">
        <v>224</v>
      </c>
      <c r="B125" s="82">
        <v>25000</v>
      </c>
      <c r="C125" s="86">
        <f>B125</f>
        <v>25000</v>
      </c>
      <c r="D125" s="87">
        <f>C125/B121</f>
        <v>86.805555555555557</v>
      </c>
    </row>
    <row r="126" spans="1:4" ht="32" x14ac:dyDescent="0.2">
      <c r="A126" s="89" t="s">
        <v>225</v>
      </c>
      <c r="B126" s="82">
        <v>10000</v>
      </c>
      <c r="C126" s="86">
        <f>B126</f>
        <v>10000</v>
      </c>
      <c r="D126" s="87">
        <f>C126/B121</f>
        <v>34.722222222222221</v>
      </c>
    </row>
    <row r="127" spans="1:4" x14ac:dyDescent="0.2">
      <c r="A127" s="81" t="s">
        <v>173</v>
      </c>
      <c r="B127" s="88"/>
      <c r="C127" s="86">
        <f>SUM(C118:C126)</f>
        <v>65820</v>
      </c>
      <c r="D127" s="87">
        <f>SUM(D118:D126)</f>
        <v>213.43007225708311</v>
      </c>
    </row>
    <row r="132" spans="1:4" ht="16" x14ac:dyDescent="0.2">
      <c r="A132" s="164" t="s">
        <v>230</v>
      </c>
    </row>
    <row r="133" spans="1:4" x14ac:dyDescent="0.2">
      <c r="A133" s="80"/>
      <c r="B133" s="81" t="s">
        <v>213</v>
      </c>
      <c r="C133" s="81" t="s">
        <v>214</v>
      </c>
      <c r="D133" s="81" t="s">
        <v>215</v>
      </c>
    </row>
    <row r="134" spans="1:4" ht="32" x14ac:dyDescent="0.2">
      <c r="A134" s="89" t="s">
        <v>216</v>
      </c>
      <c r="B134" s="82">
        <v>340000</v>
      </c>
      <c r="C134" s="83"/>
      <c r="D134" s="84"/>
    </row>
    <row r="135" spans="1:4" ht="32" x14ac:dyDescent="0.2">
      <c r="A135" s="89" t="s">
        <v>217</v>
      </c>
      <c r="B135" s="85">
        <v>7.0000000000000007E-2</v>
      </c>
      <c r="C135" s="86">
        <f>B134*B135</f>
        <v>23800.000000000004</v>
      </c>
      <c r="D135" s="87">
        <f>C135/B138</f>
        <v>6.8667051356030013</v>
      </c>
    </row>
    <row r="136" spans="1:4" ht="16" x14ac:dyDescent="0.2">
      <c r="A136" s="89" t="s">
        <v>218</v>
      </c>
      <c r="B136" s="88">
        <v>15</v>
      </c>
      <c r="C136" s="86">
        <f>B134/B136</f>
        <v>22666.666666666668</v>
      </c>
      <c r="D136" s="87">
        <f>C136/8765</f>
        <v>2.5860429739494202</v>
      </c>
    </row>
    <row r="137" spans="1:4" ht="16" x14ac:dyDescent="0.2">
      <c r="A137" s="89" t="s">
        <v>219</v>
      </c>
      <c r="B137" s="82">
        <v>250</v>
      </c>
      <c r="C137" s="86">
        <f>B137*12</f>
        <v>3000</v>
      </c>
      <c r="D137" s="87">
        <f>C137/B138</f>
        <v>0.86555106751298327</v>
      </c>
    </row>
    <row r="138" spans="1:4" ht="32" x14ac:dyDescent="0.2">
      <c r="A138" s="89" t="s">
        <v>220</v>
      </c>
      <c r="B138" s="88">
        <v>3466</v>
      </c>
      <c r="C138" s="83"/>
      <c r="D138" s="84"/>
    </row>
    <row r="139" spans="1:4" ht="48" x14ac:dyDescent="0.2">
      <c r="A139" s="89" t="s">
        <v>221</v>
      </c>
      <c r="B139" s="82">
        <f>'7 Maskinliste &amp; fremstil.valg'!L11*2.5</f>
        <v>72.5</v>
      </c>
      <c r="C139" s="86">
        <f>B139*B138</f>
        <v>251285</v>
      </c>
      <c r="D139" s="87">
        <f>C139/B138</f>
        <v>72.5</v>
      </c>
    </row>
    <row r="140" spans="1:4" ht="32" x14ac:dyDescent="0.2">
      <c r="A140" s="89" t="s">
        <v>222</v>
      </c>
      <c r="B140" s="85">
        <v>0.05</v>
      </c>
      <c r="C140" s="86">
        <f>B140*B134</f>
        <v>17000</v>
      </c>
      <c r="D140" s="87">
        <f>C140/B138</f>
        <v>4.904789382573572</v>
      </c>
    </row>
    <row r="141" spans="1:4" ht="32" x14ac:dyDescent="0.2">
      <c r="A141" s="89" t="s">
        <v>223</v>
      </c>
      <c r="B141" s="82">
        <v>10000</v>
      </c>
      <c r="C141" s="86">
        <f>B141</f>
        <v>10000</v>
      </c>
      <c r="D141" s="87">
        <f>C141/B138</f>
        <v>2.8851702250432774</v>
      </c>
    </row>
    <row r="142" spans="1:4" ht="32" x14ac:dyDescent="0.2">
      <c r="A142" s="89" t="s">
        <v>224</v>
      </c>
      <c r="B142" s="82">
        <v>50000</v>
      </c>
      <c r="C142" s="86">
        <f>B142</f>
        <v>50000</v>
      </c>
      <c r="D142" s="87">
        <f>C142/B138</f>
        <v>14.425851125216388</v>
      </c>
    </row>
    <row r="143" spans="1:4" ht="32" x14ac:dyDescent="0.2">
      <c r="A143" s="89" t="s">
        <v>225</v>
      </c>
      <c r="B143" s="82">
        <v>10000</v>
      </c>
      <c r="C143" s="86">
        <f>B143</f>
        <v>10000</v>
      </c>
      <c r="D143" s="87">
        <f>C143/B138</f>
        <v>2.8851702250432774</v>
      </c>
    </row>
    <row r="144" spans="1:4" x14ac:dyDescent="0.2">
      <c r="A144" s="81" t="s">
        <v>173</v>
      </c>
      <c r="B144" s="88"/>
      <c r="C144" s="86">
        <f>SUM(C135:C143)</f>
        <v>387751.66666666669</v>
      </c>
      <c r="D144" s="87">
        <f>SUM(D135:D143)</f>
        <v>107.91928013494191</v>
      </c>
    </row>
    <row r="146" spans="1:4" ht="16" x14ac:dyDescent="0.2">
      <c r="A146" s="164" t="s">
        <v>231</v>
      </c>
    </row>
    <row r="147" spans="1:4" x14ac:dyDescent="0.2">
      <c r="A147" s="80"/>
      <c r="B147" s="81" t="s">
        <v>213</v>
      </c>
      <c r="C147" s="81" t="s">
        <v>214</v>
      </c>
      <c r="D147" s="81" t="s">
        <v>215</v>
      </c>
    </row>
    <row r="148" spans="1:4" ht="32" x14ac:dyDescent="0.2">
      <c r="A148" s="89" t="s">
        <v>216</v>
      </c>
      <c r="B148" s="82">
        <v>370000</v>
      </c>
      <c r="C148" s="83"/>
      <c r="D148" s="84"/>
    </row>
    <row r="149" spans="1:4" ht="32" x14ac:dyDescent="0.2">
      <c r="A149" s="89" t="s">
        <v>217</v>
      </c>
      <c r="B149" s="85">
        <v>7.0000000000000007E-2</v>
      </c>
      <c r="C149" s="86">
        <f>B148*B149</f>
        <v>25900.000000000004</v>
      </c>
      <c r="D149" s="87">
        <f>C149/B152</f>
        <v>9.9615384615384635</v>
      </c>
    </row>
    <row r="150" spans="1:4" ht="16" x14ac:dyDescent="0.2">
      <c r="A150" s="89" t="s">
        <v>218</v>
      </c>
      <c r="B150" s="88">
        <v>10</v>
      </c>
      <c r="C150" s="86">
        <f>B148/B150</f>
        <v>37000</v>
      </c>
      <c r="D150" s="87">
        <f>C150/8765</f>
        <v>4.2213348545350824</v>
      </c>
    </row>
    <row r="151" spans="1:4" ht="16" x14ac:dyDescent="0.2">
      <c r="A151" s="89" t="s">
        <v>219</v>
      </c>
      <c r="B151" s="82">
        <f>250</f>
        <v>250</v>
      </c>
      <c r="C151" s="86">
        <f>B151*12</f>
        <v>3000</v>
      </c>
      <c r="D151" s="87">
        <f>C151/B152</f>
        <v>1.1538461538461537</v>
      </c>
    </row>
    <row r="152" spans="1:4" ht="32" x14ac:dyDescent="0.2">
      <c r="A152" s="89" t="s">
        <v>220</v>
      </c>
      <c r="B152" s="88">
        <v>2600</v>
      </c>
      <c r="C152" s="83"/>
      <c r="D152" s="84"/>
    </row>
    <row r="153" spans="1:4" ht="48" x14ac:dyDescent="0.2">
      <c r="A153" s="89" t="s">
        <v>221</v>
      </c>
      <c r="B153" s="82">
        <f>'7 Maskinliste &amp; fremstil.valg'!L12*2.5</f>
        <v>12.5</v>
      </c>
      <c r="C153" s="86">
        <f>B153*B152</f>
        <v>32500</v>
      </c>
      <c r="D153" s="87">
        <f>C153/B152</f>
        <v>12.5</v>
      </c>
    </row>
    <row r="154" spans="1:4" ht="32" x14ac:dyDescent="0.2">
      <c r="A154" s="89" t="s">
        <v>222</v>
      </c>
      <c r="B154" s="85">
        <v>0.05</v>
      </c>
      <c r="C154" s="86">
        <f>B154*B148</f>
        <v>18500</v>
      </c>
      <c r="D154" s="87">
        <f>C154/B152</f>
        <v>7.115384615384615</v>
      </c>
    </row>
    <row r="155" spans="1:4" ht="32" x14ac:dyDescent="0.2">
      <c r="A155" s="89" t="s">
        <v>223</v>
      </c>
      <c r="B155" s="82">
        <v>10000</v>
      </c>
      <c r="C155" s="86">
        <f>B155</f>
        <v>10000</v>
      </c>
      <c r="D155" s="87">
        <f>C155/B152</f>
        <v>3.8461538461538463</v>
      </c>
    </row>
    <row r="156" spans="1:4" ht="32" x14ac:dyDescent="0.2">
      <c r="A156" s="89" t="s">
        <v>224</v>
      </c>
      <c r="B156" s="82">
        <v>50000</v>
      </c>
      <c r="C156" s="86">
        <f>B156</f>
        <v>50000</v>
      </c>
      <c r="D156" s="87">
        <f>C156/B152</f>
        <v>19.23076923076923</v>
      </c>
    </row>
    <row r="157" spans="1:4" ht="32" x14ac:dyDescent="0.2">
      <c r="A157" s="89" t="s">
        <v>225</v>
      </c>
      <c r="B157" s="82">
        <v>10000</v>
      </c>
      <c r="C157" s="86">
        <f>B157</f>
        <v>10000</v>
      </c>
      <c r="D157" s="87">
        <f>C157/B152</f>
        <v>3.8461538461538463</v>
      </c>
    </row>
    <row r="158" spans="1:4" x14ac:dyDescent="0.2">
      <c r="A158" s="81" t="s">
        <v>173</v>
      </c>
      <c r="B158" s="88"/>
      <c r="C158" s="86">
        <f>SUM(C149:C157)</f>
        <v>186900</v>
      </c>
      <c r="D158" s="87">
        <f>SUM(D149:D157)</f>
        <v>61.87518100838124</v>
      </c>
    </row>
    <row r="160" spans="1:4" ht="16" x14ac:dyDescent="0.2">
      <c r="A160" s="164" t="s">
        <v>232</v>
      </c>
    </row>
    <row r="161" spans="1:4" x14ac:dyDescent="0.2">
      <c r="A161" s="80"/>
      <c r="B161" s="81" t="s">
        <v>213</v>
      </c>
      <c r="C161" s="81" t="s">
        <v>214</v>
      </c>
      <c r="D161" s="81" t="s">
        <v>215</v>
      </c>
    </row>
    <row r="162" spans="1:4" ht="32" x14ac:dyDescent="0.2">
      <c r="A162" s="89" t="s">
        <v>216</v>
      </c>
      <c r="B162" s="82">
        <v>600000</v>
      </c>
      <c r="C162" s="83"/>
      <c r="D162" s="84"/>
    </row>
    <row r="163" spans="1:4" ht="32" x14ac:dyDescent="0.2">
      <c r="A163" s="89" t="s">
        <v>217</v>
      </c>
      <c r="B163" s="85">
        <v>7.0000000000000007E-2</v>
      </c>
      <c r="C163" s="86">
        <f>B162*B163</f>
        <v>42000.000000000007</v>
      </c>
      <c r="D163" s="87">
        <f>C163/B166</f>
        <v>24.235429890363534</v>
      </c>
    </row>
    <row r="164" spans="1:4" ht="16" x14ac:dyDescent="0.2">
      <c r="A164" s="89" t="s">
        <v>218</v>
      </c>
      <c r="B164" s="88">
        <v>12</v>
      </c>
      <c r="C164" s="86">
        <f>B162/B164</f>
        <v>50000</v>
      </c>
      <c r="D164" s="87">
        <f>C164/B165</f>
        <v>83.333333333333329</v>
      </c>
    </row>
    <row r="165" spans="1:4" ht="16" x14ac:dyDescent="0.2">
      <c r="A165" s="89" t="s">
        <v>219</v>
      </c>
      <c r="B165" s="82">
        <v>600</v>
      </c>
      <c r="C165" s="86">
        <f>B165*12</f>
        <v>7200</v>
      </c>
      <c r="D165" s="87">
        <f>C165/B166</f>
        <v>4.1546451240623199</v>
      </c>
    </row>
    <row r="166" spans="1:4" ht="32" x14ac:dyDescent="0.2">
      <c r="A166" s="89" t="s">
        <v>220</v>
      </c>
      <c r="B166" s="88">
        <v>1733</v>
      </c>
      <c r="C166" s="83"/>
      <c r="D166" s="84"/>
    </row>
    <row r="167" spans="1:4" ht="48" x14ac:dyDescent="0.2">
      <c r="A167" s="89" t="s">
        <v>221</v>
      </c>
      <c r="B167" s="82">
        <f>13*2.5</f>
        <v>32.5</v>
      </c>
      <c r="C167" s="86">
        <f>B167*B166</f>
        <v>56322.5</v>
      </c>
      <c r="D167" s="87">
        <f>C167/B166</f>
        <v>32.5</v>
      </c>
    </row>
    <row r="168" spans="1:4" ht="32" x14ac:dyDescent="0.2">
      <c r="A168" s="89" t="s">
        <v>222</v>
      </c>
      <c r="B168" s="85">
        <v>0.05</v>
      </c>
      <c r="C168" s="86">
        <f>B168*B162</f>
        <v>30000</v>
      </c>
      <c r="D168" s="87">
        <f>C168/B166</f>
        <v>17.311021350259665</v>
      </c>
    </row>
    <row r="169" spans="1:4" ht="32" x14ac:dyDescent="0.2">
      <c r="A169" s="89" t="s">
        <v>223</v>
      </c>
      <c r="B169" s="82">
        <v>10000</v>
      </c>
      <c r="C169" s="86">
        <f>B169</f>
        <v>10000</v>
      </c>
      <c r="D169" s="87">
        <f>C169/B166</f>
        <v>5.7703404500865547</v>
      </c>
    </row>
    <row r="170" spans="1:4" ht="32" x14ac:dyDescent="0.2">
      <c r="A170" s="89" t="s">
        <v>224</v>
      </c>
      <c r="B170" s="82">
        <v>50000</v>
      </c>
      <c r="C170" s="86">
        <f>B170</f>
        <v>50000</v>
      </c>
      <c r="D170" s="87">
        <f>C170/B166</f>
        <v>28.851702250432776</v>
      </c>
    </row>
    <row r="171" spans="1:4" ht="32" x14ac:dyDescent="0.2">
      <c r="A171" s="89" t="s">
        <v>225</v>
      </c>
      <c r="B171" s="82">
        <v>10000</v>
      </c>
      <c r="C171" s="86">
        <f>B171</f>
        <v>10000</v>
      </c>
      <c r="D171" s="87">
        <f>C171/B166</f>
        <v>5.7703404500865547</v>
      </c>
    </row>
    <row r="172" spans="1:4" x14ac:dyDescent="0.2">
      <c r="A172" s="81" t="s">
        <v>173</v>
      </c>
      <c r="B172" s="88"/>
      <c r="C172" s="86">
        <f>SUM(C163:C171)</f>
        <v>255522.5</v>
      </c>
      <c r="D172" s="87">
        <f>SUM(D163:D171)</f>
        <v>201.92681284862473</v>
      </c>
    </row>
    <row r="174" spans="1:4" ht="16" x14ac:dyDescent="0.2">
      <c r="A174" s="164" t="s">
        <v>233</v>
      </c>
    </row>
    <row r="175" spans="1:4" x14ac:dyDescent="0.2">
      <c r="A175" s="80"/>
      <c r="B175" s="81" t="s">
        <v>213</v>
      </c>
      <c r="C175" s="81" t="s">
        <v>214</v>
      </c>
      <c r="D175" s="81" t="s">
        <v>215</v>
      </c>
    </row>
    <row r="176" spans="1:4" ht="32" x14ac:dyDescent="0.2">
      <c r="A176" s="89" t="s">
        <v>216</v>
      </c>
      <c r="B176" s="82">
        <v>1615000</v>
      </c>
      <c r="C176" s="83"/>
      <c r="D176" s="84"/>
    </row>
    <row r="177" spans="1:4" ht="32" x14ac:dyDescent="0.2">
      <c r="A177" s="89" t="s">
        <v>217</v>
      </c>
      <c r="B177" s="85">
        <v>7.0000000000000007E-2</v>
      </c>
      <c r="C177" s="86">
        <f>B176*B177</f>
        <v>113050.00000000001</v>
      </c>
      <c r="D177" s="87">
        <f>C177/B180</f>
        <v>37.683333333333337</v>
      </c>
    </row>
    <row r="178" spans="1:4" ht="16" x14ac:dyDescent="0.2">
      <c r="A178" s="89" t="s">
        <v>218</v>
      </c>
      <c r="B178" s="88">
        <v>15</v>
      </c>
      <c r="C178" s="86">
        <f>B176/B178</f>
        <v>107666.66666666667</v>
      </c>
      <c r="D178" s="87">
        <f>C178/8765</f>
        <v>12.283704126259746</v>
      </c>
    </row>
    <row r="179" spans="1:4" ht="16" x14ac:dyDescent="0.2">
      <c r="A179" s="89" t="s">
        <v>219</v>
      </c>
      <c r="B179" s="82">
        <v>250</v>
      </c>
      <c r="C179" s="86">
        <f>B179*12</f>
        <v>3000</v>
      </c>
      <c r="D179" s="87">
        <f>C179/B180</f>
        <v>1</v>
      </c>
    </row>
    <row r="180" spans="1:4" ht="32" x14ac:dyDescent="0.2">
      <c r="A180" s="89" t="s">
        <v>220</v>
      </c>
      <c r="B180" s="88">
        <v>3000</v>
      </c>
      <c r="C180" s="83"/>
      <c r="D180" s="84"/>
    </row>
    <row r="181" spans="1:4" ht="48" x14ac:dyDescent="0.2">
      <c r="A181" s="89" t="s">
        <v>221</v>
      </c>
      <c r="B181" s="82">
        <f>15*2.5</f>
        <v>37.5</v>
      </c>
      <c r="C181" s="86">
        <f>B181*B180</f>
        <v>112500</v>
      </c>
      <c r="D181" s="87">
        <f>C181/B180</f>
        <v>37.5</v>
      </c>
    </row>
    <row r="182" spans="1:4" ht="32" x14ac:dyDescent="0.2">
      <c r="A182" s="89" t="s">
        <v>222</v>
      </c>
      <c r="B182" s="85">
        <v>0.05</v>
      </c>
      <c r="C182" s="86">
        <f>B182*B176</f>
        <v>80750</v>
      </c>
      <c r="D182" s="87">
        <f>C182/B180</f>
        <v>26.916666666666668</v>
      </c>
    </row>
    <row r="183" spans="1:4" ht="32" x14ac:dyDescent="0.2">
      <c r="A183" s="89" t="s">
        <v>223</v>
      </c>
      <c r="B183" s="82">
        <v>100000</v>
      </c>
      <c r="C183" s="86">
        <f>B183</f>
        <v>100000</v>
      </c>
      <c r="D183" s="87">
        <f>C183/B180</f>
        <v>33.333333333333336</v>
      </c>
    </row>
    <row r="184" spans="1:4" ht="32" x14ac:dyDescent="0.2">
      <c r="A184" s="89" t="s">
        <v>224</v>
      </c>
      <c r="B184" s="82">
        <v>50000</v>
      </c>
      <c r="C184" s="86">
        <f>B184</f>
        <v>50000</v>
      </c>
      <c r="D184" s="87">
        <f>C184/B180</f>
        <v>16.666666666666668</v>
      </c>
    </row>
    <row r="185" spans="1:4" ht="32" x14ac:dyDescent="0.2">
      <c r="A185" s="89" t="s">
        <v>225</v>
      </c>
      <c r="B185" s="82">
        <v>10000</v>
      </c>
      <c r="C185" s="86">
        <f>B185</f>
        <v>10000</v>
      </c>
      <c r="D185" s="87">
        <f>C185/B180</f>
        <v>3.3333333333333335</v>
      </c>
    </row>
    <row r="186" spans="1:4" x14ac:dyDescent="0.2">
      <c r="A186" s="81" t="s">
        <v>173</v>
      </c>
      <c r="B186" s="88"/>
      <c r="C186" s="86">
        <f>SUM(C177:C185)</f>
        <v>576966.66666666674</v>
      </c>
      <c r="D186" s="87">
        <f>SUM(D177:D185)</f>
        <v>168.71703745959309</v>
      </c>
    </row>
    <row r="188" spans="1:4" ht="16" x14ac:dyDescent="0.2">
      <c r="A188" s="164" t="s">
        <v>234</v>
      </c>
    </row>
    <row r="189" spans="1:4" x14ac:dyDescent="0.2">
      <c r="A189" s="80"/>
      <c r="B189" s="81" t="s">
        <v>213</v>
      </c>
      <c r="C189" s="81" t="s">
        <v>214</v>
      </c>
      <c r="D189" s="81" t="s">
        <v>215</v>
      </c>
    </row>
    <row r="190" spans="1:4" ht="32" x14ac:dyDescent="0.2">
      <c r="A190" s="89" t="s">
        <v>216</v>
      </c>
      <c r="B190" s="82">
        <v>224115</v>
      </c>
      <c r="C190" s="83"/>
      <c r="D190" s="84"/>
    </row>
    <row r="191" spans="1:4" ht="32" x14ac:dyDescent="0.2">
      <c r="A191" s="89" t="s">
        <v>217</v>
      </c>
      <c r="B191" s="85">
        <v>7.0000000000000007E-2</v>
      </c>
      <c r="C191" s="86">
        <f>B190*B191</f>
        <v>15688.050000000001</v>
      </c>
      <c r="D191" s="87">
        <f>C191/B194</f>
        <v>12.067730769230771</v>
      </c>
    </row>
    <row r="192" spans="1:4" ht="16" x14ac:dyDescent="0.2">
      <c r="A192" s="89" t="s">
        <v>218</v>
      </c>
      <c r="B192" s="88">
        <v>10</v>
      </c>
      <c r="C192" s="86">
        <f>B190/B192</f>
        <v>22411.5</v>
      </c>
      <c r="D192" s="87">
        <f>C192/8765</f>
        <v>2.556930975470622</v>
      </c>
    </row>
    <row r="193" spans="1:4" ht="16" x14ac:dyDescent="0.2">
      <c r="A193" s="89" t="s">
        <v>219</v>
      </c>
      <c r="B193" s="82">
        <v>250</v>
      </c>
      <c r="C193" s="86">
        <f>B193*12</f>
        <v>3000</v>
      </c>
      <c r="D193" s="87">
        <f>C193/B194</f>
        <v>2.3076923076923075</v>
      </c>
    </row>
    <row r="194" spans="1:4" ht="32" x14ac:dyDescent="0.2">
      <c r="A194" s="89" t="s">
        <v>220</v>
      </c>
      <c r="B194" s="88">
        <v>1300</v>
      </c>
      <c r="C194" s="83"/>
      <c r="D194" s="84"/>
    </row>
    <row r="195" spans="1:4" ht="48" x14ac:dyDescent="0.2">
      <c r="A195" s="89" t="s">
        <v>221</v>
      </c>
      <c r="B195" s="82">
        <f>2*2.5</f>
        <v>5</v>
      </c>
      <c r="C195" s="86">
        <f>B195*B194</f>
        <v>6500</v>
      </c>
      <c r="D195" s="87">
        <f>C195/B194</f>
        <v>5</v>
      </c>
    </row>
    <row r="196" spans="1:4" ht="32" x14ac:dyDescent="0.2">
      <c r="A196" s="89" t="s">
        <v>222</v>
      </c>
      <c r="B196" s="85">
        <v>0.05</v>
      </c>
      <c r="C196" s="86">
        <f>B196*B190</f>
        <v>11205.75</v>
      </c>
      <c r="D196" s="87">
        <f>C196/B194</f>
        <v>8.6198076923076918</v>
      </c>
    </row>
    <row r="197" spans="1:4" ht="32" x14ac:dyDescent="0.2">
      <c r="A197" s="89" t="s">
        <v>223</v>
      </c>
      <c r="B197" s="82">
        <v>100000</v>
      </c>
      <c r="C197" s="86">
        <f>B197</f>
        <v>100000</v>
      </c>
      <c r="D197" s="87">
        <f>C197/B194</f>
        <v>76.92307692307692</v>
      </c>
    </row>
    <row r="198" spans="1:4" ht="32" x14ac:dyDescent="0.2">
      <c r="A198" s="89" t="s">
        <v>224</v>
      </c>
      <c r="B198" s="82">
        <v>75000</v>
      </c>
      <c r="C198" s="86">
        <f>B198</f>
        <v>75000</v>
      </c>
      <c r="D198" s="87">
        <f>C198/B194</f>
        <v>57.692307692307693</v>
      </c>
    </row>
    <row r="199" spans="1:4" ht="32" x14ac:dyDescent="0.2">
      <c r="A199" s="89" t="s">
        <v>225</v>
      </c>
      <c r="B199" s="82">
        <v>12000</v>
      </c>
      <c r="C199" s="86">
        <f>B199</f>
        <v>12000</v>
      </c>
      <c r="D199" s="87">
        <f>C199/B194</f>
        <v>9.2307692307692299</v>
      </c>
    </row>
    <row r="200" spans="1:4" x14ac:dyDescent="0.2">
      <c r="A200" s="81" t="s">
        <v>173</v>
      </c>
      <c r="B200" s="88"/>
      <c r="C200" s="86">
        <f>SUM(C191:C199)</f>
        <v>245805.3</v>
      </c>
      <c r="D200" s="87">
        <f>SUM(D191:D199)</f>
        <v>174.39831559085525</v>
      </c>
    </row>
    <row r="202" spans="1:4" ht="16" x14ac:dyDescent="0.2">
      <c r="A202" s="164" t="s">
        <v>235</v>
      </c>
    </row>
    <row r="203" spans="1:4" x14ac:dyDescent="0.2">
      <c r="A203" s="80"/>
      <c r="B203" s="81" t="s">
        <v>213</v>
      </c>
      <c r="C203" s="81" t="s">
        <v>214</v>
      </c>
      <c r="D203" s="81" t="s">
        <v>215</v>
      </c>
    </row>
    <row r="204" spans="1:4" ht="32" x14ac:dyDescent="0.2">
      <c r="A204" s="89" t="s">
        <v>216</v>
      </c>
      <c r="B204" s="82">
        <v>155000</v>
      </c>
      <c r="C204" s="83"/>
      <c r="D204" s="84"/>
    </row>
    <row r="205" spans="1:4" ht="32" x14ac:dyDescent="0.2">
      <c r="A205" s="89" t="s">
        <v>217</v>
      </c>
      <c r="B205" s="85">
        <v>7.0000000000000007E-2</v>
      </c>
      <c r="C205" s="86">
        <f>B204*B205</f>
        <v>10850.000000000002</v>
      </c>
      <c r="D205" s="87">
        <f>C205/B208</f>
        <v>3.6166666666666671</v>
      </c>
    </row>
    <row r="206" spans="1:4" ht="16" x14ac:dyDescent="0.2">
      <c r="A206" s="89" t="s">
        <v>218</v>
      </c>
      <c r="B206" s="88">
        <v>15</v>
      </c>
      <c r="C206" s="86">
        <f>B204/B206</f>
        <v>10333.333333333334</v>
      </c>
      <c r="D206" s="87">
        <f>C206/8765</f>
        <v>1.1789313557710592</v>
      </c>
    </row>
    <row r="207" spans="1:4" ht="16" x14ac:dyDescent="0.2">
      <c r="A207" s="89" t="s">
        <v>219</v>
      </c>
      <c r="B207" s="82">
        <v>250</v>
      </c>
      <c r="C207" s="86">
        <f>B207*12</f>
        <v>3000</v>
      </c>
      <c r="D207" s="87">
        <f>C207/B208</f>
        <v>1</v>
      </c>
    </row>
    <row r="208" spans="1:4" ht="32" x14ac:dyDescent="0.2">
      <c r="A208" s="89" t="s">
        <v>220</v>
      </c>
      <c r="B208" s="88">
        <v>3000</v>
      </c>
      <c r="C208" s="83"/>
      <c r="D208" s="84"/>
    </row>
    <row r="209" spans="1:8" ht="48" x14ac:dyDescent="0.2">
      <c r="A209" s="89" t="s">
        <v>221</v>
      </c>
      <c r="B209" s="82">
        <f>2*2.5</f>
        <v>5</v>
      </c>
      <c r="C209" s="86">
        <f>B209*B208</f>
        <v>15000</v>
      </c>
      <c r="D209" s="87">
        <f>C209/B208</f>
        <v>5</v>
      </c>
    </row>
    <row r="210" spans="1:8" ht="32" x14ac:dyDescent="0.2">
      <c r="A210" s="89" t="s">
        <v>222</v>
      </c>
      <c r="B210" s="85">
        <v>0.05</v>
      </c>
      <c r="C210" s="86">
        <f>B210*B204</f>
        <v>7750</v>
      </c>
      <c r="D210" s="87">
        <f>C210/B208</f>
        <v>2.5833333333333335</v>
      </c>
    </row>
    <row r="211" spans="1:8" ht="32" x14ac:dyDescent="0.2">
      <c r="A211" s="89" t="s">
        <v>223</v>
      </c>
      <c r="B211" s="82">
        <v>100000</v>
      </c>
      <c r="C211" s="86">
        <f>B211</f>
        <v>100000</v>
      </c>
      <c r="D211" s="87">
        <f>C211/B208</f>
        <v>33.333333333333336</v>
      </c>
    </row>
    <row r="212" spans="1:8" ht="32" x14ac:dyDescent="0.2">
      <c r="A212" s="89" t="s">
        <v>224</v>
      </c>
      <c r="B212" s="82">
        <v>75000</v>
      </c>
      <c r="C212" s="86">
        <f>B212</f>
        <v>75000</v>
      </c>
      <c r="D212" s="87">
        <f>C212/B208</f>
        <v>25</v>
      </c>
    </row>
    <row r="213" spans="1:8" ht="32" x14ac:dyDescent="0.2">
      <c r="A213" s="89" t="s">
        <v>225</v>
      </c>
      <c r="B213" s="82">
        <v>12000</v>
      </c>
      <c r="C213" s="86">
        <f>B213</f>
        <v>12000</v>
      </c>
      <c r="D213" s="87">
        <f>C213/B208</f>
        <v>4</v>
      </c>
    </row>
    <row r="214" spans="1:8" x14ac:dyDescent="0.2">
      <c r="A214" s="81" t="s">
        <v>173</v>
      </c>
      <c r="B214" s="88"/>
      <c r="C214" s="86">
        <f>SUM(C205:C213)</f>
        <v>233933.33333333334</v>
      </c>
      <c r="D214" s="87">
        <f>SUM(D205:D213)</f>
        <v>75.712264689104387</v>
      </c>
    </row>
    <row r="216" spans="1:8" x14ac:dyDescent="0.2">
      <c r="C216" s="7"/>
    </row>
    <row r="218" spans="1:8" x14ac:dyDescent="0.2">
      <c r="C218" s="7"/>
    </row>
    <row r="219" spans="1:8" ht="16" thickBot="1" x14ac:dyDescent="0.25"/>
    <row r="220" spans="1:8" ht="32" thickBot="1" x14ac:dyDescent="0.25">
      <c r="A220" s="1077" t="s">
        <v>236</v>
      </c>
      <c r="B220" s="1078"/>
      <c r="C220" s="1078"/>
      <c r="D220" s="1078"/>
      <c r="E220" s="1078"/>
      <c r="F220" s="1078"/>
      <c r="G220" s="1078"/>
      <c r="H220" s="1079"/>
    </row>
    <row r="221" spans="1:8" ht="20" thickBot="1" x14ac:dyDescent="0.3">
      <c r="A221" s="859" t="s">
        <v>139</v>
      </c>
      <c r="B221" s="860" t="s">
        <v>140</v>
      </c>
      <c r="C221" s="860" t="s">
        <v>141</v>
      </c>
      <c r="D221" s="860" t="s">
        <v>142</v>
      </c>
      <c r="E221" s="861" t="s">
        <v>143</v>
      </c>
      <c r="F221" s="864" t="s">
        <v>237</v>
      </c>
      <c r="G221" s="1080" t="s">
        <v>238</v>
      </c>
      <c r="H221" s="1081"/>
    </row>
    <row r="222" spans="1:8" ht="50.75" customHeight="1" x14ac:dyDescent="0.25">
      <c r="A222" s="27" t="s">
        <v>144</v>
      </c>
      <c r="B222" s="28" t="e" vm="1">
        <v>#VALUE!</v>
      </c>
      <c r="C222" s="29" t="s">
        <v>145</v>
      </c>
      <c r="D222" s="29" t="s">
        <v>146</v>
      </c>
      <c r="E222" s="856">
        <v>1</v>
      </c>
      <c r="F222" s="862" t="s">
        <v>239</v>
      </c>
      <c r="G222" s="1082" t="s">
        <v>240</v>
      </c>
      <c r="H222" s="1082"/>
    </row>
    <row r="223" spans="1:8" ht="49.5" customHeight="1" x14ac:dyDescent="0.25">
      <c r="A223" s="22" t="s">
        <v>147</v>
      </c>
      <c r="B223" s="23" t="e" vm="2">
        <v>#VALUE!</v>
      </c>
      <c r="C223" s="24" t="s">
        <v>148</v>
      </c>
      <c r="D223" s="24" t="s">
        <v>149</v>
      </c>
      <c r="E223" s="857">
        <v>1</v>
      </c>
      <c r="F223" s="863" t="s">
        <v>239</v>
      </c>
      <c r="G223" s="1086" t="s">
        <v>241</v>
      </c>
      <c r="H223" s="1086"/>
    </row>
    <row r="224" spans="1:8" ht="45" customHeight="1" x14ac:dyDescent="0.25">
      <c r="A224" s="22">
        <v>1001</v>
      </c>
      <c r="B224" s="23" t="e" vm="3">
        <v>#VALUE!</v>
      </c>
      <c r="C224" s="24" t="s">
        <v>151</v>
      </c>
      <c r="D224" s="26" t="s">
        <v>152</v>
      </c>
      <c r="E224" s="857">
        <v>4</v>
      </c>
      <c r="F224" s="863" t="s">
        <v>242</v>
      </c>
      <c r="G224" s="1086" t="s">
        <v>243</v>
      </c>
      <c r="H224" s="1086"/>
    </row>
    <row r="225" spans="1:8" ht="45" customHeight="1" x14ac:dyDescent="0.25">
      <c r="A225" s="22">
        <v>1003</v>
      </c>
      <c r="B225" s="23" t="e" vm="4">
        <v>#VALUE!</v>
      </c>
      <c r="C225" s="24" t="s">
        <v>153</v>
      </c>
      <c r="D225" s="24" t="s">
        <v>154</v>
      </c>
      <c r="E225" s="857">
        <v>8</v>
      </c>
      <c r="F225" s="863" t="s">
        <v>244</v>
      </c>
      <c r="G225" s="1086" t="s">
        <v>245</v>
      </c>
      <c r="H225" s="1086"/>
    </row>
    <row r="226" spans="1:8" ht="61.25" customHeight="1" x14ac:dyDescent="0.25">
      <c r="A226" s="22">
        <v>1005</v>
      </c>
      <c r="B226" s="23" t="e" vm="5">
        <v>#VALUE!</v>
      </c>
      <c r="C226" s="24" t="s">
        <v>155</v>
      </c>
      <c r="D226" s="24" t="s">
        <v>156</v>
      </c>
      <c r="E226" s="857">
        <v>4</v>
      </c>
      <c r="F226" s="863" t="s">
        <v>244</v>
      </c>
      <c r="G226" s="1086" t="s">
        <v>245</v>
      </c>
      <c r="H226" s="1086"/>
    </row>
    <row r="227" spans="1:8" ht="65" customHeight="1" x14ac:dyDescent="0.25">
      <c r="A227" s="22">
        <v>1006</v>
      </c>
      <c r="B227" s="23" t="e" vm="6">
        <v>#VALUE!</v>
      </c>
      <c r="C227" s="24" t="s">
        <v>157</v>
      </c>
      <c r="D227" s="26" t="s">
        <v>158</v>
      </c>
      <c r="E227" s="857">
        <v>4</v>
      </c>
      <c r="F227" s="863" t="s">
        <v>244</v>
      </c>
      <c r="G227" s="1086" t="s">
        <v>246</v>
      </c>
      <c r="H227" s="1086"/>
    </row>
    <row r="228" spans="1:8" ht="51.5" customHeight="1" x14ac:dyDescent="0.25">
      <c r="A228" s="22">
        <v>1004</v>
      </c>
      <c r="B228" s="23" t="e" vm="7">
        <v>#VALUE!</v>
      </c>
      <c r="C228" s="24" t="s">
        <v>159</v>
      </c>
      <c r="D228" s="24" t="s">
        <v>156</v>
      </c>
      <c r="E228" s="857">
        <v>4</v>
      </c>
      <c r="F228" s="863" t="s">
        <v>244</v>
      </c>
      <c r="G228" s="1086" t="s">
        <v>245</v>
      </c>
      <c r="H228" s="1086"/>
    </row>
    <row r="229" spans="1:8" ht="50" customHeight="1" thickBot="1" x14ac:dyDescent="0.3">
      <c r="A229" s="18">
        <v>1002</v>
      </c>
      <c r="B229" s="20" t="e" vm="8">
        <v>#VALUE!</v>
      </c>
      <c r="C229" s="21" t="s">
        <v>160</v>
      </c>
      <c r="D229" s="21" t="s">
        <v>161</v>
      </c>
      <c r="E229" s="858">
        <v>4</v>
      </c>
      <c r="F229" s="865" t="s">
        <v>247</v>
      </c>
      <c r="G229" s="1087" t="s">
        <v>248</v>
      </c>
      <c r="H229" s="1087"/>
    </row>
    <row r="230" spans="1:8" x14ac:dyDescent="0.2">
      <c r="C230" s="7"/>
    </row>
    <row r="232" spans="1:8" x14ac:dyDescent="0.2">
      <c r="C232" s="7"/>
    </row>
  </sheetData>
  <mergeCells count="20">
    <mergeCell ref="G228:H228"/>
    <mergeCell ref="G229:H229"/>
    <mergeCell ref="G223:H223"/>
    <mergeCell ref="G224:H224"/>
    <mergeCell ref="G225:H225"/>
    <mergeCell ref="G226:H226"/>
    <mergeCell ref="G227:H227"/>
    <mergeCell ref="A220:H220"/>
    <mergeCell ref="G221:H221"/>
    <mergeCell ref="G222:H222"/>
    <mergeCell ref="A19:H19"/>
    <mergeCell ref="A12:H12"/>
    <mergeCell ref="A1:E1"/>
    <mergeCell ref="A29:F29"/>
    <mergeCell ref="A44:I44"/>
    <mergeCell ref="A48:A49"/>
    <mergeCell ref="A53:A54"/>
    <mergeCell ref="B53:B54"/>
    <mergeCell ref="E53:F54"/>
    <mergeCell ref="I53:I54"/>
  </mergeCells>
  <hyperlinks>
    <hyperlink ref="Q15" r:id="rId1" xr:uid="{A903D2EA-D43A-4DB0-9F96-1029CBD07A96}"/>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FC1D6-2795-4F27-B3C0-62B0546DAD3B}">
  <dimension ref="B2:ELW88"/>
  <sheetViews>
    <sheetView zoomScale="30" zoomScaleNormal="162" workbookViewId="0">
      <selection activeCell="Q72" sqref="Q72"/>
    </sheetView>
  </sheetViews>
  <sheetFormatPr baseColWidth="10" defaultColWidth="8.83203125" defaultRowHeight="15" x14ac:dyDescent="0.2"/>
  <cols>
    <col min="3" max="3" width="8.6640625" customWidth="1"/>
    <col min="4" max="4" width="11.33203125" customWidth="1"/>
  </cols>
  <sheetData>
    <row r="2" spans="2:12 3715:3715" ht="16" thickBot="1" x14ac:dyDescent="0.25"/>
    <row r="3" spans="2:12 3715:3715" x14ac:dyDescent="0.2">
      <c r="B3" s="1026" t="s">
        <v>37</v>
      </c>
      <c r="C3" s="1048"/>
      <c r="D3" s="1048"/>
      <c r="E3" s="1048"/>
      <c r="F3" s="1048"/>
      <c r="G3" s="1048"/>
      <c r="H3" s="1048"/>
      <c r="I3" s="1048"/>
      <c r="J3" s="1048"/>
      <c r="K3" s="1048"/>
      <c r="L3" s="1049"/>
    </row>
    <row r="4" spans="2:12 3715:3715" ht="16" thickBot="1" x14ac:dyDescent="0.25">
      <c r="B4" s="1050"/>
      <c r="C4" s="1051"/>
      <c r="D4" s="1051"/>
      <c r="E4" s="1051"/>
      <c r="F4" s="1051"/>
      <c r="G4" s="1051"/>
      <c r="H4" s="1051"/>
      <c r="I4" s="1051"/>
      <c r="J4" s="1051"/>
      <c r="K4" s="1051"/>
      <c r="L4" s="1052"/>
    </row>
    <row r="5" spans="2:12 3715:3715" ht="24" x14ac:dyDescent="0.3">
      <c r="B5" s="113"/>
      <c r="C5" s="1089" t="s">
        <v>151</v>
      </c>
      <c r="D5" s="1089"/>
      <c r="E5" s="114"/>
      <c r="F5" s="1089" t="s">
        <v>145</v>
      </c>
      <c r="G5" s="1089"/>
      <c r="H5" s="116"/>
      <c r="I5" s="116"/>
      <c r="J5" s="1089" t="s">
        <v>148</v>
      </c>
      <c r="K5" s="1089"/>
      <c r="L5" s="115"/>
    </row>
    <row r="6" spans="2:12 3715:3715" ht="14.75" customHeight="1" x14ac:dyDescent="0.2">
      <c r="B6" s="113"/>
      <c r="C6" s="114"/>
      <c r="D6" s="117"/>
      <c r="E6" s="114"/>
      <c r="F6" s="114"/>
      <c r="G6" s="117"/>
      <c r="H6" s="114"/>
      <c r="I6" s="114"/>
      <c r="J6" s="114"/>
      <c r="K6" s="117"/>
      <c r="L6" s="115"/>
    </row>
    <row r="7" spans="2:12 3715:3715" ht="14.75" customHeight="1" x14ac:dyDescent="0.2">
      <c r="B7" s="113"/>
      <c r="C7" s="114"/>
      <c r="D7" s="118"/>
      <c r="E7" s="114"/>
      <c r="F7" s="114"/>
      <c r="G7" s="118"/>
      <c r="H7" s="114"/>
      <c r="I7" s="114"/>
      <c r="J7" s="114"/>
      <c r="K7" s="118"/>
      <c r="L7" s="115"/>
    </row>
    <row r="8" spans="2:12 3715:3715" ht="14.75" customHeight="1" x14ac:dyDescent="0.2">
      <c r="B8" s="113"/>
      <c r="C8" s="114"/>
      <c r="D8" s="118"/>
      <c r="E8" s="114"/>
      <c r="F8" s="114"/>
      <c r="G8" s="118"/>
      <c r="H8" s="114"/>
      <c r="I8" s="114"/>
      <c r="J8" s="114"/>
      <c r="K8" s="118"/>
      <c r="L8" s="115"/>
      <c r="ELW8" s="9"/>
    </row>
    <row r="9" spans="2:12 3715:3715" ht="14.75" customHeight="1" x14ac:dyDescent="0.2">
      <c r="B9" s="113"/>
      <c r="C9" s="114"/>
      <c r="D9" s="118"/>
      <c r="E9" s="114"/>
      <c r="F9" s="114"/>
      <c r="G9" s="118"/>
      <c r="H9" s="114"/>
      <c r="I9" s="114"/>
      <c r="J9" s="114"/>
      <c r="K9" s="118"/>
      <c r="L9" s="115"/>
    </row>
    <row r="10" spans="2:12 3715:3715" ht="14.75" customHeight="1" x14ac:dyDescent="0.2">
      <c r="B10" s="113"/>
      <c r="C10" s="114"/>
      <c r="D10" s="118"/>
      <c r="E10" s="114"/>
      <c r="F10" s="114"/>
      <c r="G10" s="118"/>
      <c r="H10" s="114"/>
      <c r="I10" s="114"/>
      <c r="J10" s="114"/>
      <c r="K10" s="118"/>
      <c r="L10" s="115"/>
    </row>
    <row r="11" spans="2:12 3715:3715" ht="14.75" customHeight="1" x14ac:dyDescent="0.2">
      <c r="B11" s="113"/>
      <c r="C11" s="114"/>
      <c r="D11" s="118"/>
      <c r="E11" s="114"/>
      <c r="F11" s="114"/>
      <c r="G11" s="118"/>
      <c r="H11" s="114"/>
      <c r="I11" s="114"/>
      <c r="J11" s="114"/>
      <c r="K11" s="118"/>
      <c r="L11" s="115"/>
    </row>
    <row r="12" spans="2:12 3715:3715" ht="14.75" customHeight="1" x14ac:dyDescent="0.2">
      <c r="B12" s="113"/>
      <c r="C12" s="114"/>
      <c r="D12" s="118"/>
      <c r="E12" s="114"/>
      <c r="F12" s="114"/>
      <c r="G12" s="118"/>
      <c r="H12" s="114"/>
      <c r="I12" s="114"/>
      <c r="J12" s="114"/>
      <c r="K12" s="118"/>
      <c r="L12" s="115"/>
    </row>
    <row r="13" spans="2:12 3715:3715" ht="14.75" customHeight="1" x14ac:dyDescent="0.2">
      <c r="B13" s="113"/>
      <c r="C13" s="114"/>
      <c r="D13" s="118"/>
      <c r="E13" s="114"/>
      <c r="F13" s="114"/>
      <c r="G13" s="118"/>
      <c r="H13" s="114"/>
      <c r="I13" s="114"/>
      <c r="J13" s="114"/>
      <c r="K13" s="118"/>
      <c r="L13" s="115"/>
    </row>
    <row r="14" spans="2:12 3715:3715" ht="14.75" customHeight="1" x14ac:dyDescent="0.2">
      <c r="B14" s="113"/>
      <c r="C14" s="114"/>
      <c r="D14" s="118"/>
      <c r="E14" s="114"/>
      <c r="F14" s="114"/>
      <c r="G14" s="118"/>
      <c r="H14" s="114"/>
      <c r="I14" s="114"/>
      <c r="J14" s="114"/>
      <c r="K14" s="118"/>
      <c r="L14" s="115"/>
    </row>
    <row r="15" spans="2:12 3715:3715" ht="14.75" customHeight="1" x14ac:dyDescent="0.2">
      <c r="B15" s="113"/>
      <c r="C15" s="114"/>
      <c r="D15" s="118"/>
      <c r="E15" s="114"/>
      <c r="F15" s="114"/>
      <c r="G15" s="118"/>
      <c r="H15" s="114"/>
      <c r="I15" s="114"/>
      <c r="J15" s="114"/>
      <c r="K15" s="118"/>
      <c r="L15" s="115"/>
    </row>
    <row r="16" spans="2:12 3715:3715" ht="14.75" customHeight="1" x14ac:dyDescent="0.2">
      <c r="B16" s="113"/>
      <c r="C16" s="114"/>
      <c r="D16" s="118"/>
      <c r="E16" s="114"/>
      <c r="F16" s="114"/>
      <c r="G16" s="118"/>
      <c r="H16" s="114"/>
      <c r="I16" s="114"/>
      <c r="J16" s="114"/>
      <c r="K16" s="118"/>
      <c r="L16" s="115"/>
    </row>
    <row r="17" spans="2:12" ht="14.75" customHeight="1" x14ac:dyDescent="0.2">
      <c r="B17" s="113"/>
      <c r="C17" s="114"/>
      <c r="D17" s="118"/>
      <c r="E17" s="114"/>
      <c r="F17" s="114"/>
      <c r="G17" s="118"/>
      <c r="H17" s="114"/>
      <c r="I17" s="114"/>
      <c r="J17" s="114"/>
      <c r="K17" s="118"/>
      <c r="L17" s="115"/>
    </row>
    <row r="18" spans="2:12" ht="14.75" customHeight="1" x14ac:dyDescent="0.2">
      <c r="B18" s="113"/>
      <c r="C18" s="114"/>
      <c r="D18" s="118"/>
      <c r="E18" s="114"/>
      <c r="F18" s="114"/>
      <c r="G18" s="118"/>
      <c r="H18" s="114"/>
      <c r="I18" s="114"/>
      <c r="J18" s="114"/>
      <c r="K18" s="118"/>
      <c r="L18" s="115"/>
    </row>
    <row r="19" spans="2:12" ht="14.75" customHeight="1" x14ac:dyDescent="0.2">
      <c r="B19" s="113"/>
      <c r="C19" s="114"/>
      <c r="D19" s="118"/>
      <c r="E19" s="114"/>
      <c r="F19" s="114"/>
      <c r="G19" s="118"/>
      <c r="H19" s="114"/>
      <c r="I19" s="114"/>
      <c r="J19" s="114"/>
      <c r="K19" s="118"/>
      <c r="L19" s="115"/>
    </row>
    <row r="20" spans="2:12" ht="14.75" customHeight="1" x14ac:dyDescent="0.2">
      <c r="B20" s="113"/>
      <c r="C20" s="114"/>
      <c r="D20" s="118"/>
      <c r="E20" s="114"/>
      <c r="F20" s="114"/>
      <c r="G20" s="118"/>
      <c r="H20" s="114"/>
      <c r="I20" s="114"/>
      <c r="J20" s="114"/>
      <c r="K20" s="118"/>
      <c r="L20" s="115"/>
    </row>
    <row r="21" spans="2:12" ht="14.75" customHeight="1" x14ac:dyDescent="0.2">
      <c r="B21" s="113"/>
      <c r="C21" s="114"/>
      <c r="D21" s="118"/>
      <c r="E21" s="114"/>
      <c r="F21" s="114"/>
      <c r="G21" s="118"/>
      <c r="H21" s="114"/>
      <c r="I21" s="114"/>
      <c r="J21" s="114"/>
      <c r="K21" s="118"/>
      <c r="L21" s="115"/>
    </row>
    <row r="22" spans="2:12" ht="14.75" customHeight="1" x14ac:dyDescent="0.2">
      <c r="B22" s="113"/>
      <c r="C22" s="114"/>
      <c r="D22" s="118"/>
      <c r="E22" s="114"/>
      <c r="F22" s="114"/>
      <c r="G22" s="118"/>
      <c r="H22" s="114"/>
      <c r="I22" s="114"/>
      <c r="J22" s="114"/>
      <c r="K22" s="118"/>
      <c r="L22" s="115"/>
    </row>
    <row r="23" spans="2:12" ht="14.75" customHeight="1" x14ac:dyDescent="0.2">
      <c r="B23" s="113"/>
      <c r="C23" s="114"/>
      <c r="D23" s="118"/>
      <c r="E23" s="114"/>
      <c r="F23" s="114"/>
      <c r="G23" s="118"/>
      <c r="H23" s="114"/>
      <c r="I23" s="114"/>
      <c r="J23" s="114"/>
      <c r="K23" s="118"/>
      <c r="L23" s="115"/>
    </row>
    <row r="24" spans="2:12" ht="14.75" customHeight="1" x14ac:dyDescent="0.2">
      <c r="B24" s="113"/>
      <c r="C24" s="114"/>
      <c r="D24" s="118"/>
      <c r="E24" s="114"/>
      <c r="F24" s="114"/>
      <c r="G24" s="118"/>
      <c r="H24" s="114"/>
      <c r="I24" s="114"/>
      <c r="J24" s="114"/>
      <c r="K24" s="118"/>
      <c r="L24" s="115"/>
    </row>
    <row r="25" spans="2:12" x14ac:dyDescent="0.2">
      <c r="B25" s="113"/>
      <c r="C25" s="114"/>
      <c r="D25" s="118"/>
      <c r="E25" s="114"/>
      <c r="F25" s="114"/>
      <c r="G25" s="118"/>
      <c r="H25" s="114"/>
      <c r="I25" s="114"/>
      <c r="J25" s="114"/>
      <c r="K25" s="118"/>
      <c r="L25" s="115"/>
    </row>
    <row r="26" spans="2:12" x14ac:dyDescent="0.2">
      <c r="B26" s="113"/>
      <c r="C26" s="114"/>
      <c r="D26" s="118"/>
      <c r="E26" s="114"/>
      <c r="F26" s="114"/>
      <c r="G26" s="118"/>
      <c r="H26" s="114"/>
      <c r="I26" s="114"/>
      <c r="J26" s="114"/>
      <c r="K26" s="118"/>
      <c r="L26" s="115"/>
    </row>
    <row r="27" spans="2:12" x14ac:dyDescent="0.2">
      <c r="B27" s="113"/>
      <c r="C27" s="114"/>
      <c r="D27" s="118"/>
      <c r="E27" s="114"/>
      <c r="F27" s="114"/>
      <c r="G27" s="118"/>
      <c r="H27" s="114"/>
      <c r="I27" s="114"/>
      <c r="J27" s="114"/>
      <c r="K27" s="118"/>
      <c r="L27" s="115"/>
    </row>
    <row r="28" spans="2:12" x14ac:dyDescent="0.2">
      <c r="B28" s="113"/>
      <c r="C28" s="114"/>
      <c r="D28" s="118"/>
      <c r="E28" s="114"/>
      <c r="F28" s="114"/>
      <c r="G28" s="118"/>
      <c r="H28" s="114"/>
      <c r="I28" s="114"/>
      <c r="J28" s="114"/>
      <c r="K28" s="118"/>
      <c r="L28" s="115"/>
    </row>
    <row r="29" spans="2:12" x14ac:dyDescent="0.2">
      <c r="B29" s="113"/>
      <c r="C29" s="114"/>
      <c r="D29" s="118"/>
      <c r="E29" s="114"/>
      <c r="F29" s="114"/>
      <c r="G29" s="118"/>
      <c r="H29" s="114"/>
      <c r="I29" s="114"/>
      <c r="J29" s="114"/>
      <c r="K29" s="118"/>
      <c r="L29" s="115"/>
    </row>
    <row r="30" spans="2:12" x14ac:dyDescent="0.2">
      <c r="B30" s="113"/>
      <c r="C30" s="114"/>
      <c r="D30" s="118"/>
      <c r="E30" s="114"/>
      <c r="F30" s="114"/>
      <c r="G30" s="118"/>
      <c r="H30" s="114"/>
      <c r="I30" s="114"/>
      <c r="J30" s="114"/>
      <c r="K30" s="118"/>
      <c r="L30" s="115"/>
    </row>
    <row r="31" spans="2:12" x14ac:dyDescent="0.2">
      <c r="B31" s="113"/>
      <c r="C31" s="114"/>
      <c r="D31" s="118"/>
      <c r="E31" s="114"/>
      <c r="F31" s="114"/>
      <c r="G31" s="118"/>
      <c r="H31" s="114"/>
      <c r="I31" s="114"/>
      <c r="J31" s="114"/>
      <c r="K31" s="118"/>
      <c r="L31" s="115"/>
    </row>
    <row r="32" spans="2:12" x14ac:dyDescent="0.2">
      <c r="B32" s="113"/>
      <c r="C32" s="114"/>
      <c r="D32" s="118"/>
      <c r="E32" s="114"/>
      <c r="F32" s="114"/>
      <c r="G32" s="118"/>
      <c r="H32" s="114"/>
      <c r="I32" s="114"/>
      <c r="J32" s="114"/>
      <c r="K32" s="118"/>
      <c r="L32" s="115"/>
    </row>
    <row r="33" spans="2:12" x14ac:dyDescent="0.2">
      <c r="B33" s="113"/>
      <c r="C33" s="114"/>
      <c r="D33" s="118"/>
      <c r="E33" s="114"/>
      <c r="F33" s="114"/>
      <c r="G33" s="118"/>
      <c r="H33" s="114"/>
      <c r="I33" s="114"/>
      <c r="J33" s="114"/>
      <c r="K33" s="118"/>
      <c r="L33" s="115"/>
    </row>
    <row r="34" spans="2:12" x14ac:dyDescent="0.2">
      <c r="B34" s="113"/>
      <c r="C34" s="114"/>
      <c r="D34" s="118"/>
      <c r="E34" s="114"/>
      <c r="F34" s="114"/>
      <c r="G34" s="118"/>
      <c r="H34" s="114"/>
      <c r="I34" s="114"/>
      <c r="J34" s="114"/>
      <c r="K34" s="118"/>
      <c r="L34" s="115"/>
    </row>
    <row r="35" spans="2:12" x14ac:dyDescent="0.2">
      <c r="B35" s="113"/>
      <c r="C35" s="114"/>
      <c r="D35" s="118"/>
      <c r="E35" s="114"/>
      <c r="F35" s="114"/>
      <c r="G35" s="118"/>
      <c r="H35" s="114"/>
      <c r="I35" s="114"/>
      <c r="J35" s="114"/>
      <c r="K35" s="118"/>
      <c r="L35" s="115"/>
    </row>
    <row r="36" spans="2:12" x14ac:dyDescent="0.2">
      <c r="B36" s="113"/>
      <c r="C36" s="114"/>
      <c r="D36" s="118"/>
      <c r="E36" s="114"/>
      <c r="F36" s="114"/>
      <c r="G36" s="118"/>
      <c r="H36" s="114"/>
      <c r="I36" s="114"/>
      <c r="J36" s="114"/>
      <c r="K36" s="118"/>
      <c r="L36" s="115"/>
    </row>
    <row r="37" spans="2:12" x14ac:dyDescent="0.2">
      <c r="B37" s="113"/>
      <c r="C37" s="114"/>
      <c r="D37" s="118"/>
      <c r="E37" s="114"/>
      <c r="F37" s="114"/>
      <c r="G37" s="118"/>
      <c r="H37" s="114"/>
      <c r="I37" s="114"/>
      <c r="J37" s="114"/>
      <c r="K37" s="118"/>
      <c r="L37" s="115"/>
    </row>
    <row r="38" spans="2:12" x14ac:dyDescent="0.2">
      <c r="B38" s="113"/>
      <c r="C38" s="114"/>
      <c r="D38" s="118"/>
      <c r="E38" s="114"/>
      <c r="F38" s="114"/>
      <c r="G38" s="118"/>
      <c r="H38" s="114"/>
      <c r="I38" s="114"/>
      <c r="J38" s="114"/>
      <c r="K38" s="118"/>
      <c r="L38" s="115"/>
    </row>
    <row r="39" spans="2:12" x14ac:dyDescent="0.2">
      <c r="B39" s="113"/>
      <c r="C39" s="114"/>
      <c r="D39" s="118"/>
      <c r="E39" s="114"/>
      <c r="F39" s="114"/>
      <c r="G39" s="118"/>
      <c r="H39" s="114"/>
      <c r="I39" s="114"/>
      <c r="J39" s="114"/>
      <c r="K39" s="118"/>
      <c r="L39" s="115"/>
    </row>
    <row r="40" spans="2:12" x14ac:dyDescent="0.2">
      <c r="B40" s="113"/>
      <c r="C40" s="114"/>
      <c r="D40" s="118"/>
      <c r="E40" s="114"/>
      <c r="F40" s="114"/>
      <c r="G40" s="118"/>
      <c r="H40" s="114"/>
      <c r="I40" s="114"/>
      <c r="J40" s="114"/>
      <c r="K40" s="118"/>
      <c r="L40" s="115"/>
    </row>
    <row r="41" spans="2:12" x14ac:dyDescent="0.2">
      <c r="B41" s="113"/>
      <c r="C41" s="114"/>
      <c r="D41" s="118"/>
      <c r="E41" s="114"/>
      <c r="F41" s="114"/>
      <c r="G41" s="118"/>
      <c r="H41" s="114"/>
      <c r="I41" s="114"/>
      <c r="J41" s="114"/>
      <c r="K41" s="118"/>
      <c r="L41" s="115"/>
    </row>
    <row r="42" spans="2:12" x14ac:dyDescent="0.2">
      <c r="B42" s="113"/>
      <c r="C42" s="114"/>
      <c r="D42" s="118"/>
      <c r="E42" s="114"/>
      <c r="F42" s="114"/>
      <c r="G42" s="118"/>
      <c r="H42" s="114"/>
      <c r="I42" s="114"/>
      <c r="J42" s="114"/>
      <c r="K42" s="118"/>
      <c r="L42" s="115"/>
    </row>
    <row r="43" spans="2:12" x14ac:dyDescent="0.2">
      <c r="B43" s="113"/>
      <c r="C43" s="114"/>
      <c r="D43" s="118"/>
      <c r="E43" s="114"/>
      <c r="F43" s="114"/>
      <c r="G43" s="118"/>
      <c r="H43" s="114"/>
      <c r="I43" s="114"/>
      <c r="J43" s="114"/>
      <c r="K43" s="118"/>
      <c r="L43" s="115"/>
    </row>
    <row r="44" spans="2:12" x14ac:dyDescent="0.2">
      <c r="B44" s="113"/>
      <c r="C44" s="114"/>
      <c r="D44" s="118"/>
      <c r="E44" s="114"/>
      <c r="F44" s="114"/>
      <c r="G44" s="118"/>
      <c r="H44" s="114"/>
      <c r="I44" s="114"/>
      <c r="J44" s="114"/>
      <c r="K44" s="118"/>
      <c r="L44" s="115"/>
    </row>
    <row r="45" spans="2:12" x14ac:dyDescent="0.2">
      <c r="B45" s="113"/>
      <c r="C45" s="114"/>
      <c r="D45" s="118"/>
      <c r="E45" s="114"/>
      <c r="F45" s="114"/>
      <c r="G45" s="118"/>
      <c r="H45" s="114"/>
      <c r="I45" s="114"/>
      <c r="J45" s="114"/>
      <c r="K45" s="118"/>
      <c r="L45" s="115"/>
    </row>
    <row r="46" spans="2:12" x14ac:dyDescent="0.2">
      <c r="B46" s="113"/>
      <c r="C46" s="114"/>
      <c r="D46" s="118"/>
      <c r="E46" s="114"/>
      <c r="F46" s="114"/>
      <c r="G46" s="118"/>
      <c r="H46" s="114"/>
      <c r="I46" s="114"/>
      <c r="J46" s="114"/>
      <c r="K46" s="118"/>
      <c r="L46" s="115"/>
    </row>
    <row r="47" spans="2:12" x14ac:dyDescent="0.2">
      <c r="B47" s="113"/>
      <c r="C47" s="114"/>
      <c r="D47" s="118"/>
      <c r="E47" s="114"/>
      <c r="F47" s="114"/>
      <c r="G47" s="118"/>
      <c r="H47" s="114"/>
      <c r="I47" s="114"/>
      <c r="J47" s="114"/>
      <c r="K47" s="118"/>
      <c r="L47" s="115"/>
    </row>
    <row r="48" spans="2:12" x14ac:dyDescent="0.2">
      <c r="B48" s="113"/>
      <c r="C48" s="114"/>
      <c r="D48" s="118"/>
      <c r="E48" s="114"/>
      <c r="F48" s="114"/>
      <c r="G48" s="118"/>
      <c r="H48" s="114"/>
      <c r="I48" s="114"/>
      <c r="J48" s="114"/>
      <c r="K48" s="118"/>
      <c r="L48" s="115"/>
    </row>
    <row r="49" spans="2:14" ht="24" x14ac:dyDescent="0.3">
      <c r="B49" s="113"/>
      <c r="C49" s="114"/>
      <c r="D49" s="118"/>
      <c r="E49" s="114"/>
      <c r="F49" s="114"/>
      <c r="G49" s="118"/>
      <c r="H49" s="1088" t="s">
        <v>153</v>
      </c>
      <c r="I49" s="1088"/>
      <c r="J49" s="114"/>
      <c r="K49" s="118"/>
      <c r="L49" s="115"/>
    </row>
    <row r="50" spans="2:14" ht="24" x14ac:dyDescent="0.3">
      <c r="B50" s="113"/>
      <c r="C50" s="114"/>
      <c r="D50" s="118"/>
      <c r="E50" s="114"/>
      <c r="F50" s="114"/>
      <c r="G50" s="118"/>
      <c r="H50" s="1090" t="s">
        <v>160</v>
      </c>
      <c r="I50" s="1090"/>
      <c r="J50" s="114"/>
      <c r="K50" s="118"/>
      <c r="L50" s="115"/>
    </row>
    <row r="51" spans="2:14" x14ac:dyDescent="0.2">
      <c r="B51" s="113"/>
      <c r="C51" s="114"/>
      <c r="D51" s="118"/>
      <c r="E51" s="114"/>
      <c r="F51" s="114"/>
      <c r="G51" s="118"/>
      <c r="H51" s="114"/>
      <c r="I51" s="119"/>
      <c r="J51" s="114"/>
      <c r="K51" s="118"/>
      <c r="L51" s="115"/>
    </row>
    <row r="52" spans="2:14" x14ac:dyDescent="0.2">
      <c r="B52" s="113"/>
      <c r="C52" s="114"/>
      <c r="D52" s="118"/>
      <c r="E52" s="114"/>
      <c r="F52" s="114"/>
      <c r="G52" s="118"/>
      <c r="H52" s="120"/>
      <c r="I52" s="114"/>
      <c r="J52" s="114"/>
      <c r="K52" s="118"/>
      <c r="L52" s="115"/>
    </row>
    <row r="53" spans="2:14" x14ac:dyDescent="0.2">
      <c r="B53" s="113"/>
      <c r="C53" s="114"/>
      <c r="D53" s="118"/>
      <c r="E53" s="114"/>
      <c r="F53" s="114"/>
      <c r="G53" s="118"/>
      <c r="H53" s="120"/>
      <c r="I53" s="114"/>
      <c r="J53" s="114"/>
      <c r="K53" s="118"/>
      <c r="L53" s="115"/>
    </row>
    <row r="54" spans="2:14" x14ac:dyDescent="0.2">
      <c r="B54" s="113"/>
      <c r="C54" s="114"/>
      <c r="D54" s="118"/>
      <c r="E54" s="114"/>
      <c r="F54" s="114"/>
      <c r="G54" s="118"/>
      <c r="H54" s="120"/>
      <c r="I54" s="114"/>
      <c r="J54" s="114"/>
      <c r="K54" s="118"/>
      <c r="L54" s="115"/>
    </row>
    <row r="55" spans="2:14" x14ac:dyDescent="0.2">
      <c r="B55" s="113"/>
      <c r="C55" s="114"/>
      <c r="D55" s="118"/>
      <c r="E55" s="114"/>
      <c r="F55" s="114"/>
      <c r="G55" s="118"/>
      <c r="H55" s="120"/>
      <c r="I55" s="114"/>
      <c r="J55" s="114"/>
      <c r="K55" s="118"/>
      <c r="L55" s="115"/>
    </row>
    <row r="56" spans="2:14" x14ac:dyDescent="0.2">
      <c r="B56" s="113"/>
      <c r="C56" s="114"/>
      <c r="D56" s="118"/>
      <c r="E56" s="114"/>
      <c r="F56" s="114"/>
      <c r="G56" s="118"/>
      <c r="H56" s="120"/>
      <c r="I56" s="114"/>
      <c r="J56" s="114"/>
      <c r="K56" s="118"/>
      <c r="L56" s="115"/>
      <c r="N56" s="9"/>
    </row>
    <row r="57" spans="2:14" x14ac:dyDescent="0.2">
      <c r="B57" s="113"/>
      <c r="C57" s="114"/>
      <c r="D57" s="118"/>
      <c r="E57" s="114"/>
      <c r="F57" s="114"/>
      <c r="G57" s="118"/>
      <c r="H57" s="120"/>
      <c r="I57" s="114"/>
      <c r="J57" s="114"/>
      <c r="K57" s="118"/>
      <c r="L57" s="115"/>
    </row>
    <row r="58" spans="2:14" x14ac:dyDescent="0.2">
      <c r="B58" s="113"/>
      <c r="C58" s="114"/>
      <c r="D58" s="118"/>
      <c r="E58" s="114"/>
      <c r="F58" s="114"/>
      <c r="G58" s="118"/>
      <c r="H58" s="120"/>
      <c r="I58" s="114"/>
      <c r="J58" s="114"/>
      <c r="K58" s="118"/>
      <c r="L58" s="115"/>
    </row>
    <row r="59" spans="2:14" x14ac:dyDescent="0.2">
      <c r="B59" s="113"/>
      <c r="C59" s="114"/>
      <c r="D59" s="118"/>
      <c r="E59" s="114"/>
      <c r="F59" s="114"/>
      <c r="G59" s="118"/>
      <c r="H59" s="120"/>
      <c r="I59" s="114"/>
      <c r="J59" s="114"/>
      <c r="K59" s="118"/>
      <c r="L59" s="115"/>
    </row>
    <row r="60" spans="2:14" x14ac:dyDescent="0.2">
      <c r="B60" s="113"/>
      <c r="C60" s="114"/>
      <c r="D60" s="118"/>
      <c r="E60" s="114"/>
      <c r="F60" s="114"/>
      <c r="G60" s="118"/>
      <c r="H60" s="120"/>
      <c r="I60" s="114"/>
      <c r="J60" s="114"/>
      <c r="K60" s="118"/>
      <c r="L60" s="115"/>
    </row>
    <row r="61" spans="2:14" x14ac:dyDescent="0.2">
      <c r="B61" s="113"/>
      <c r="C61" s="114"/>
      <c r="D61" s="118"/>
      <c r="E61" s="114"/>
      <c r="F61" s="114"/>
      <c r="G61" s="118"/>
      <c r="H61" s="120"/>
      <c r="I61" s="114"/>
      <c r="J61" s="114"/>
      <c r="K61" s="118"/>
      <c r="L61" s="115"/>
    </row>
    <row r="62" spans="2:14" x14ac:dyDescent="0.2">
      <c r="B62" s="113"/>
      <c r="C62" s="114"/>
      <c r="D62" s="118"/>
      <c r="E62" s="114"/>
      <c r="F62" s="114"/>
      <c r="G62" s="118"/>
      <c r="H62" s="120"/>
      <c r="I62" s="114"/>
      <c r="J62" s="114"/>
      <c r="K62" s="118"/>
      <c r="L62" s="115"/>
    </row>
    <row r="63" spans="2:14" x14ac:dyDescent="0.2">
      <c r="B63" s="113"/>
      <c r="C63" s="114"/>
      <c r="D63" s="118"/>
      <c r="E63" s="114"/>
      <c r="F63" s="114"/>
      <c r="G63" s="118"/>
      <c r="H63" s="120"/>
      <c r="I63" s="114"/>
      <c r="J63" s="114"/>
      <c r="K63" s="118"/>
      <c r="L63" s="115"/>
    </row>
    <row r="64" spans="2:14" x14ac:dyDescent="0.2">
      <c r="B64" s="113"/>
      <c r="C64" s="114"/>
      <c r="D64" s="118"/>
      <c r="E64" s="114"/>
      <c r="F64" s="114"/>
      <c r="G64" s="118"/>
      <c r="H64" s="120"/>
      <c r="I64" s="114"/>
      <c r="J64" s="114"/>
      <c r="K64" s="118"/>
      <c r="L64" s="115"/>
    </row>
    <row r="65" spans="2:19" x14ac:dyDescent="0.2">
      <c r="B65" s="113"/>
      <c r="C65" s="114"/>
      <c r="D65" s="118"/>
      <c r="E65" s="114"/>
      <c r="F65" s="114"/>
      <c r="G65" s="114"/>
      <c r="H65" s="120"/>
      <c r="I65" s="114"/>
      <c r="J65" s="114"/>
      <c r="K65" s="118"/>
      <c r="L65" s="115"/>
      <c r="S65" s="9"/>
    </row>
    <row r="66" spans="2:19" x14ac:dyDescent="0.2">
      <c r="B66" s="113"/>
      <c r="C66" s="114"/>
      <c r="D66" s="118"/>
      <c r="E66" s="114"/>
      <c r="F66" s="114"/>
      <c r="G66" s="118"/>
      <c r="H66" s="120"/>
      <c r="I66" s="114"/>
      <c r="J66" s="114"/>
      <c r="K66" s="118"/>
      <c r="L66" s="115"/>
    </row>
    <row r="67" spans="2:19" x14ac:dyDescent="0.2">
      <c r="B67" s="113"/>
      <c r="C67" s="114"/>
      <c r="D67" s="118"/>
      <c r="E67" s="114"/>
      <c r="F67" s="114"/>
      <c r="G67" s="121"/>
      <c r="H67" s="114"/>
      <c r="I67" s="118"/>
      <c r="J67" s="114"/>
      <c r="K67" s="118"/>
      <c r="L67" s="115"/>
    </row>
    <row r="68" spans="2:19" x14ac:dyDescent="0.2">
      <c r="B68" s="113"/>
      <c r="C68" s="114"/>
      <c r="D68" s="118"/>
      <c r="E68" s="114"/>
      <c r="F68" s="114"/>
      <c r="G68" s="122"/>
      <c r="H68" s="120"/>
      <c r="I68" s="114"/>
      <c r="J68" s="114"/>
      <c r="K68" s="118"/>
      <c r="L68" s="115"/>
    </row>
    <row r="69" spans="2:19" ht="24" x14ac:dyDescent="0.3">
      <c r="B69" s="113"/>
      <c r="C69" s="114"/>
      <c r="D69" s="118"/>
      <c r="E69" s="114"/>
      <c r="F69" s="114"/>
      <c r="G69" s="114"/>
      <c r="H69" s="123"/>
      <c r="I69" s="124"/>
      <c r="J69" s="114"/>
      <c r="K69" s="118"/>
      <c r="L69" s="115"/>
    </row>
    <row r="70" spans="2:19" ht="24" x14ac:dyDescent="0.3">
      <c r="B70" s="113"/>
      <c r="C70" s="114"/>
      <c r="D70" s="118"/>
      <c r="E70" s="114"/>
      <c r="F70" s="114"/>
      <c r="G70" s="118"/>
      <c r="H70" s="125"/>
      <c r="I70" s="124"/>
      <c r="J70" s="114"/>
      <c r="K70" s="118"/>
      <c r="L70" s="115"/>
    </row>
    <row r="71" spans="2:19" ht="24" x14ac:dyDescent="0.3">
      <c r="B71" s="113"/>
      <c r="C71" s="114"/>
      <c r="D71" s="121"/>
      <c r="E71" s="122"/>
      <c r="F71" s="122"/>
      <c r="G71" s="126"/>
      <c r="H71" s="125"/>
      <c r="I71" s="124"/>
      <c r="J71" s="114"/>
      <c r="K71" s="118"/>
      <c r="L71" s="115"/>
    </row>
    <row r="72" spans="2:19" x14ac:dyDescent="0.2">
      <c r="B72" s="113"/>
      <c r="C72" s="114"/>
      <c r="D72" s="114"/>
      <c r="E72" s="114"/>
      <c r="F72" s="114"/>
      <c r="G72" s="114"/>
      <c r="H72" s="114"/>
      <c r="I72" s="114"/>
      <c r="J72" s="114"/>
      <c r="K72" s="118"/>
      <c r="L72" s="115"/>
    </row>
    <row r="73" spans="2:19" x14ac:dyDescent="0.2">
      <c r="B73" s="113"/>
      <c r="C73" s="114"/>
      <c r="D73" s="114"/>
      <c r="E73" s="114"/>
      <c r="F73" s="114"/>
      <c r="G73" s="114"/>
      <c r="H73" s="114"/>
      <c r="I73" s="114"/>
      <c r="J73" s="114"/>
      <c r="K73" s="118"/>
      <c r="L73" s="115"/>
    </row>
    <row r="74" spans="2:19" ht="24" x14ac:dyDescent="0.3">
      <c r="B74" s="113"/>
      <c r="C74" s="114"/>
      <c r="D74" s="114"/>
      <c r="E74" s="114"/>
      <c r="F74" s="114"/>
      <c r="G74" s="114"/>
      <c r="H74" s="1088" t="s">
        <v>155</v>
      </c>
      <c r="I74" s="1088"/>
      <c r="J74" s="114"/>
      <c r="K74" s="118"/>
      <c r="L74" s="115"/>
    </row>
    <row r="75" spans="2:19" ht="24" x14ac:dyDescent="0.3">
      <c r="B75" s="113"/>
      <c r="C75" s="114"/>
      <c r="D75" s="114"/>
      <c r="E75" s="114"/>
      <c r="F75" s="114"/>
      <c r="G75" s="114"/>
      <c r="H75" s="1088" t="s">
        <v>157</v>
      </c>
      <c r="I75" s="1088"/>
      <c r="J75" s="114"/>
      <c r="K75" s="118"/>
      <c r="L75" s="115"/>
    </row>
    <row r="76" spans="2:19" ht="24" x14ac:dyDescent="0.3">
      <c r="B76" s="113"/>
      <c r="C76" s="114"/>
      <c r="D76" s="114"/>
      <c r="E76" s="114"/>
      <c r="F76" s="114"/>
      <c r="G76" s="114"/>
      <c r="H76" s="1088" t="s">
        <v>159</v>
      </c>
      <c r="I76" s="1088"/>
      <c r="J76" s="114"/>
      <c r="K76" s="118"/>
      <c r="L76" s="115"/>
    </row>
    <row r="77" spans="2:19" x14ac:dyDescent="0.2">
      <c r="B77" s="113"/>
      <c r="C77" s="114"/>
      <c r="D77" s="114"/>
      <c r="E77" s="114"/>
      <c r="F77" s="114"/>
      <c r="G77" s="114"/>
      <c r="H77" s="114"/>
      <c r="I77" s="114"/>
      <c r="J77" s="114"/>
      <c r="K77" s="118"/>
      <c r="L77" s="115"/>
    </row>
    <row r="78" spans="2:19" x14ac:dyDescent="0.2">
      <c r="B78" s="113"/>
      <c r="C78" s="114"/>
      <c r="D78" s="114"/>
      <c r="E78" s="114"/>
      <c r="F78" s="114"/>
      <c r="G78" s="114"/>
      <c r="H78" s="114"/>
      <c r="I78" s="114"/>
      <c r="J78" s="114"/>
      <c r="K78" s="118"/>
      <c r="L78" s="115"/>
    </row>
    <row r="79" spans="2:19" x14ac:dyDescent="0.2">
      <c r="B79" s="113"/>
      <c r="C79" s="114"/>
      <c r="D79" s="114"/>
      <c r="E79" s="114"/>
      <c r="F79" s="114"/>
      <c r="G79" s="114"/>
      <c r="H79" s="114"/>
      <c r="I79" s="114"/>
      <c r="J79" s="114"/>
      <c r="K79" s="118"/>
      <c r="L79" s="115"/>
    </row>
    <row r="80" spans="2:19" x14ac:dyDescent="0.2">
      <c r="B80" s="113"/>
      <c r="C80" s="114"/>
      <c r="D80" s="114"/>
      <c r="E80" s="114"/>
      <c r="F80" s="114"/>
      <c r="G80" s="114"/>
      <c r="H80" s="114"/>
      <c r="I80" s="114"/>
      <c r="J80" s="114"/>
      <c r="K80" s="118"/>
      <c r="L80" s="115"/>
    </row>
    <row r="81" spans="2:12" x14ac:dyDescent="0.2">
      <c r="B81" s="113"/>
      <c r="C81" s="114"/>
      <c r="D81" s="114"/>
      <c r="E81" s="114"/>
      <c r="F81" s="114"/>
      <c r="G81" s="114"/>
      <c r="H81" s="114"/>
      <c r="I81" s="114"/>
      <c r="J81" s="114"/>
      <c r="K81" s="114"/>
      <c r="L81" s="115"/>
    </row>
    <row r="82" spans="2:12" x14ac:dyDescent="0.2">
      <c r="B82" s="113"/>
      <c r="C82" s="114"/>
      <c r="D82" s="114"/>
      <c r="E82" s="114"/>
      <c r="F82" s="114"/>
      <c r="G82" s="114"/>
      <c r="H82" s="114"/>
      <c r="I82" s="114"/>
      <c r="J82" s="120"/>
      <c r="K82" s="114"/>
      <c r="L82" s="115"/>
    </row>
    <row r="83" spans="2:12" x14ac:dyDescent="0.2">
      <c r="B83" s="113"/>
      <c r="C83" s="114"/>
      <c r="D83" s="114"/>
      <c r="E83" s="114"/>
      <c r="F83" s="114"/>
      <c r="G83" s="114"/>
      <c r="H83" s="114"/>
      <c r="I83" s="114"/>
      <c r="J83" s="120"/>
      <c r="K83" s="114"/>
      <c r="L83" s="115"/>
    </row>
    <row r="84" spans="2:12" x14ac:dyDescent="0.2">
      <c r="B84" s="113"/>
      <c r="C84" s="114"/>
      <c r="D84" s="114"/>
      <c r="E84" s="114"/>
      <c r="F84" s="114"/>
      <c r="G84" s="114"/>
      <c r="H84" s="114"/>
      <c r="I84" s="114"/>
      <c r="J84" s="114"/>
      <c r="K84" s="114"/>
      <c r="L84" s="115"/>
    </row>
    <row r="85" spans="2:12" x14ac:dyDescent="0.2">
      <c r="B85" s="113"/>
      <c r="C85" s="114"/>
      <c r="D85" s="114"/>
      <c r="E85" s="114"/>
      <c r="F85" s="114"/>
      <c r="G85" s="114"/>
      <c r="H85" s="114"/>
      <c r="I85" s="114"/>
      <c r="J85" s="114"/>
      <c r="K85" s="114"/>
      <c r="L85" s="115"/>
    </row>
    <row r="86" spans="2:12" x14ac:dyDescent="0.2">
      <c r="B86" s="113"/>
      <c r="C86" s="114"/>
      <c r="D86" s="114"/>
      <c r="E86" s="114"/>
      <c r="F86" s="114"/>
      <c r="G86" s="114"/>
      <c r="H86" s="114"/>
      <c r="I86" s="114"/>
      <c r="J86" s="114"/>
      <c r="K86" s="114"/>
      <c r="L86" s="115"/>
    </row>
    <row r="87" spans="2:12" x14ac:dyDescent="0.2">
      <c r="B87" s="113"/>
      <c r="C87" s="114"/>
      <c r="D87" s="114"/>
      <c r="E87" s="114"/>
      <c r="F87" s="114"/>
      <c r="G87" s="114"/>
      <c r="H87" s="114"/>
      <c r="I87" s="114"/>
      <c r="J87" s="114"/>
      <c r="K87" s="114"/>
      <c r="L87" s="115"/>
    </row>
    <row r="88" spans="2:12" ht="16" thickBot="1" x14ac:dyDescent="0.25">
      <c r="B88" s="127"/>
      <c r="C88" s="128"/>
      <c r="D88" s="128"/>
      <c r="E88" s="128"/>
      <c r="F88" s="128"/>
      <c r="G88" s="128"/>
      <c r="H88" s="128"/>
      <c r="I88" s="128"/>
      <c r="J88" s="128"/>
      <c r="K88" s="128"/>
      <c r="L88" s="129"/>
    </row>
  </sheetData>
  <mergeCells count="9">
    <mergeCell ref="B3:L4"/>
    <mergeCell ref="H74:I74"/>
    <mergeCell ref="H75:I75"/>
    <mergeCell ref="H76:I76"/>
    <mergeCell ref="C5:D5"/>
    <mergeCell ref="F5:G5"/>
    <mergeCell ref="J5:K5"/>
    <mergeCell ref="H49:I49"/>
    <mergeCell ref="H50:I5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CBBAE-43D8-4A73-9716-D7AE9FF521D5}">
  <dimension ref="A1:S29"/>
  <sheetViews>
    <sheetView zoomScale="32" zoomScaleNormal="70" workbookViewId="0">
      <selection activeCell="I5" sqref="I5"/>
    </sheetView>
  </sheetViews>
  <sheetFormatPr baseColWidth="10" defaultColWidth="8.83203125" defaultRowHeight="15" x14ac:dyDescent="0.2"/>
  <cols>
    <col min="1" max="1" width="14.5" bestFit="1" customWidth="1"/>
    <col min="2" max="2" width="16.33203125" bestFit="1" customWidth="1"/>
    <col min="3" max="3" width="15.33203125" bestFit="1" customWidth="1"/>
    <col min="4" max="4" width="39.1640625" bestFit="1" customWidth="1"/>
    <col min="5" max="5" width="18.33203125" bestFit="1" customWidth="1"/>
    <col min="6" max="6" width="15.33203125" bestFit="1" customWidth="1"/>
    <col min="7" max="7" width="24.6640625" customWidth="1"/>
    <col min="8" max="8" width="11.1640625" bestFit="1" customWidth="1"/>
    <col min="9" max="9" width="46.5" bestFit="1" customWidth="1"/>
    <col min="10" max="10" width="21.33203125" bestFit="1" customWidth="1"/>
    <col min="11" max="11" width="25.6640625" bestFit="1" customWidth="1"/>
    <col min="12" max="12" width="17.33203125" bestFit="1" customWidth="1"/>
    <col min="13" max="13" width="24.5" bestFit="1" customWidth="1"/>
    <col min="14" max="14" width="11.33203125" bestFit="1" customWidth="1"/>
    <col min="15" max="15" width="20.33203125" customWidth="1"/>
    <col min="16" max="16" width="9.5" customWidth="1"/>
    <col min="17" max="17" width="22" customWidth="1"/>
    <col min="18" max="18" width="255.5" bestFit="1" customWidth="1"/>
    <col min="19" max="19" width="20.1640625" bestFit="1" customWidth="1"/>
  </cols>
  <sheetData>
    <row r="1" spans="1:19" ht="24" x14ac:dyDescent="0.3">
      <c r="A1" s="10" t="s">
        <v>249</v>
      </c>
      <c r="B1" s="1102" t="s">
        <v>250</v>
      </c>
      <c r="C1" s="1102"/>
      <c r="D1" s="1102"/>
      <c r="E1" s="1102"/>
      <c r="F1" s="1102"/>
      <c r="G1" s="1102"/>
      <c r="H1" s="1102"/>
      <c r="I1" s="1102"/>
      <c r="J1" s="1102"/>
      <c r="K1" s="1102"/>
      <c r="L1" s="1102"/>
      <c r="M1" s="1102"/>
      <c r="N1" s="1102"/>
      <c r="O1" s="1102"/>
      <c r="P1" s="1102"/>
      <c r="Q1" s="1102"/>
      <c r="R1" s="1102"/>
      <c r="S1" s="796"/>
    </row>
    <row r="2" spans="1:19" x14ac:dyDescent="0.2">
      <c r="A2" s="11" t="s">
        <v>251</v>
      </c>
      <c r="B2" s="1103"/>
      <c r="C2" s="1103"/>
      <c r="D2" s="1103"/>
      <c r="E2" s="1103"/>
      <c r="F2" s="1103"/>
      <c r="G2" s="1103"/>
      <c r="H2" s="1103"/>
      <c r="I2" s="1103"/>
      <c r="J2" s="1103"/>
      <c r="K2" s="1103"/>
      <c r="L2" s="1103"/>
      <c r="M2" s="1103"/>
      <c r="N2" s="1103"/>
      <c r="O2" s="1103"/>
      <c r="P2" s="1103"/>
      <c r="Q2" s="1103"/>
      <c r="R2" s="1103"/>
      <c r="S2" s="793"/>
    </row>
    <row r="3" spans="1:19" x14ac:dyDescent="0.2">
      <c r="A3" s="11" t="s">
        <v>252</v>
      </c>
      <c r="B3" s="1101" t="s">
        <v>253</v>
      </c>
      <c r="C3" s="1101"/>
      <c r="D3" s="1101"/>
      <c r="E3" s="1101"/>
      <c r="F3" s="11" t="s">
        <v>254</v>
      </c>
      <c r="G3" s="1101" t="s">
        <v>255</v>
      </c>
      <c r="H3" s="1101"/>
      <c r="I3" s="1101"/>
      <c r="J3" s="1101"/>
      <c r="K3" s="1101"/>
      <c r="L3" s="1101"/>
      <c r="M3" s="11" t="s">
        <v>256</v>
      </c>
      <c r="N3" s="1101" t="s">
        <v>257</v>
      </c>
      <c r="O3" s="1101"/>
      <c r="P3" s="1101"/>
      <c r="Q3" s="1101"/>
      <c r="R3" s="1101"/>
      <c r="S3" s="795"/>
    </row>
    <row r="4" spans="1:19" x14ac:dyDescent="0.2">
      <c r="A4" s="11" t="s">
        <v>258</v>
      </c>
      <c r="B4" s="1101" t="s">
        <v>253</v>
      </c>
      <c r="C4" s="1101"/>
      <c r="D4" s="1101"/>
      <c r="E4" s="1101"/>
      <c r="F4" s="11" t="s">
        <v>259</v>
      </c>
      <c r="G4" s="1101" t="s">
        <v>253</v>
      </c>
      <c r="H4" s="1101"/>
      <c r="I4" s="1101"/>
      <c r="J4" s="1101"/>
      <c r="K4" s="1101"/>
      <c r="L4" s="1101"/>
      <c r="M4" s="11" t="s">
        <v>260</v>
      </c>
      <c r="N4" s="1101" t="s">
        <v>255</v>
      </c>
      <c r="O4" s="1101"/>
      <c r="P4" s="1101"/>
      <c r="Q4" s="1101"/>
      <c r="R4" s="1101"/>
      <c r="S4" s="795"/>
    </row>
    <row r="5" spans="1:19" x14ac:dyDescent="0.2">
      <c r="A5" s="769" t="s">
        <v>261</v>
      </c>
      <c r="B5" s="770" t="s">
        <v>262</v>
      </c>
      <c r="C5" s="770" t="s">
        <v>263</v>
      </c>
      <c r="D5" s="770" t="s">
        <v>264</v>
      </c>
      <c r="E5" s="770" t="s">
        <v>265</v>
      </c>
      <c r="F5" s="770"/>
      <c r="G5" s="770" t="s">
        <v>266</v>
      </c>
      <c r="H5" s="770" t="s">
        <v>267</v>
      </c>
      <c r="I5" s="770" t="s">
        <v>268</v>
      </c>
      <c r="J5" s="770" t="s">
        <v>269</v>
      </c>
      <c r="K5" s="770" t="s">
        <v>270</v>
      </c>
      <c r="L5" s="770" t="s">
        <v>271</v>
      </c>
      <c r="M5" s="770" t="s">
        <v>272</v>
      </c>
      <c r="N5" s="770" t="s">
        <v>273</v>
      </c>
      <c r="O5" s="770" t="s">
        <v>274</v>
      </c>
      <c r="P5" s="770" t="s">
        <v>275</v>
      </c>
      <c r="Q5" s="770" t="s">
        <v>276</v>
      </c>
      <c r="R5" s="770" t="s">
        <v>277</v>
      </c>
      <c r="S5" s="794" t="s">
        <v>278</v>
      </c>
    </row>
    <row r="6" spans="1:19" ht="16" x14ac:dyDescent="0.2">
      <c r="A6" s="906" t="s">
        <v>175</v>
      </c>
      <c r="B6" s="148"/>
      <c r="C6" s="114"/>
      <c r="D6" s="114"/>
      <c r="E6" s="766"/>
      <c r="F6" s="786"/>
      <c r="G6" s="766"/>
      <c r="H6" s="766"/>
      <c r="I6" s="766"/>
      <c r="J6" s="766"/>
      <c r="K6" s="786" t="s">
        <v>279</v>
      </c>
      <c r="L6" s="786" t="s">
        <v>280</v>
      </c>
      <c r="M6" s="786" t="s">
        <v>281</v>
      </c>
      <c r="N6" s="767"/>
      <c r="O6" s="768"/>
      <c r="P6" s="786" t="s">
        <v>282</v>
      </c>
      <c r="Q6" s="766"/>
      <c r="R6" s="787"/>
      <c r="S6" s="180"/>
    </row>
    <row r="7" spans="1:19" ht="32" x14ac:dyDescent="0.2">
      <c r="A7" s="682"/>
      <c r="B7" s="683" t="s">
        <v>283</v>
      </c>
      <c r="C7" s="683" t="s">
        <v>284</v>
      </c>
      <c r="D7" s="182" t="s">
        <v>285</v>
      </c>
      <c r="E7" s="741" t="s">
        <v>286</v>
      </c>
      <c r="F7" s="179"/>
      <c r="G7" s="748" t="s">
        <v>287</v>
      </c>
      <c r="H7" s="682"/>
      <c r="I7" s="179" t="s">
        <v>288</v>
      </c>
      <c r="J7" s="179" t="s">
        <v>289</v>
      </c>
      <c r="K7" s="179">
        <v>4</v>
      </c>
      <c r="L7" s="179">
        <v>25</v>
      </c>
      <c r="M7" s="179">
        <v>144</v>
      </c>
      <c r="N7" s="681"/>
      <c r="O7" s="680">
        <v>400000</v>
      </c>
      <c r="P7" s="179">
        <v>30</v>
      </c>
      <c r="Q7" s="682"/>
      <c r="R7" s="788" t="s">
        <v>290</v>
      </c>
      <c r="S7" s="179">
        <v>108</v>
      </c>
    </row>
    <row r="8" spans="1:19" ht="16" x14ac:dyDescent="0.2">
      <c r="A8" s="679"/>
      <c r="B8" s="111" t="s">
        <v>226</v>
      </c>
      <c r="C8" s="180" t="s">
        <v>291</v>
      </c>
      <c r="D8" s="180" t="s">
        <v>292</v>
      </c>
      <c r="E8" s="742" t="s">
        <v>293</v>
      </c>
      <c r="F8" s="180"/>
      <c r="G8" s="749" t="s">
        <v>294</v>
      </c>
      <c r="H8" s="679"/>
      <c r="I8" s="180" t="s">
        <v>295</v>
      </c>
      <c r="J8" s="180" t="s">
        <v>296</v>
      </c>
      <c r="K8" s="180">
        <v>3</v>
      </c>
      <c r="L8" s="111">
        <v>6</v>
      </c>
      <c r="M8" s="180">
        <v>360</v>
      </c>
      <c r="N8" s="678"/>
      <c r="O8" s="150">
        <v>250000</v>
      </c>
      <c r="P8" s="111">
        <v>20</v>
      </c>
      <c r="Q8" s="679"/>
      <c r="R8" s="789" t="s">
        <v>297</v>
      </c>
      <c r="S8" s="180">
        <v>203</v>
      </c>
    </row>
    <row r="9" spans="1:19" ht="32.75" customHeight="1" x14ac:dyDescent="0.2">
      <c r="A9" s="682"/>
      <c r="B9" s="179" t="s">
        <v>298</v>
      </c>
      <c r="C9" s="179" t="s">
        <v>299</v>
      </c>
      <c r="D9" s="179" t="s">
        <v>300</v>
      </c>
      <c r="E9" s="741" t="s">
        <v>301</v>
      </c>
      <c r="F9" s="179"/>
      <c r="G9" s="748" t="s">
        <v>302</v>
      </c>
      <c r="H9" s="682"/>
      <c r="I9" s="68" t="s">
        <v>303</v>
      </c>
      <c r="J9" s="179" t="s">
        <v>304</v>
      </c>
      <c r="K9" s="179">
        <v>3</v>
      </c>
      <c r="L9" s="179">
        <v>14</v>
      </c>
      <c r="M9" s="68">
        <v>150</v>
      </c>
      <c r="N9" s="681"/>
      <c r="O9" s="151">
        <v>600000</v>
      </c>
      <c r="P9" s="68">
        <v>12</v>
      </c>
      <c r="Q9" s="682"/>
      <c r="R9" s="788" t="s">
        <v>305</v>
      </c>
      <c r="S9" s="179">
        <v>204</v>
      </c>
    </row>
    <row r="10" spans="1:19" ht="32" x14ac:dyDescent="0.2">
      <c r="A10" s="679"/>
      <c r="B10" s="180" t="s">
        <v>306</v>
      </c>
      <c r="C10" s="180" t="s">
        <v>307</v>
      </c>
      <c r="D10" s="180" t="s">
        <v>308</v>
      </c>
      <c r="E10" s="742" t="s">
        <v>309</v>
      </c>
      <c r="F10" s="180"/>
      <c r="G10" s="749" t="s">
        <v>310</v>
      </c>
      <c r="H10" s="679"/>
      <c r="I10" s="180" t="s">
        <v>311</v>
      </c>
      <c r="J10" s="180" t="s">
        <v>312</v>
      </c>
      <c r="K10" s="180">
        <v>3</v>
      </c>
      <c r="L10" s="180">
        <v>5</v>
      </c>
      <c r="M10" s="180">
        <v>130</v>
      </c>
      <c r="N10" s="678"/>
      <c r="O10" s="677">
        <v>700000</v>
      </c>
      <c r="P10" s="180">
        <v>25</v>
      </c>
      <c r="Q10" s="679"/>
      <c r="R10" s="790" t="s">
        <v>313</v>
      </c>
      <c r="S10" s="180">
        <v>201</v>
      </c>
    </row>
    <row r="11" spans="1:19" ht="29.75" customHeight="1" x14ac:dyDescent="0.2">
      <c r="A11" s="682"/>
      <c r="B11" s="68" t="s">
        <v>314</v>
      </c>
      <c r="C11" s="179" t="s">
        <v>315</v>
      </c>
      <c r="D11" s="68" t="s">
        <v>316</v>
      </c>
      <c r="E11" s="743">
        <v>84547</v>
      </c>
      <c r="F11" s="179"/>
      <c r="G11" s="750" t="s">
        <v>317</v>
      </c>
      <c r="H11" s="791"/>
      <c r="I11" s="68" t="s">
        <v>318</v>
      </c>
      <c r="J11" s="68" t="s">
        <v>319</v>
      </c>
      <c r="K11" s="68">
        <v>3</v>
      </c>
      <c r="L11" s="68">
        <v>29</v>
      </c>
      <c r="M11" s="68">
        <v>30</v>
      </c>
      <c r="N11" s="681"/>
      <c r="O11" s="151">
        <v>340000</v>
      </c>
      <c r="P11" s="68">
        <v>15</v>
      </c>
      <c r="Q11" s="682"/>
      <c r="R11" s="788" t="s">
        <v>320</v>
      </c>
      <c r="S11" s="179">
        <v>101</v>
      </c>
    </row>
    <row r="12" spans="1:19" ht="16" x14ac:dyDescent="0.2">
      <c r="A12" s="679"/>
      <c r="B12" s="180" t="s">
        <v>321</v>
      </c>
      <c r="C12" s="111" t="s">
        <v>322</v>
      </c>
      <c r="D12" s="111" t="s">
        <v>323</v>
      </c>
      <c r="E12" s="742" t="s">
        <v>324</v>
      </c>
      <c r="F12" s="755"/>
      <c r="G12" s="265" t="s">
        <v>325</v>
      </c>
      <c r="H12" s="679"/>
      <c r="I12" s="749" t="s">
        <v>326</v>
      </c>
      <c r="J12" s="180" t="s">
        <v>327</v>
      </c>
      <c r="K12" s="180">
        <v>1</v>
      </c>
      <c r="L12" s="180">
        <v>5</v>
      </c>
      <c r="M12" s="180">
        <v>40</v>
      </c>
      <c r="N12" s="678"/>
      <c r="O12" s="677">
        <v>370000</v>
      </c>
      <c r="P12" s="180">
        <v>10</v>
      </c>
      <c r="Q12" s="679"/>
      <c r="R12" s="789" t="s">
        <v>328</v>
      </c>
      <c r="S12" s="755">
        <v>102</v>
      </c>
    </row>
    <row r="13" spans="1:19" ht="16" x14ac:dyDescent="0.2">
      <c r="A13" s="590">
        <v>79650</v>
      </c>
      <c r="B13" s="179" t="s">
        <v>232</v>
      </c>
      <c r="C13" s="68" t="s">
        <v>329</v>
      </c>
      <c r="D13" s="68" t="s">
        <v>330</v>
      </c>
      <c r="E13" s="741" t="s">
        <v>331</v>
      </c>
      <c r="F13" s="756"/>
      <c r="G13" s="750" t="s">
        <v>332</v>
      </c>
      <c r="H13" s="792"/>
      <c r="I13" s="179" t="s">
        <v>333</v>
      </c>
      <c r="J13" s="179" t="s">
        <v>334</v>
      </c>
      <c r="K13" s="179">
        <v>2</v>
      </c>
      <c r="L13" s="179">
        <v>13</v>
      </c>
      <c r="M13" s="179">
        <v>60</v>
      </c>
      <c r="N13" s="681"/>
      <c r="O13" s="151">
        <v>600000</v>
      </c>
      <c r="P13" s="179">
        <v>12</v>
      </c>
      <c r="Q13" s="682"/>
      <c r="R13" s="788" t="s">
        <v>335</v>
      </c>
      <c r="S13" s="756">
        <v>105</v>
      </c>
    </row>
    <row r="14" spans="1:19" ht="58.25" customHeight="1" x14ac:dyDescent="0.2">
      <c r="A14" s="676" t="s">
        <v>336</v>
      </c>
      <c r="B14" s="675" t="s">
        <v>337</v>
      </c>
      <c r="C14" s="109" t="s">
        <v>338</v>
      </c>
      <c r="D14" s="109" t="s">
        <v>339</v>
      </c>
      <c r="E14" s="744" t="s">
        <v>340</v>
      </c>
      <c r="F14" s="111"/>
      <c r="G14" s="751" t="s">
        <v>341</v>
      </c>
      <c r="H14" s="676"/>
      <c r="I14" s="675" t="s">
        <v>342</v>
      </c>
      <c r="J14" s="675" t="s">
        <v>343</v>
      </c>
      <c r="K14" s="675">
        <v>3</v>
      </c>
      <c r="L14" s="675">
        <v>15</v>
      </c>
      <c r="M14" s="675">
        <v>35</v>
      </c>
      <c r="N14" s="674"/>
      <c r="O14" s="150">
        <v>1615665</v>
      </c>
      <c r="P14" s="675">
        <v>15</v>
      </c>
      <c r="Q14" s="676"/>
      <c r="R14" s="790" t="s">
        <v>344</v>
      </c>
      <c r="S14" s="111">
        <v>107</v>
      </c>
    </row>
    <row r="15" spans="1:19" ht="61.25" customHeight="1" x14ac:dyDescent="0.2">
      <c r="A15" s="682" t="s">
        <v>345</v>
      </c>
      <c r="B15" s="63" t="s">
        <v>346</v>
      </c>
      <c r="C15" s="63" t="s">
        <v>347</v>
      </c>
      <c r="D15" s="68" t="s">
        <v>345</v>
      </c>
      <c r="E15" s="745" t="s">
        <v>348</v>
      </c>
      <c r="F15" s="756"/>
      <c r="G15" s="750" t="s">
        <v>349</v>
      </c>
      <c r="H15" s="682"/>
      <c r="I15" s="179" t="s">
        <v>350</v>
      </c>
      <c r="J15" s="179" t="s">
        <v>351</v>
      </c>
      <c r="K15" s="179">
        <v>4</v>
      </c>
      <c r="L15" s="179">
        <v>3.5</v>
      </c>
      <c r="M15" s="179">
        <v>360</v>
      </c>
      <c r="N15" s="681"/>
      <c r="O15" s="151">
        <v>90000</v>
      </c>
      <c r="P15" s="179">
        <v>20</v>
      </c>
      <c r="Q15" s="682"/>
      <c r="R15" s="788" t="s">
        <v>352</v>
      </c>
      <c r="S15" s="756">
        <v>202</v>
      </c>
    </row>
    <row r="16" spans="1:19" ht="90" customHeight="1" x14ac:dyDescent="0.2">
      <c r="A16" s="675"/>
      <c r="B16" s="109" t="s">
        <v>353</v>
      </c>
      <c r="C16" s="109" t="s">
        <v>354</v>
      </c>
      <c r="D16" s="111" t="s">
        <v>355</v>
      </c>
      <c r="E16" s="746" t="s">
        <v>356</v>
      </c>
      <c r="F16" s="111"/>
      <c r="G16" s="751" t="s">
        <v>357</v>
      </c>
      <c r="H16" s="675"/>
      <c r="I16" s="675" t="s">
        <v>358</v>
      </c>
      <c r="J16" s="675" t="s">
        <v>359</v>
      </c>
      <c r="K16" s="675">
        <v>3</v>
      </c>
      <c r="L16" s="675">
        <v>2</v>
      </c>
      <c r="M16" s="675">
        <v>80</v>
      </c>
      <c r="N16" s="673"/>
      <c r="O16" s="150">
        <v>224115</v>
      </c>
      <c r="P16" s="675">
        <v>10</v>
      </c>
      <c r="Q16" s="675"/>
      <c r="R16" s="790" t="s">
        <v>360</v>
      </c>
      <c r="S16" s="111">
        <v>106</v>
      </c>
    </row>
    <row r="17" spans="1:19" ht="48" customHeight="1" x14ac:dyDescent="0.2">
      <c r="A17" s="684"/>
      <c r="B17" s="63" t="s">
        <v>361</v>
      </c>
      <c r="C17" s="63" t="s">
        <v>362</v>
      </c>
      <c r="D17" s="68" t="s">
        <v>363</v>
      </c>
      <c r="E17" s="745" t="s">
        <v>364</v>
      </c>
      <c r="F17" s="684"/>
      <c r="G17" s="752" t="s">
        <v>365</v>
      </c>
      <c r="H17" s="684"/>
      <c r="I17" s="684" t="s">
        <v>366</v>
      </c>
      <c r="J17" s="684" t="s">
        <v>367</v>
      </c>
      <c r="K17" s="684">
        <v>3</v>
      </c>
      <c r="L17" s="684">
        <v>15</v>
      </c>
      <c r="M17" s="684">
        <v>35</v>
      </c>
      <c r="N17" s="685"/>
      <c r="O17" s="686">
        <v>155000</v>
      </c>
      <c r="P17" s="684">
        <v>15</v>
      </c>
      <c r="Q17" s="687"/>
      <c r="R17" s="788" t="s">
        <v>368</v>
      </c>
      <c r="S17" s="684">
        <v>104</v>
      </c>
    </row>
    <row r="18" spans="1:19" ht="48" customHeight="1" x14ac:dyDescent="0.2">
      <c r="A18" s="684"/>
      <c r="B18" s="63" t="s">
        <v>369</v>
      </c>
      <c r="C18" s="68" t="s">
        <v>370</v>
      </c>
      <c r="D18" s="63" t="s">
        <v>371</v>
      </c>
      <c r="E18" s="745" t="s">
        <v>372</v>
      </c>
      <c r="F18" s="684"/>
      <c r="G18" s="750" t="s">
        <v>373</v>
      </c>
      <c r="H18" s="684"/>
      <c r="I18" s="684"/>
      <c r="J18" s="68" t="s">
        <v>374</v>
      </c>
      <c r="K18" s="684">
        <v>4</v>
      </c>
      <c r="L18" s="684">
        <v>0</v>
      </c>
      <c r="M18" s="684">
        <v>35</v>
      </c>
      <c r="N18" s="685"/>
      <c r="O18" s="686">
        <v>153636</v>
      </c>
      <c r="P18" s="684">
        <v>25</v>
      </c>
      <c r="Q18" s="687"/>
      <c r="R18" s="788" t="s">
        <v>375</v>
      </c>
      <c r="S18" s="684">
        <v>103</v>
      </c>
    </row>
    <row r="19" spans="1:19" ht="68" customHeight="1" x14ac:dyDescent="0.2">
      <c r="A19" s="688"/>
      <c r="B19" s="688"/>
      <c r="C19" s="688"/>
      <c r="D19" s="688"/>
      <c r="E19" s="747"/>
      <c r="F19" s="754"/>
      <c r="G19" s="753"/>
      <c r="H19" s="688"/>
      <c r="I19" s="688"/>
      <c r="J19" s="688"/>
      <c r="K19" s="688"/>
      <c r="L19" s="688"/>
      <c r="M19" s="688"/>
      <c r="N19" s="689" t="s">
        <v>376</v>
      </c>
      <c r="O19" s="690">
        <f>SUM(O7:O18)</f>
        <v>5498416</v>
      </c>
      <c r="P19" s="688"/>
      <c r="Q19" s="688"/>
      <c r="R19" s="747"/>
      <c r="S19" s="754"/>
    </row>
    <row r="21" spans="1:19" x14ac:dyDescent="0.2">
      <c r="B21" s="8"/>
    </row>
    <row r="23" spans="1:19" ht="16" thickBot="1" x14ac:dyDescent="0.25"/>
    <row r="24" spans="1:19" ht="16" thickBot="1" x14ac:dyDescent="0.25">
      <c r="B24" s="1091" t="s">
        <v>377</v>
      </c>
      <c r="C24" s="1091"/>
      <c r="D24" s="1091"/>
    </row>
    <row r="25" spans="1:19" ht="20" customHeight="1" x14ac:dyDescent="0.2">
      <c r="A25" s="9"/>
      <c r="B25" s="1092" t="s">
        <v>378</v>
      </c>
      <c r="C25" s="1093"/>
      <c r="D25" s="1094"/>
    </row>
    <row r="26" spans="1:19" x14ac:dyDescent="0.2">
      <c r="B26" s="1095"/>
      <c r="C26" s="1096"/>
      <c r="D26" s="1097"/>
    </row>
    <row r="27" spans="1:19" x14ac:dyDescent="0.2">
      <c r="B27" s="1095"/>
      <c r="C27" s="1096"/>
      <c r="D27" s="1097"/>
    </row>
    <row r="28" spans="1:19" x14ac:dyDescent="0.2">
      <c r="B28" s="1095"/>
      <c r="C28" s="1096"/>
      <c r="D28" s="1097"/>
    </row>
    <row r="29" spans="1:19" ht="16" thickBot="1" x14ac:dyDescent="0.25">
      <c r="B29" s="1098"/>
      <c r="C29" s="1099"/>
      <c r="D29" s="1100"/>
    </row>
  </sheetData>
  <mergeCells count="10">
    <mergeCell ref="B1:R1"/>
    <mergeCell ref="B2:R2"/>
    <mergeCell ref="B3:E3"/>
    <mergeCell ref="G3:L3"/>
    <mergeCell ref="N3:R3"/>
    <mergeCell ref="B24:D24"/>
    <mergeCell ref="B25:D29"/>
    <mergeCell ref="B4:E4"/>
    <mergeCell ref="G4:L4"/>
    <mergeCell ref="N4:R4"/>
  </mergeCells>
  <hyperlinks>
    <hyperlink ref="R7" r:id="rId1" xr:uid="{871BF333-87B0-456D-9ED4-A75396E98677}"/>
    <hyperlink ref="R9" r:id="rId2" xr:uid="{04E99FC0-1F22-4B80-B4DD-F0EF66B79FC2}"/>
    <hyperlink ref="R11" r:id="rId3" xr:uid="{45DC9DD1-71F0-4A92-8E9C-72D97A9951B3}"/>
    <hyperlink ref="R10" r:id="rId4" xr:uid="{13DFAEB0-8B10-46BE-8636-5BE67BD2B721}"/>
    <hyperlink ref="R12" r:id="rId5" xr:uid="{971998D2-33E4-4D5F-A261-0F098C1C6F9D}"/>
    <hyperlink ref="R8" r:id="rId6" xr:uid="{C2F10C70-B7FA-450A-97D5-9123D0D8AEF5}"/>
    <hyperlink ref="R13" r:id="rId7" xr:uid="{6129C743-2057-4147-A2AC-707E857E7230}"/>
    <hyperlink ref="R14" r:id="rId8" display="https://lingyumachinery.en.made-in-china.com/product/hwaAVTmcYtkZ/China-High-Quality-Spray-Paint-System-Powder-Coating-Production-Line-for-Manufacture-Wooden-Furniture-and-Chair.html?pv_id=1jatismome92&amp;faw_id=1jatjhlvc3e3&amp;bv_id=1jatjhlve51d&amp;pbv_id=1jatislbc1f5" xr:uid="{EA89AE38-B4C0-487C-819C-845C6CC6D954}"/>
    <hyperlink ref="R15" r:id="rId9" xr:uid="{69FAC020-5B8E-4B8F-A348-448E7C8EF9D2}"/>
    <hyperlink ref="R16" r:id="rId10" xr:uid="{7928CEAC-6226-452F-B126-004844A6BB9E}"/>
    <hyperlink ref="R18" r:id="rId11" xr:uid="{AD4EE321-8AF3-4B22-A713-E9D815142F1C}"/>
    <hyperlink ref="R17" r:id="rId12" xr:uid="{FC84CBEF-36BC-42C6-BE1D-652D4808E412}"/>
  </hyperlinks>
  <pageMargins left="0.7" right="0.7" top="0.75" bottom="0.75" header="0.3" footer="0.3"/>
  <pageSetup paperSize="9" orientation="portrait" r:id="rId1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CDEDD-D4A6-4857-A9FD-AD7B09275B60}">
  <dimension ref="B1:BJ74"/>
  <sheetViews>
    <sheetView topLeftCell="A7" zoomScale="32" zoomScaleNormal="40" workbookViewId="0">
      <selection activeCell="AF25" sqref="AF25"/>
    </sheetView>
  </sheetViews>
  <sheetFormatPr baseColWidth="10" defaultColWidth="8.83203125" defaultRowHeight="15" x14ac:dyDescent="0.2"/>
  <cols>
    <col min="16365" max="16374" width="8.6640625" bestFit="1" customWidth="1"/>
    <col min="16375" max="16384" width="8.6640625" customWidth="1"/>
  </cols>
  <sheetData>
    <row r="1" spans="2:36" ht="16" thickBot="1" x14ac:dyDescent="0.25"/>
    <row r="2" spans="2:36" x14ac:dyDescent="0.2">
      <c r="B2" s="1104" t="s">
        <v>379</v>
      </c>
      <c r="C2" s="1027"/>
      <c r="D2" s="1027"/>
      <c r="E2" s="1027"/>
      <c r="F2" s="1027"/>
      <c r="G2" s="1027"/>
      <c r="H2" s="1027"/>
      <c r="I2" s="1027"/>
      <c r="J2" s="1027"/>
      <c r="K2" s="1028"/>
    </row>
    <row r="3" spans="2:36" ht="16" thickBot="1" x14ac:dyDescent="0.25">
      <c r="B3" s="1029"/>
      <c r="C3" s="1030"/>
      <c r="D3" s="1030"/>
      <c r="E3" s="1030"/>
      <c r="F3" s="1030"/>
      <c r="G3" s="1030"/>
      <c r="H3" s="1030"/>
      <c r="I3" s="1030"/>
      <c r="J3" s="1030"/>
      <c r="K3" s="1031"/>
    </row>
    <row r="4" spans="2:36" x14ac:dyDescent="0.2">
      <c r="B4" s="1123"/>
      <c r="C4" s="1140" t="s">
        <v>380</v>
      </c>
      <c r="D4" s="1141"/>
      <c r="E4" s="1141"/>
      <c r="F4" s="1141"/>
      <c r="G4" s="1141"/>
      <c r="H4" s="1141"/>
      <c r="I4" s="1141"/>
      <c r="J4" s="1141"/>
      <c r="K4" s="1142"/>
    </row>
    <row r="5" spans="2:36" ht="16" thickBot="1" x14ac:dyDescent="0.25">
      <c r="B5" s="1124"/>
      <c r="C5" s="1107"/>
      <c r="D5" s="1108"/>
      <c r="E5" s="1108"/>
      <c r="F5" s="1108"/>
      <c r="G5" s="1108"/>
      <c r="H5" s="1108"/>
      <c r="I5" s="1108"/>
      <c r="J5" s="1108"/>
      <c r="K5" s="1109"/>
    </row>
    <row r="6" spans="2:36" x14ac:dyDescent="0.2">
      <c r="B6" s="1121"/>
      <c r="C6" s="1115" t="s">
        <v>381</v>
      </c>
      <c r="D6" s="1116"/>
      <c r="E6" s="1116"/>
      <c r="F6" s="1116"/>
      <c r="G6" s="1116"/>
      <c r="H6" s="1116"/>
      <c r="I6" s="1116"/>
      <c r="J6" s="1116"/>
      <c r="K6" s="1117"/>
    </row>
    <row r="7" spans="2:36" ht="16" thickBot="1" x14ac:dyDescent="0.25">
      <c r="B7" s="1122"/>
      <c r="C7" s="1115"/>
      <c r="D7" s="1116"/>
      <c r="E7" s="1116"/>
      <c r="F7" s="1116"/>
      <c r="G7" s="1116"/>
      <c r="H7" s="1116"/>
      <c r="I7" s="1116"/>
      <c r="J7" s="1116"/>
      <c r="K7" s="1117"/>
    </row>
    <row r="8" spans="2:36" x14ac:dyDescent="0.2">
      <c r="B8" s="1134"/>
      <c r="C8" s="1107" t="s">
        <v>382</v>
      </c>
      <c r="D8" s="1108"/>
      <c r="E8" s="1108"/>
      <c r="F8" s="1108"/>
      <c r="G8" s="1108"/>
      <c r="H8" s="1108"/>
      <c r="I8" s="1108"/>
      <c r="J8" s="1108"/>
      <c r="K8" s="1109"/>
    </row>
    <row r="9" spans="2:36" ht="16" thickBot="1" x14ac:dyDescent="0.25">
      <c r="B9" s="1135"/>
      <c r="C9" s="1107"/>
      <c r="D9" s="1108"/>
      <c r="E9" s="1108"/>
      <c r="F9" s="1108"/>
      <c r="G9" s="1108"/>
      <c r="H9" s="1108"/>
      <c r="I9" s="1108"/>
      <c r="J9" s="1108"/>
      <c r="K9" s="1109"/>
    </row>
    <row r="10" spans="2:36" x14ac:dyDescent="0.2">
      <c r="B10" s="1138"/>
      <c r="C10" s="1115" t="s">
        <v>383</v>
      </c>
      <c r="D10" s="1116"/>
      <c r="E10" s="1116"/>
      <c r="F10" s="1116"/>
      <c r="G10" s="1116"/>
      <c r="H10" s="1116"/>
      <c r="I10" s="1116"/>
      <c r="J10" s="1116"/>
      <c r="K10" s="1117"/>
    </row>
    <row r="11" spans="2:36" ht="16" thickBot="1" x14ac:dyDescent="0.25">
      <c r="B11" s="1139"/>
      <c r="C11" s="1115"/>
      <c r="D11" s="1116"/>
      <c r="E11" s="1116"/>
      <c r="F11" s="1116"/>
      <c r="G11" s="1116"/>
      <c r="H11" s="1116"/>
      <c r="I11" s="1116"/>
      <c r="J11" s="1116"/>
      <c r="K11" s="1117"/>
    </row>
    <row r="12" spans="2:36" x14ac:dyDescent="0.2">
      <c r="B12" s="1136"/>
      <c r="C12" s="1107" t="s">
        <v>384</v>
      </c>
      <c r="D12" s="1108"/>
      <c r="E12" s="1108"/>
      <c r="F12" s="1108"/>
      <c r="G12" s="1108"/>
      <c r="H12" s="1108"/>
      <c r="I12" s="1108"/>
      <c r="J12" s="1108"/>
      <c r="K12" s="1109"/>
    </row>
    <row r="13" spans="2:36" ht="16" thickBot="1" x14ac:dyDescent="0.25">
      <c r="B13" s="1137"/>
      <c r="C13" s="1107"/>
      <c r="D13" s="1108"/>
      <c r="E13" s="1108"/>
      <c r="F13" s="1108"/>
      <c r="G13" s="1108"/>
      <c r="H13" s="1108"/>
      <c r="I13" s="1108"/>
      <c r="J13" s="1108"/>
      <c r="K13" s="1109"/>
    </row>
    <row r="14" spans="2:36" x14ac:dyDescent="0.2">
      <c r="B14" s="1132"/>
      <c r="C14" s="1115" t="s">
        <v>385</v>
      </c>
      <c r="D14" s="1116"/>
      <c r="E14" s="1116"/>
      <c r="F14" s="1116"/>
      <c r="G14" s="1116"/>
      <c r="H14" s="1116"/>
      <c r="I14" s="1116"/>
      <c r="J14" s="1116"/>
      <c r="K14" s="1117"/>
    </row>
    <row r="15" spans="2:36" ht="16" thickBot="1" x14ac:dyDescent="0.25">
      <c r="B15" s="1133"/>
      <c r="C15" s="1115"/>
      <c r="D15" s="1116"/>
      <c r="E15" s="1116"/>
      <c r="F15" s="1116"/>
      <c r="G15" s="1116"/>
      <c r="H15" s="1116"/>
      <c r="I15" s="1116"/>
      <c r="J15" s="1116"/>
      <c r="K15" s="1117"/>
    </row>
    <row r="16" spans="2:36" x14ac:dyDescent="0.2">
      <c r="B16" s="1125"/>
      <c r="C16" s="1107" t="s">
        <v>386</v>
      </c>
      <c r="D16" s="1108"/>
      <c r="E16" s="1108"/>
      <c r="F16" s="1108"/>
      <c r="G16" s="1108"/>
      <c r="H16" s="1108"/>
      <c r="I16" s="1108"/>
      <c r="J16" s="1108"/>
      <c r="K16" s="1109"/>
      <c r="AA16" s="1143" t="s">
        <v>387</v>
      </c>
      <c r="AB16" s="1144"/>
      <c r="AC16" s="1144"/>
      <c r="AD16" s="1144"/>
      <c r="AE16" s="1144"/>
      <c r="AF16" s="1144"/>
      <c r="AG16" s="1144"/>
      <c r="AH16" s="1144"/>
      <c r="AI16" s="1144"/>
      <c r="AJ16" s="1145"/>
    </row>
    <row r="17" spans="2:11" ht="16" thickBot="1" x14ac:dyDescent="0.25">
      <c r="B17" s="1126"/>
      <c r="C17" s="1107"/>
      <c r="D17" s="1108"/>
      <c r="E17" s="1108"/>
      <c r="F17" s="1108"/>
      <c r="G17" s="1108"/>
      <c r="H17" s="1108"/>
      <c r="I17" s="1108"/>
      <c r="J17" s="1108"/>
      <c r="K17" s="1109"/>
    </row>
    <row r="18" spans="2:11" x14ac:dyDescent="0.2">
      <c r="B18" s="1127"/>
      <c r="C18" s="1115" t="s">
        <v>388</v>
      </c>
      <c r="D18" s="1116"/>
      <c r="E18" s="1116"/>
      <c r="F18" s="1116"/>
      <c r="G18" s="1116"/>
      <c r="H18" s="1116"/>
      <c r="I18" s="1116"/>
      <c r="J18" s="1116"/>
      <c r="K18" s="1117"/>
    </row>
    <row r="19" spans="2:11" ht="16" thickBot="1" x14ac:dyDescent="0.25">
      <c r="B19" s="1128"/>
      <c r="C19" s="1129"/>
      <c r="D19" s="1130"/>
      <c r="E19" s="1130"/>
      <c r="F19" s="1130"/>
      <c r="G19" s="1130"/>
      <c r="H19" s="1130"/>
      <c r="I19" s="1130"/>
      <c r="J19" s="1130"/>
      <c r="K19" s="1131"/>
    </row>
    <row r="20" spans="2:11" x14ac:dyDescent="0.2">
      <c r="B20" s="1105"/>
      <c r="C20" s="1107" t="s">
        <v>389</v>
      </c>
      <c r="D20" s="1108"/>
      <c r="E20" s="1108"/>
      <c r="F20" s="1108"/>
      <c r="G20" s="1108"/>
      <c r="H20" s="1108"/>
      <c r="I20" s="1108"/>
      <c r="J20" s="1108"/>
      <c r="K20" s="1109"/>
    </row>
    <row r="21" spans="2:11" ht="16" thickBot="1" x14ac:dyDescent="0.25">
      <c r="B21" s="1106"/>
      <c r="C21" s="1110"/>
      <c r="D21" s="1111"/>
      <c r="E21" s="1111"/>
      <c r="F21" s="1111"/>
      <c r="G21" s="1111"/>
      <c r="H21" s="1111"/>
      <c r="I21" s="1111"/>
      <c r="J21" s="1111"/>
      <c r="K21" s="1112"/>
    </row>
    <row r="22" spans="2:11" x14ac:dyDescent="0.2">
      <c r="B22" s="1113"/>
      <c r="C22" s="1115" t="s">
        <v>390</v>
      </c>
      <c r="D22" s="1116"/>
      <c r="E22" s="1116"/>
      <c r="F22" s="1116"/>
      <c r="G22" s="1116"/>
      <c r="H22" s="1116"/>
      <c r="I22" s="1116"/>
      <c r="J22" s="1116"/>
      <c r="K22" s="1117"/>
    </row>
    <row r="23" spans="2:11" ht="16" thickBot="1" x14ac:dyDescent="0.25">
      <c r="B23" s="1114"/>
      <c r="C23" s="1118"/>
      <c r="D23" s="1119"/>
      <c r="E23" s="1119"/>
      <c r="F23" s="1119"/>
      <c r="G23" s="1119"/>
      <c r="H23" s="1119"/>
      <c r="I23" s="1119"/>
      <c r="J23" s="1119"/>
      <c r="K23" s="1120"/>
    </row>
    <row r="26" spans="2:11" x14ac:dyDescent="0.2">
      <c r="B26" s="868"/>
      <c r="C26" s="868"/>
      <c r="D26" s="868"/>
      <c r="E26" s="868"/>
      <c r="F26" s="868"/>
      <c r="G26" s="868"/>
      <c r="H26" s="868"/>
      <c r="I26" s="868"/>
      <c r="J26" s="868"/>
      <c r="K26" s="868"/>
    </row>
    <row r="74" spans="62:62" x14ac:dyDescent="0.2">
      <c r="BJ74">
        <v>1</v>
      </c>
    </row>
  </sheetData>
  <mergeCells count="22">
    <mergeCell ref="C4:K5"/>
    <mergeCell ref="AA16:AJ16"/>
    <mergeCell ref="C14:K15"/>
    <mergeCell ref="C16:K17"/>
    <mergeCell ref="C12:K13"/>
    <mergeCell ref="C6:K7"/>
    <mergeCell ref="B2:K3"/>
    <mergeCell ref="B20:B21"/>
    <mergeCell ref="C20:K21"/>
    <mergeCell ref="B22:B23"/>
    <mergeCell ref="C22:K23"/>
    <mergeCell ref="B6:B7"/>
    <mergeCell ref="B4:B5"/>
    <mergeCell ref="B16:B17"/>
    <mergeCell ref="B18:B19"/>
    <mergeCell ref="C18:K19"/>
    <mergeCell ref="C10:K11"/>
    <mergeCell ref="C8:K9"/>
    <mergeCell ref="B14:B15"/>
    <mergeCell ref="B8:B9"/>
    <mergeCell ref="B12:B13"/>
    <mergeCell ref="B10:B11"/>
  </mergeCells>
  <hyperlinks>
    <hyperlink ref="AA16" r:id="rId1" xr:uid="{E46D22D4-6838-492A-9FC0-C1E89AF2601A}"/>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732B5-CA73-418B-9F73-FA4682B22C35}">
  <dimension ref="B1:AH90"/>
  <sheetViews>
    <sheetView topLeftCell="F48" zoomScale="25" zoomScaleNormal="55" workbookViewId="0">
      <selection activeCell="AO101" sqref="AO101"/>
    </sheetView>
  </sheetViews>
  <sheetFormatPr baseColWidth="10" defaultColWidth="8.83203125" defaultRowHeight="15" x14ac:dyDescent="0.2"/>
  <cols>
    <col min="5" max="5" width="40.5" bestFit="1" customWidth="1"/>
    <col min="6" max="6" width="20.6640625" bestFit="1" customWidth="1"/>
    <col min="7" max="7" width="15.33203125" customWidth="1"/>
    <col min="8" max="8" width="11.5" customWidth="1"/>
    <col min="9" max="9" width="17.6640625" bestFit="1" customWidth="1"/>
    <col min="10" max="10" width="26.5" bestFit="1" customWidth="1"/>
    <col min="11" max="11" width="51.6640625" customWidth="1"/>
    <col min="12" max="12" width="13.33203125" bestFit="1" customWidth="1"/>
    <col min="13" max="13" width="14.6640625" bestFit="1" customWidth="1"/>
    <col min="14" max="14" width="12.6640625" bestFit="1" customWidth="1"/>
    <col min="15" max="15" width="10.1640625" bestFit="1" customWidth="1"/>
    <col min="16" max="16" width="9.6640625" bestFit="1" customWidth="1"/>
    <col min="17" max="17" width="7.6640625" customWidth="1"/>
    <col min="18" max="18" width="13.6640625" bestFit="1" customWidth="1"/>
    <col min="19" max="19" width="12.6640625" bestFit="1" customWidth="1"/>
    <col min="20" max="20" width="10.6640625" bestFit="1" customWidth="1"/>
    <col min="21" max="21" width="35.6640625" bestFit="1" customWidth="1"/>
    <col min="22" max="22" width="36.6640625" bestFit="1" customWidth="1"/>
  </cols>
  <sheetData>
    <row r="1" spans="2:34" ht="16" thickBot="1" x14ac:dyDescent="0.25"/>
    <row r="2" spans="2:34" ht="30" thickBot="1" x14ac:dyDescent="0.4">
      <c r="B2" s="316" t="s">
        <v>391</v>
      </c>
      <c r="C2" s="317"/>
      <c r="D2" s="314"/>
      <c r="E2" s="314"/>
      <c r="F2" s="314"/>
      <c r="G2" s="314"/>
      <c r="H2" s="315"/>
      <c r="J2" s="1153" t="s">
        <v>392</v>
      </c>
      <c r="K2" s="1153"/>
      <c r="L2" s="219"/>
      <c r="M2" s="219"/>
      <c r="N2" s="219"/>
      <c r="O2" s="219"/>
      <c r="P2" s="219"/>
      <c r="Q2" s="219"/>
      <c r="R2" s="219"/>
      <c r="S2" s="219"/>
      <c r="T2" s="219"/>
      <c r="U2" s="219"/>
      <c r="V2" s="219"/>
    </row>
    <row r="3" spans="2:34" ht="20" thickBot="1" x14ac:dyDescent="0.3">
      <c r="B3" s="97"/>
      <c r="C3" s="130"/>
      <c r="D3" s="130"/>
      <c r="E3" s="130"/>
      <c r="F3" s="130" t="s">
        <v>393</v>
      </c>
      <c r="G3" s="130" t="s">
        <v>394</v>
      </c>
      <c r="H3" s="98"/>
      <c r="J3" s="219"/>
      <c r="K3" s="219"/>
      <c r="L3" s="219"/>
      <c r="M3" s="219"/>
      <c r="N3" s="219"/>
      <c r="O3" s="219"/>
      <c r="P3" s="219"/>
      <c r="Q3" s="219"/>
      <c r="R3" s="219"/>
      <c r="S3" s="219"/>
      <c r="T3" s="219"/>
      <c r="U3" s="219"/>
      <c r="V3" s="219"/>
    </row>
    <row r="4" spans="2:34" ht="19" x14ac:dyDescent="0.25">
      <c r="B4" s="97" t="s">
        <v>395</v>
      </c>
      <c r="C4" s="130"/>
      <c r="D4" s="130"/>
      <c r="E4" s="130"/>
      <c r="F4" s="130" t="s">
        <v>396</v>
      </c>
      <c r="G4" s="130" t="s">
        <v>148</v>
      </c>
      <c r="H4" s="98"/>
      <c r="J4" s="220" t="s">
        <v>397</v>
      </c>
      <c r="K4" s="1154" t="s">
        <v>398</v>
      </c>
      <c r="L4" s="1155"/>
      <c r="M4" s="1155"/>
      <c r="N4" s="1155"/>
      <c r="O4" s="1155"/>
      <c r="P4" s="1155"/>
      <c r="Q4" s="1155"/>
      <c r="R4" s="1155"/>
      <c r="S4" s="1155"/>
      <c r="T4" s="1155"/>
      <c r="U4" s="1155"/>
      <c r="V4" s="1156"/>
    </row>
    <row r="5" spans="2:34" ht="20" thickBot="1" x14ac:dyDescent="0.3">
      <c r="B5" s="97" t="s">
        <v>399</v>
      </c>
      <c r="C5" s="130"/>
      <c r="D5" s="130"/>
      <c r="E5" s="130"/>
      <c r="F5" s="130"/>
      <c r="G5" s="130"/>
      <c r="H5" s="98"/>
      <c r="J5" s="221" t="s">
        <v>400</v>
      </c>
      <c r="K5" s="1162" t="s">
        <v>401</v>
      </c>
      <c r="L5" s="1163"/>
      <c r="M5" s="1163"/>
      <c r="N5" s="1163"/>
      <c r="O5" s="1163"/>
      <c r="P5" s="1163"/>
      <c r="Q5" s="1163"/>
      <c r="R5" s="1163"/>
      <c r="S5" s="1163"/>
      <c r="T5" s="1163"/>
      <c r="U5" s="1163"/>
      <c r="V5" s="1164"/>
    </row>
    <row r="6" spans="2:34" ht="31" x14ac:dyDescent="0.35">
      <c r="B6" s="197"/>
      <c r="C6" s="198"/>
      <c r="D6" s="198"/>
      <c r="E6" s="198"/>
      <c r="F6" s="198"/>
      <c r="G6" s="198"/>
      <c r="H6" s="199"/>
      <c r="J6" s="221" t="s">
        <v>402</v>
      </c>
      <c r="K6" s="1162" t="s">
        <v>403</v>
      </c>
      <c r="L6" s="1163"/>
      <c r="M6" s="1163"/>
      <c r="N6" s="1163"/>
      <c r="O6" s="1163"/>
      <c r="P6" s="1163"/>
      <c r="Q6" s="1163"/>
      <c r="R6" s="1163"/>
      <c r="S6" s="1163"/>
      <c r="T6" s="1163"/>
      <c r="U6" s="1163"/>
      <c r="V6" s="1164"/>
      <c r="Z6" s="646" t="s">
        <v>404</v>
      </c>
      <c r="AA6" s="647"/>
      <c r="AB6" s="648"/>
      <c r="AC6" s="649"/>
      <c r="AD6" s="649"/>
      <c r="AE6" s="649"/>
      <c r="AF6" s="649"/>
      <c r="AG6" s="649"/>
      <c r="AH6" s="650"/>
    </row>
    <row r="7" spans="2:34" ht="19" x14ac:dyDescent="0.25">
      <c r="B7" s="200" t="s">
        <v>405</v>
      </c>
      <c r="C7" s="201"/>
      <c r="D7" s="201"/>
      <c r="E7" s="202" t="s">
        <v>406</v>
      </c>
      <c r="F7" s="202" t="s">
        <v>278</v>
      </c>
      <c r="G7" s="202" t="s">
        <v>407</v>
      </c>
      <c r="H7" s="203" t="s">
        <v>408</v>
      </c>
      <c r="J7" s="221" t="s">
        <v>409</v>
      </c>
      <c r="K7" s="1165"/>
      <c r="L7" s="1166"/>
      <c r="M7" s="1166"/>
      <c r="N7" s="1166"/>
      <c r="O7" s="1166"/>
      <c r="P7" s="1166"/>
      <c r="Q7" s="1166"/>
      <c r="R7" s="1166"/>
      <c r="S7" s="1166"/>
      <c r="T7" s="1166"/>
      <c r="U7" s="1166"/>
      <c r="V7" s="1167"/>
      <c r="Z7" s="97"/>
      <c r="AA7" s="130"/>
      <c r="AB7" s="130"/>
      <c r="AC7" s="130"/>
      <c r="AD7" s="130"/>
      <c r="AE7" s="130"/>
      <c r="AF7" s="130"/>
      <c r="AG7" s="130"/>
      <c r="AH7" s="98"/>
    </row>
    <row r="8" spans="2:34" ht="20" thickBot="1" x14ac:dyDescent="0.3">
      <c r="B8" s="197"/>
      <c r="C8" s="198"/>
      <c r="D8" s="198"/>
      <c r="E8" s="204"/>
      <c r="F8" s="204"/>
      <c r="G8" s="204"/>
      <c r="H8" s="199" t="s">
        <v>410</v>
      </c>
      <c r="J8" s="222" t="s">
        <v>411</v>
      </c>
      <c r="K8" s="1146"/>
      <c r="L8" s="1147"/>
      <c r="M8" s="1147"/>
      <c r="N8" s="1147"/>
      <c r="O8" s="1147"/>
      <c r="P8" s="1147"/>
      <c r="Q8" s="1147"/>
      <c r="R8" s="1147"/>
      <c r="S8" s="1147"/>
      <c r="T8" s="1147"/>
      <c r="U8" s="1147"/>
      <c r="V8" s="1148"/>
      <c r="Z8" s="97"/>
      <c r="AA8" s="130"/>
      <c r="AB8" s="130"/>
      <c r="AC8" s="130"/>
      <c r="AD8" s="130"/>
      <c r="AE8" s="130"/>
      <c r="AF8" s="130"/>
      <c r="AG8" s="130"/>
      <c r="AH8" s="98"/>
    </row>
    <row r="9" spans="2:34" ht="19" x14ac:dyDescent="0.25">
      <c r="B9" s="97"/>
      <c r="C9" s="130"/>
      <c r="D9" s="209" t="s">
        <v>412</v>
      </c>
      <c r="E9" s="210" t="s">
        <v>413</v>
      </c>
      <c r="F9" s="735">
        <v>201</v>
      </c>
      <c r="G9" s="210" t="s">
        <v>414</v>
      </c>
      <c r="H9" s="98">
        <v>130</v>
      </c>
      <c r="I9" s="130"/>
      <c r="J9" s="237"/>
      <c r="K9" s="219"/>
      <c r="L9" s="219"/>
      <c r="M9" s="219"/>
      <c r="N9" s="219"/>
      <c r="O9" s="219"/>
      <c r="P9" s="219"/>
      <c r="Q9" s="219"/>
      <c r="R9" s="219"/>
      <c r="S9" s="219"/>
      <c r="T9" s="219"/>
      <c r="U9" s="219"/>
      <c r="V9" s="237"/>
      <c r="Z9" s="97"/>
      <c r="AA9" s="130"/>
      <c r="AB9" s="130"/>
      <c r="AC9" s="130"/>
      <c r="AD9" s="130"/>
      <c r="AE9" s="130"/>
      <c r="AF9" s="130"/>
      <c r="AG9" s="130"/>
      <c r="AH9" s="98"/>
    </row>
    <row r="10" spans="2:34" ht="20" thickBot="1" x14ac:dyDescent="0.3">
      <c r="B10" s="217"/>
      <c r="C10" s="130"/>
      <c r="D10" s="209">
        <v>3</v>
      </c>
      <c r="E10" s="210" t="s">
        <v>346</v>
      </c>
      <c r="F10" s="735">
        <v>202</v>
      </c>
      <c r="G10" s="210" t="s">
        <v>415</v>
      </c>
      <c r="H10" s="98">
        <v>360</v>
      </c>
      <c r="J10" s="219"/>
      <c r="K10" s="219"/>
      <c r="L10" s="219"/>
      <c r="M10" s="219"/>
      <c r="N10" s="219"/>
      <c r="O10" s="219"/>
      <c r="P10" s="219"/>
      <c r="Q10" s="219"/>
      <c r="R10" s="219"/>
      <c r="S10" s="219"/>
      <c r="T10" s="219"/>
      <c r="U10" s="219"/>
      <c r="V10" s="219"/>
      <c r="Z10" s="97"/>
      <c r="AA10" s="130"/>
      <c r="AB10" s="130"/>
      <c r="AC10" s="130"/>
      <c r="AD10" s="130"/>
      <c r="AE10" s="130"/>
      <c r="AF10" s="130"/>
      <c r="AG10" s="130"/>
      <c r="AH10" s="98"/>
    </row>
    <row r="11" spans="2:34" ht="20.75" customHeight="1" thickBot="1" x14ac:dyDescent="0.3">
      <c r="B11" s="217"/>
      <c r="C11" s="130"/>
      <c r="D11" s="209">
        <v>4</v>
      </c>
      <c r="E11" s="210" t="s">
        <v>226</v>
      </c>
      <c r="F11" s="735">
        <v>203</v>
      </c>
      <c r="G11" s="210" t="s">
        <v>416</v>
      </c>
      <c r="H11" s="161">
        <v>34</v>
      </c>
      <c r="J11" s="778"/>
      <c r="K11" s="779" t="s">
        <v>417</v>
      </c>
      <c r="L11" s="780" t="s">
        <v>418</v>
      </c>
      <c r="M11" s="780" t="s">
        <v>419</v>
      </c>
      <c r="N11" s="780" t="s">
        <v>420</v>
      </c>
      <c r="O11" s="780" t="s">
        <v>421</v>
      </c>
      <c r="P11" s="780" t="s">
        <v>422</v>
      </c>
      <c r="Q11" s="780" t="s">
        <v>111</v>
      </c>
      <c r="R11" s="780" t="s">
        <v>423</v>
      </c>
      <c r="S11" s="780" t="s">
        <v>424</v>
      </c>
      <c r="T11" s="780" t="s">
        <v>425</v>
      </c>
      <c r="U11" s="780" t="s">
        <v>426</v>
      </c>
      <c r="V11" s="781" t="s">
        <v>427</v>
      </c>
      <c r="Z11" s="97"/>
      <c r="AA11" s="130"/>
      <c r="AB11" s="130"/>
      <c r="AC11" s="130"/>
      <c r="AD11" s="130"/>
      <c r="AE11" s="130"/>
      <c r="AF11" s="130"/>
      <c r="AG11" s="130"/>
      <c r="AH11" s="98"/>
    </row>
    <row r="12" spans="2:34" ht="20" thickBot="1" x14ac:dyDescent="0.3">
      <c r="B12" s="218"/>
      <c r="C12" s="100"/>
      <c r="D12" s="215">
        <v>5</v>
      </c>
      <c r="E12" s="216" t="s">
        <v>298</v>
      </c>
      <c r="F12" s="737">
        <v>204</v>
      </c>
      <c r="G12" s="216" t="s">
        <v>428</v>
      </c>
      <c r="H12" s="101">
        <v>90</v>
      </c>
      <c r="J12" s="771" t="s">
        <v>429</v>
      </c>
      <c r="K12" s="772"/>
      <c r="L12" s="773"/>
      <c r="M12" s="773"/>
      <c r="N12" s="773"/>
      <c r="O12" s="773"/>
      <c r="P12" s="773"/>
      <c r="Q12" s="773"/>
      <c r="R12" s="774" t="s">
        <v>430</v>
      </c>
      <c r="S12" s="775"/>
      <c r="T12" s="776" t="s">
        <v>431</v>
      </c>
      <c r="U12" s="774"/>
      <c r="V12" s="777"/>
      <c r="Z12" s="97"/>
      <c r="AA12" s="130"/>
      <c r="AB12" s="130"/>
      <c r="AC12" s="130"/>
      <c r="AD12" s="130"/>
      <c r="AE12" s="130"/>
      <c r="AF12" s="130"/>
      <c r="AG12" s="130"/>
      <c r="AH12" s="98"/>
    </row>
    <row r="13" spans="2:34" ht="20" thickBot="1" x14ac:dyDescent="0.3">
      <c r="J13" s="226">
        <v>1</v>
      </c>
      <c r="K13" s="227" t="s">
        <v>432</v>
      </c>
      <c r="L13" s="223"/>
      <c r="M13" s="223"/>
      <c r="N13" s="223"/>
      <c r="O13" s="223"/>
      <c r="P13" s="223"/>
      <c r="Q13" s="223"/>
      <c r="R13" s="318">
        <v>10</v>
      </c>
      <c r="S13" s="223"/>
      <c r="T13" s="228"/>
      <c r="U13" s="320" t="s">
        <v>433</v>
      </c>
      <c r="V13" s="230" t="s">
        <v>434</v>
      </c>
      <c r="Z13" s="97"/>
      <c r="AA13" s="130"/>
      <c r="AB13" s="130"/>
      <c r="AC13" s="130"/>
      <c r="AD13" s="130"/>
      <c r="AE13" s="130"/>
      <c r="AF13" s="130"/>
      <c r="AG13" s="130"/>
      <c r="AH13" s="98"/>
    </row>
    <row r="14" spans="2:34" ht="35.75" customHeight="1" thickBot="1" x14ac:dyDescent="0.35">
      <c r="B14" s="1174" t="s">
        <v>391</v>
      </c>
      <c r="C14" s="1175"/>
      <c r="D14" s="1175"/>
      <c r="E14" s="1175"/>
      <c r="F14" s="314"/>
      <c r="G14" s="314"/>
      <c r="H14" s="315"/>
      <c r="J14" s="1151">
        <v>2</v>
      </c>
      <c r="K14" s="1149" t="s">
        <v>435</v>
      </c>
      <c r="L14" s="1159"/>
      <c r="M14" s="1159"/>
      <c r="N14" s="1159"/>
      <c r="O14" s="1159"/>
      <c r="P14" s="1159"/>
      <c r="Q14" s="1159"/>
      <c r="R14" s="1157">
        <v>10</v>
      </c>
      <c r="S14" s="1159"/>
      <c r="T14" s="1159"/>
      <c r="U14" s="1159"/>
      <c r="V14" s="1168"/>
      <c r="Z14" s="97"/>
      <c r="AA14" s="130"/>
      <c r="AB14" s="130"/>
      <c r="AC14" s="130"/>
      <c r="AD14" s="130"/>
      <c r="AE14" s="130"/>
      <c r="AF14" s="130"/>
      <c r="AG14" s="130"/>
      <c r="AH14" s="98"/>
    </row>
    <row r="15" spans="2:34" ht="22.25" customHeight="1" x14ac:dyDescent="0.2">
      <c r="B15" s="94"/>
      <c r="C15" s="95"/>
      <c r="D15" s="95"/>
      <c r="E15" s="95"/>
      <c r="F15" s="95" t="s">
        <v>393</v>
      </c>
      <c r="G15" s="95" t="s">
        <v>394</v>
      </c>
      <c r="H15" s="96"/>
      <c r="J15" s="1152"/>
      <c r="K15" s="1150"/>
      <c r="L15" s="1160"/>
      <c r="M15" s="1160"/>
      <c r="N15" s="1160"/>
      <c r="O15" s="1160"/>
      <c r="P15" s="1160"/>
      <c r="Q15" s="1160"/>
      <c r="R15" s="1158"/>
      <c r="S15" s="1160"/>
      <c r="T15" s="1160"/>
      <c r="U15" s="1160"/>
      <c r="V15" s="1169"/>
      <c r="Z15" s="97"/>
      <c r="AA15" s="130"/>
      <c r="AB15" s="130"/>
      <c r="AC15" s="130"/>
      <c r="AD15" s="130"/>
      <c r="AE15" s="130"/>
      <c r="AF15" s="130"/>
      <c r="AG15" s="130"/>
      <c r="AH15" s="98"/>
    </row>
    <row r="16" spans="2:34" ht="20" x14ac:dyDescent="0.25">
      <c r="B16" s="97" t="s">
        <v>395</v>
      </c>
      <c r="C16" s="130"/>
      <c r="D16" s="130"/>
      <c r="E16" s="130"/>
      <c r="F16" s="130" t="s">
        <v>436</v>
      </c>
      <c r="G16" s="130" t="s">
        <v>145</v>
      </c>
      <c r="H16" s="98"/>
      <c r="J16" s="291">
        <v>3</v>
      </c>
      <c r="K16" s="245" t="s">
        <v>437</v>
      </c>
      <c r="L16" s="228"/>
      <c r="M16" s="223"/>
      <c r="N16" s="228"/>
      <c r="O16" s="228"/>
      <c r="P16" s="223"/>
      <c r="Q16" s="223"/>
      <c r="R16" s="319">
        <v>15</v>
      </c>
      <c r="S16" s="228"/>
      <c r="T16" s="228">
        <v>17.88</v>
      </c>
      <c r="U16" s="228"/>
      <c r="V16" s="292"/>
      <c r="Z16" s="97"/>
      <c r="AA16" s="130"/>
      <c r="AB16" s="130"/>
      <c r="AC16" s="130"/>
      <c r="AD16" s="130"/>
      <c r="AE16" s="130"/>
      <c r="AF16" s="130"/>
      <c r="AG16" s="130"/>
      <c r="AH16" s="98"/>
    </row>
    <row r="17" spans="2:34" ht="20" x14ac:dyDescent="0.25">
      <c r="B17" s="97" t="s">
        <v>438</v>
      </c>
      <c r="C17" s="130"/>
      <c r="D17" s="130"/>
      <c r="E17" s="130"/>
      <c r="F17" s="130"/>
      <c r="G17" s="130"/>
      <c r="H17" s="98"/>
      <c r="J17" s="239">
        <v>4</v>
      </c>
      <c r="K17" s="241" t="s">
        <v>439</v>
      </c>
      <c r="L17" s="228"/>
      <c r="M17" s="223"/>
      <c r="N17" s="228"/>
      <c r="O17" s="228"/>
      <c r="P17" s="223"/>
      <c r="Q17" s="223"/>
      <c r="R17" s="241"/>
      <c r="S17" s="223">
        <v>14</v>
      </c>
      <c r="T17" s="223"/>
      <c r="U17" s="223"/>
      <c r="V17" s="244"/>
      <c r="Z17" s="97"/>
      <c r="AA17" s="130"/>
      <c r="AB17" s="130"/>
      <c r="AC17" s="130"/>
      <c r="AD17" s="130"/>
      <c r="AE17" s="130"/>
      <c r="AF17" s="130"/>
      <c r="AG17" s="130"/>
      <c r="AH17" s="98"/>
    </row>
    <row r="18" spans="2:34" ht="35.75" customHeight="1" x14ac:dyDescent="0.25">
      <c r="B18" s="197"/>
      <c r="C18" s="198"/>
      <c r="D18" s="198"/>
      <c r="E18" s="198"/>
      <c r="F18" s="198"/>
      <c r="G18" s="198"/>
      <c r="H18" s="199"/>
      <c r="J18" s="231">
        <v>5</v>
      </c>
      <c r="K18" s="322" t="s">
        <v>440</v>
      </c>
      <c r="L18" s="228"/>
      <c r="M18" s="223"/>
      <c r="N18" s="228"/>
      <c r="O18" s="228"/>
      <c r="P18" s="223"/>
      <c r="Q18" s="223"/>
      <c r="R18" s="321">
        <v>10</v>
      </c>
      <c r="S18" s="228"/>
      <c r="T18" s="228">
        <v>2.46</v>
      </c>
      <c r="U18" s="227"/>
      <c r="V18" s="230"/>
      <c r="Z18" s="97"/>
      <c r="AA18" s="130"/>
      <c r="AB18" s="130"/>
      <c r="AC18" s="130"/>
      <c r="AD18" s="130"/>
      <c r="AE18" s="130"/>
      <c r="AF18" s="130"/>
      <c r="AG18" s="130"/>
      <c r="AH18" s="98"/>
    </row>
    <row r="19" spans="2:34" ht="20" x14ac:dyDescent="0.25">
      <c r="B19" s="200" t="s">
        <v>405</v>
      </c>
      <c r="C19" s="201"/>
      <c r="D19" s="201"/>
      <c r="E19" s="202" t="s">
        <v>406</v>
      </c>
      <c r="F19" s="202" t="s">
        <v>278</v>
      </c>
      <c r="G19" s="202" t="s">
        <v>407</v>
      </c>
      <c r="H19" s="203" t="s">
        <v>408</v>
      </c>
      <c r="J19" s="291">
        <v>6</v>
      </c>
      <c r="K19" s="245" t="s">
        <v>441</v>
      </c>
      <c r="L19" s="228"/>
      <c r="M19" s="228"/>
      <c r="N19" s="228"/>
      <c r="O19" s="228"/>
      <c r="P19" s="228"/>
      <c r="Q19" s="228"/>
      <c r="R19" s="245"/>
      <c r="S19" s="228">
        <v>5</v>
      </c>
      <c r="T19" s="228"/>
      <c r="U19" s="228"/>
      <c r="V19" s="292"/>
      <c r="Z19" s="97"/>
      <c r="AA19" s="130"/>
      <c r="AB19" s="130"/>
      <c r="AC19" s="130"/>
      <c r="AD19" s="130"/>
      <c r="AE19" s="130"/>
      <c r="AF19" s="130"/>
      <c r="AG19" s="130"/>
      <c r="AH19" s="98"/>
    </row>
    <row r="20" spans="2:34" ht="19" x14ac:dyDescent="0.25">
      <c r="B20" s="197"/>
      <c r="C20" s="198"/>
      <c r="D20" s="198"/>
      <c r="E20" s="204"/>
      <c r="F20" s="204"/>
      <c r="G20" s="204"/>
      <c r="H20" s="199" t="s">
        <v>410</v>
      </c>
      <c r="J20" s="231">
        <v>7</v>
      </c>
      <c r="K20" s="227" t="s">
        <v>442</v>
      </c>
      <c r="L20" s="228"/>
      <c r="M20" s="223"/>
      <c r="N20" s="228"/>
      <c r="O20" s="228"/>
      <c r="P20" s="223"/>
      <c r="Q20" s="223"/>
      <c r="R20" s="228">
        <v>10</v>
      </c>
      <c r="S20" s="228"/>
      <c r="T20" s="228">
        <v>2.5499999999999998</v>
      </c>
      <c r="U20" s="227"/>
      <c r="V20" s="230"/>
      <c r="Z20" s="97"/>
      <c r="AA20" s="130"/>
      <c r="AB20" s="130"/>
      <c r="AC20" s="130"/>
      <c r="AD20" s="130"/>
      <c r="AE20" s="130"/>
      <c r="AF20" s="130"/>
      <c r="AG20" s="130"/>
      <c r="AH20" s="98"/>
    </row>
    <row r="21" spans="2:34" ht="19" x14ac:dyDescent="0.25">
      <c r="B21" s="97"/>
      <c r="C21" s="130"/>
      <c r="D21" s="209">
        <v>6</v>
      </c>
      <c r="E21" s="210" t="s">
        <v>443</v>
      </c>
      <c r="F21" s="735">
        <v>101</v>
      </c>
      <c r="G21" s="210" t="s">
        <v>444</v>
      </c>
      <c r="H21" s="98">
        <v>30</v>
      </c>
      <c r="J21" s="231">
        <v>8</v>
      </c>
      <c r="K21" s="227" t="s">
        <v>445</v>
      </c>
      <c r="L21" s="228"/>
      <c r="M21" s="223"/>
      <c r="N21" s="228"/>
      <c r="O21" s="228"/>
      <c r="P21" s="223"/>
      <c r="Q21" s="223"/>
      <c r="R21" s="228"/>
      <c r="S21" s="228">
        <v>53</v>
      </c>
      <c r="T21" s="228"/>
      <c r="U21" s="227"/>
      <c r="V21" s="230"/>
      <c r="Z21" s="97"/>
      <c r="AA21" s="130"/>
      <c r="AB21" s="130"/>
      <c r="AC21" s="130"/>
      <c r="AD21" s="130"/>
      <c r="AE21" s="130"/>
      <c r="AF21" s="130"/>
      <c r="AG21" s="130"/>
      <c r="AH21" s="98"/>
    </row>
    <row r="22" spans="2:34" ht="20.75" customHeight="1" x14ac:dyDescent="0.25">
      <c r="B22" s="97"/>
      <c r="C22" s="130"/>
      <c r="D22" s="209">
        <v>7</v>
      </c>
      <c r="E22" s="210" t="s">
        <v>321</v>
      </c>
      <c r="F22" s="738">
        <v>102</v>
      </c>
      <c r="G22" s="210" t="s">
        <v>446</v>
      </c>
      <c r="H22" s="98">
        <v>40</v>
      </c>
      <c r="J22" s="238">
        <v>9</v>
      </c>
      <c r="K22" s="240" t="s">
        <v>447</v>
      </c>
      <c r="L22" s="242"/>
      <c r="M22" s="242"/>
      <c r="N22" s="242"/>
      <c r="O22" s="242"/>
      <c r="P22" s="242"/>
      <c r="Q22" s="242"/>
      <c r="R22" s="242">
        <v>15</v>
      </c>
      <c r="S22" s="242"/>
      <c r="T22" s="242">
        <v>2.4900000000000002</v>
      </c>
      <c r="U22" s="242"/>
      <c r="V22" s="243"/>
      <c r="Z22" s="97"/>
      <c r="AA22" s="130"/>
      <c r="AB22" s="130"/>
      <c r="AC22" s="130"/>
      <c r="AD22" s="130"/>
      <c r="AE22" s="130"/>
      <c r="AF22" s="130"/>
      <c r="AG22" s="130"/>
      <c r="AH22" s="98"/>
    </row>
    <row r="23" spans="2:34" ht="20.75" customHeight="1" x14ac:dyDescent="0.25">
      <c r="B23" s="97"/>
      <c r="C23" s="130"/>
      <c r="D23" s="209">
        <v>8</v>
      </c>
      <c r="E23" s="210" t="s">
        <v>448</v>
      </c>
      <c r="F23" s="735">
        <v>103</v>
      </c>
      <c r="G23" s="210" t="s">
        <v>449</v>
      </c>
      <c r="H23" s="98">
        <v>40</v>
      </c>
      <c r="J23" s="291">
        <v>10</v>
      </c>
      <c r="K23" s="323" t="s">
        <v>450</v>
      </c>
      <c r="L23" s="228"/>
      <c r="M23" s="228"/>
      <c r="N23" s="228"/>
      <c r="O23" s="228"/>
      <c r="P23" s="228"/>
      <c r="Q23" s="228"/>
      <c r="R23" s="228"/>
      <c r="S23" s="228">
        <v>20</v>
      </c>
      <c r="T23" s="228"/>
      <c r="U23" s="228"/>
      <c r="V23" s="292"/>
      <c r="Z23" s="97"/>
      <c r="AA23" s="130"/>
      <c r="AB23" s="130"/>
      <c r="AC23" s="130"/>
      <c r="AD23" s="130"/>
      <c r="AE23" s="130"/>
      <c r="AF23" s="130"/>
      <c r="AG23" s="130"/>
      <c r="AH23" s="98"/>
    </row>
    <row r="24" spans="2:34" ht="20.75" customHeight="1" thickBot="1" x14ac:dyDescent="0.3">
      <c r="B24" s="97"/>
      <c r="C24" s="130"/>
      <c r="D24" s="209">
        <v>9</v>
      </c>
      <c r="E24" s="210" t="s">
        <v>361</v>
      </c>
      <c r="F24" s="735">
        <v>104</v>
      </c>
      <c r="G24" s="210" t="s">
        <v>451</v>
      </c>
      <c r="H24" s="98">
        <v>35</v>
      </c>
      <c r="J24" s="293">
        <v>11</v>
      </c>
      <c r="K24" s="294" t="s">
        <v>452</v>
      </c>
      <c r="L24" s="232"/>
      <c r="M24" s="232"/>
      <c r="N24" s="232"/>
      <c r="O24" s="232"/>
      <c r="P24" s="232"/>
      <c r="Q24" s="232"/>
      <c r="R24" s="232">
        <v>10</v>
      </c>
      <c r="S24" s="232"/>
      <c r="T24" s="232"/>
      <c r="U24" s="232"/>
      <c r="V24" s="295"/>
      <c r="Z24" s="97"/>
      <c r="AA24" s="130"/>
      <c r="AB24" s="130"/>
      <c r="AC24" s="130"/>
      <c r="AD24" s="130"/>
      <c r="AE24" s="130"/>
      <c r="AF24" s="130"/>
      <c r="AG24" s="130"/>
      <c r="AH24" s="98"/>
    </row>
    <row r="25" spans="2:34" ht="18" customHeight="1" thickBot="1" x14ac:dyDescent="0.25">
      <c r="B25" s="97"/>
      <c r="C25" s="130"/>
      <c r="D25" s="209" t="s">
        <v>453</v>
      </c>
      <c r="E25" s="210" t="s">
        <v>232</v>
      </c>
      <c r="F25" s="735">
        <v>105</v>
      </c>
      <c r="G25" s="210" t="s">
        <v>454</v>
      </c>
      <c r="H25" s="98">
        <v>60</v>
      </c>
      <c r="Z25" s="97"/>
      <c r="AA25" s="130"/>
      <c r="AB25" s="130"/>
      <c r="AC25" s="130"/>
      <c r="AD25" s="130"/>
      <c r="AE25" s="130"/>
      <c r="AF25" s="130"/>
      <c r="AG25" s="130"/>
      <c r="AH25" s="98"/>
    </row>
    <row r="26" spans="2:34" ht="34" thickBot="1" x14ac:dyDescent="0.3">
      <c r="B26" s="97"/>
      <c r="C26" s="130"/>
      <c r="D26" s="211">
        <v>12</v>
      </c>
      <c r="E26" s="212" t="s">
        <v>353</v>
      </c>
      <c r="F26" s="739">
        <v>106</v>
      </c>
      <c r="G26" s="213" t="s">
        <v>455</v>
      </c>
      <c r="H26" s="214">
        <v>80</v>
      </c>
      <c r="J26" s="324" t="s">
        <v>456</v>
      </c>
      <c r="K26" s="234"/>
      <c r="L26" s="235"/>
      <c r="M26" s="235"/>
      <c r="N26" s="235"/>
      <c r="O26" s="235"/>
      <c r="P26" s="235"/>
      <c r="Q26" s="235"/>
      <c r="R26" s="235"/>
      <c r="S26" s="326">
        <f>SUM(S13:S24)</f>
        <v>92</v>
      </c>
      <c r="T26" s="219"/>
      <c r="U26" s="219"/>
      <c r="V26" s="290"/>
      <c r="Z26" s="97"/>
      <c r="AA26" s="130"/>
      <c r="AB26" s="130"/>
      <c r="AC26" s="130"/>
      <c r="AD26" s="130"/>
      <c r="AE26" s="130"/>
      <c r="AF26" s="130"/>
      <c r="AG26" s="130"/>
      <c r="AH26" s="98"/>
    </row>
    <row r="27" spans="2:34" ht="20.75" customHeight="1" thickBot="1" x14ac:dyDescent="0.3">
      <c r="B27" s="99"/>
      <c r="C27" s="100"/>
      <c r="D27" s="215" t="s">
        <v>457</v>
      </c>
      <c r="E27" s="216" t="s">
        <v>337</v>
      </c>
      <c r="F27" s="737">
        <v>107</v>
      </c>
      <c r="G27" s="216" t="s">
        <v>458</v>
      </c>
      <c r="H27" s="101">
        <v>35</v>
      </c>
      <c r="J27" s="233" t="s">
        <v>459</v>
      </c>
      <c r="K27" s="234"/>
      <c r="L27" s="235"/>
      <c r="M27" s="235"/>
      <c r="N27" s="235"/>
      <c r="O27" s="16"/>
      <c r="P27" s="235"/>
      <c r="Q27" s="235"/>
      <c r="R27" s="236">
        <f>SUM(R13:R24)</f>
        <v>80</v>
      </c>
      <c r="S27" s="219"/>
      <c r="T27" s="219"/>
      <c r="U27" s="219"/>
      <c r="V27" s="219"/>
      <c r="Z27" s="97"/>
      <c r="AA27" s="130"/>
      <c r="AB27" s="130"/>
      <c r="AC27" s="130"/>
      <c r="AD27" s="130"/>
      <c r="AE27" s="130"/>
      <c r="AF27" s="130"/>
      <c r="AG27" s="130"/>
      <c r="AH27" s="98"/>
    </row>
    <row r="28" spans="2:34" ht="23.75" customHeight="1" thickBot="1" x14ac:dyDescent="0.3">
      <c r="J28" s="324" t="s">
        <v>460</v>
      </c>
      <c r="K28" s="16"/>
      <c r="L28" s="16"/>
      <c r="M28" s="16"/>
      <c r="N28" s="16"/>
      <c r="O28" s="16"/>
      <c r="P28" s="16"/>
      <c r="Q28" s="325">
        <f>SUM(S26+R27)</f>
        <v>172</v>
      </c>
      <c r="S28" s="219"/>
      <c r="T28" s="219"/>
      <c r="U28" s="219"/>
      <c r="V28" s="219"/>
      <c r="Z28" s="97"/>
      <c r="AA28" s="130"/>
      <c r="AB28" s="130"/>
      <c r="AC28" s="130"/>
      <c r="AD28" s="130"/>
      <c r="AE28" s="130"/>
      <c r="AF28" s="130"/>
      <c r="AG28" s="130"/>
      <c r="AH28" s="98"/>
    </row>
    <row r="29" spans="2:34" x14ac:dyDescent="0.2">
      <c r="T29" s="1161"/>
      <c r="U29" s="1161"/>
      <c r="V29" s="1161"/>
      <c r="Z29" s="97"/>
      <c r="AA29" s="130"/>
      <c r="AB29" s="130"/>
      <c r="AC29" s="130"/>
      <c r="AD29" s="130"/>
      <c r="AE29" s="130"/>
      <c r="AF29" s="130"/>
      <c r="AG29" s="130"/>
      <c r="AH29" s="98"/>
    </row>
    <row r="30" spans="2:34" ht="16" thickBot="1" x14ac:dyDescent="0.25">
      <c r="T30" s="1161"/>
      <c r="U30" s="1161"/>
      <c r="V30" s="1161"/>
      <c r="Z30" s="97"/>
      <c r="AA30" s="130"/>
      <c r="AB30" s="130"/>
      <c r="AC30" s="130"/>
      <c r="AD30" s="130"/>
      <c r="AE30" s="130"/>
      <c r="AF30" s="130"/>
      <c r="AG30" s="130"/>
      <c r="AH30" s="98"/>
    </row>
    <row r="31" spans="2:34" ht="30" thickBot="1" x14ac:dyDescent="0.4">
      <c r="B31" s="1174" t="s">
        <v>391</v>
      </c>
      <c r="C31" s="1175"/>
      <c r="D31" s="1175"/>
      <c r="E31" s="1175"/>
      <c r="F31" s="314"/>
      <c r="G31" s="314"/>
      <c r="H31" s="315"/>
      <c r="J31" s="1153" t="s">
        <v>461</v>
      </c>
      <c r="K31" s="1153"/>
      <c r="L31" s="219"/>
      <c r="M31" s="219"/>
      <c r="N31" s="219"/>
      <c r="O31" s="219"/>
      <c r="P31" s="219"/>
      <c r="Q31" s="219"/>
      <c r="R31" s="219"/>
      <c r="S31" s="219"/>
      <c r="T31" s="219"/>
      <c r="U31" s="219"/>
      <c r="V31" s="219"/>
      <c r="Z31" s="97"/>
      <c r="AA31" s="130"/>
      <c r="AB31" s="130"/>
      <c r="AC31" s="130"/>
      <c r="AD31" s="130"/>
      <c r="AE31" s="130"/>
      <c r="AF31" s="130"/>
      <c r="AG31" s="130"/>
      <c r="AH31" s="98"/>
    </row>
    <row r="32" spans="2:34" ht="20" thickBot="1" x14ac:dyDescent="0.3">
      <c r="B32" s="94"/>
      <c r="C32" s="95"/>
      <c r="D32" s="95"/>
      <c r="E32" s="95"/>
      <c r="F32" s="95" t="s">
        <v>393</v>
      </c>
      <c r="G32" s="95" t="s">
        <v>394</v>
      </c>
      <c r="H32" s="96"/>
      <c r="J32" s="219"/>
      <c r="K32" s="219"/>
      <c r="L32" s="219"/>
      <c r="M32" s="219"/>
      <c r="N32" s="219"/>
      <c r="O32" s="219"/>
      <c r="P32" s="219"/>
      <c r="Q32" s="219"/>
      <c r="R32" s="219"/>
      <c r="S32" s="219"/>
      <c r="T32" s="219"/>
      <c r="U32" s="219"/>
      <c r="V32" s="219"/>
      <c r="Z32" s="97"/>
      <c r="AA32" s="130"/>
      <c r="AB32" s="130"/>
      <c r="AC32" s="130"/>
      <c r="AD32" s="130"/>
      <c r="AE32" s="130"/>
      <c r="AF32" s="130"/>
      <c r="AG32" s="130"/>
      <c r="AH32" s="98"/>
    </row>
    <row r="33" spans="2:34" ht="19" x14ac:dyDescent="0.25">
      <c r="B33" s="97" t="s">
        <v>395</v>
      </c>
      <c r="C33" s="130"/>
      <c r="D33" s="130"/>
      <c r="E33" s="130"/>
      <c r="F33" s="130" t="s">
        <v>462</v>
      </c>
      <c r="G33" s="130" t="s">
        <v>151</v>
      </c>
      <c r="H33" s="98"/>
      <c r="J33" s="220" t="s">
        <v>397</v>
      </c>
      <c r="K33" s="1154" t="s">
        <v>398</v>
      </c>
      <c r="L33" s="1155"/>
      <c r="M33" s="1155"/>
      <c r="N33" s="1155"/>
      <c r="O33" s="1155"/>
      <c r="P33" s="1155"/>
      <c r="Q33" s="1155"/>
      <c r="R33" s="1155"/>
      <c r="S33" s="1155"/>
      <c r="T33" s="1155"/>
      <c r="U33" s="1155"/>
      <c r="V33" s="1156"/>
      <c r="Z33" s="97"/>
      <c r="AA33" s="130"/>
      <c r="AB33" s="130"/>
      <c r="AC33" s="130"/>
      <c r="AD33" s="130"/>
      <c r="AE33" s="130"/>
      <c r="AF33" s="130"/>
      <c r="AG33" s="130"/>
      <c r="AH33" s="98"/>
    </row>
    <row r="34" spans="2:34" ht="19" x14ac:dyDescent="0.25">
      <c r="B34" s="97" t="s">
        <v>463</v>
      </c>
      <c r="C34" s="130"/>
      <c r="D34" s="130"/>
      <c r="E34" s="130"/>
      <c r="F34" s="130"/>
      <c r="G34" s="130"/>
      <c r="H34" s="98"/>
      <c r="J34" s="221" t="s">
        <v>400</v>
      </c>
      <c r="K34" s="1162" t="s">
        <v>464</v>
      </c>
      <c r="L34" s="1163"/>
      <c r="M34" s="1163"/>
      <c r="N34" s="1163"/>
      <c r="O34" s="1163"/>
      <c r="P34" s="1163"/>
      <c r="Q34" s="1163"/>
      <c r="R34" s="1163"/>
      <c r="S34" s="1163"/>
      <c r="T34" s="1163"/>
      <c r="U34" s="1163"/>
      <c r="V34" s="1164"/>
      <c r="Z34" s="97"/>
      <c r="AA34" s="130"/>
      <c r="AB34" s="130"/>
      <c r="AC34" s="130"/>
      <c r="AD34" s="130"/>
      <c r="AE34" s="130"/>
      <c r="AF34" s="130"/>
      <c r="AG34" s="130"/>
      <c r="AH34" s="98"/>
    </row>
    <row r="35" spans="2:34" ht="19" x14ac:dyDescent="0.25">
      <c r="B35" s="197"/>
      <c r="C35" s="198"/>
      <c r="D35" s="198"/>
      <c r="E35" s="198"/>
      <c r="F35" s="198"/>
      <c r="G35" s="198"/>
      <c r="H35" s="199"/>
      <c r="J35" s="221" t="s">
        <v>402</v>
      </c>
      <c r="K35" s="1162" t="s">
        <v>403</v>
      </c>
      <c r="L35" s="1163"/>
      <c r="M35" s="1163"/>
      <c r="N35" s="1163"/>
      <c r="O35" s="1163"/>
      <c r="P35" s="1163"/>
      <c r="Q35" s="1163"/>
      <c r="R35" s="1163"/>
      <c r="S35" s="1163"/>
      <c r="T35" s="1163"/>
      <c r="U35" s="1163"/>
      <c r="V35" s="1164"/>
      <c r="Z35" s="97"/>
      <c r="AA35" s="130"/>
      <c r="AB35" s="130"/>
      <c r="AC35" s="130"/>
      <c r="AD35" s="130"/>
      <c r="AE35" s="130"/>
      <c r="AF35" s="130"/>
      <c r="AG35" s="130"/>
      <c r="AH35" s="98"/>
    </row>
    <row r="36" spans="2:34" ht="19" x14ac:dyDescent="0.25">
      <c r="B36" s="200" t="s">
        <v>405</v>
      </c>
      <c r="C36" s="201"/>
      <c r="D36" s="201"/>
      <c r="E36" s="202" t="s">
        <v>406</v>
      </c>
      <c r="F36" s="202" t="s">
        <v>278</v>
      </c>
      <c r="G36" s="202" t="s">
        <v>407</v>
      </c>
      <c r="H36" s="203" t="s">
        <v>408</v>
      </c>
      <c r="J36" s="221" t="s">
        <v>409</v>
      </c>
      <c r="K36" s="1165"/>
      <c r="L36" s="1166"/>
      <c r="M36" s="1166"/>
      <c r="N36" s="1166"/>
      <c r="O36" s="1166"/>
      <c r="P36" s="1166"/>
      <c r="Q36" s="1166"/>
      <c r="R36" s="1166"/>
      <c r="S36" s="1166"/>
      <c r="T36" s="1166"/>
      <c r="U36" s="1166"/>
      <c r="V36" s="1167"/>
      <c r="Z36" s="97"/>
      <c r="AA36" s="130"/>
      <c r="AB36" s="130"/>
      <c r="AC36" s="130"/>
      <c r="AD36" s="130"/>
      <c r="AE36" s="130"/>
      <c r="AF36" s="130"/>
      <c r="AG36" s="130"/>
      <c r="AH36" s="98"/>
    </row>
    <row r="37" spans="2:34" ht="20" thickBot="1" x14ac:dyDescent="0.3">
      <c r="B37" s="197"/>
      <c r="C37" s="198"/>
      <c r="D37" s="198"/>
      <c r="E37" s="204"/>
      <c r="F37" s="204"/>
      <c r="G37" s="204"/>
      <c r="H37" s="199" t="s">
        <v>410</v>
      </c>
      <c r="J37" s="222" t="s">
        <v>411</v>
      </c>
      <c r="K37" s="1146"/>
      <c r="L37" s="1147"/>
      <c r="M37" s="1147"/>
      <c r="N37" s="1147"/>
      <c r="O37" s="1147"/>
      <c r="P37" s="1147"/>
      <c r="Q37" s="1147"/>
      <c r="R37" s="1147"/>
      <c r="S37" s="1147"/>
      <c r="T37" s="1147"/>
      <c r="U37" s="1147"/>
      <c r="V37" s="1148"/>
      <c r="Z37" s="97"/>
      <c r="AA37" s="130"/>
      <c r="AB37" s="130"/>
      <c r="AC37" s="130"/>
      <c r="AD37" s="130"/>
      <c r="AE37" s="130"/>
      <c r="AF37" s="130"/>
      <c r="AG37" s="130"/>
      <c r="AH37" s="98"/>
    </row>
    <row r="38" spans="2:34" ht="20" thickBot="1" x14ac:dyDescent="0.3">
      <c r="B38" s="205"/>
      <c r="C38" s="206"/>
      <c r="D38" s="206" t="s">
        <v>465</v>
      </c>
      <c r="E38" s="207" t="s">
        <v>466</v>
      </c>
      <c r="F38" s="740">
        <v>108</v>
      </c>
      <c r="G38" s="207" t="s">
        <v>467</v>
      </c>
      <c r="H38" s="208">
        <v>144</v>
      </c>
      <c r="J38" s="237"/>
      <c r="K38" s="219"/>
      <c r="L38" s="219"/>
      <c r="M38" s="219"/>
      <c r="N38" s="219"/>
      <c r="O38" s="219"/>
      <c r="P38" s="219"/>
      <c r="Q38" s="219"/>
      <c r="R38" s="219"/>
      <c r="S38" s="219"/>
      <c r="T38" s="219"/>
      <c r="U38" s="219"/>
      <c r="V38" s="237"/>
      <c r="Z38" s="97"/>
      <c r="AA38" s="130"/>
      <c r="AB38" s="130"/>
      <c r="AC38" s="130"/>
      <c r="AD38" s="130"/>
      <c r="AE38" s="130"/>
      <c r="AF38" s="130"/>
      <c r="AG38" s="130"/>
      <c r="AH38" s="98"/>
    </row>
    <row r="39" spans="2:34" ht="20" thickBot="1" x14ac:dyDescent="0.3">
      <c r="J39" s="219"/>
      <c r="K39" s="219"/>
      <c r="L39" s="219"/>
      <c r="M39" s="219"/>
      <c r="N39" s="219"/>
      <c r="O39" s="219"/>
      <c r="P39" s="219"/>
      <c r="Q39" s="219"/>
      <c r="R39" s="219"/>
      <c r="S39" s="219"/>
      <c r="T39" s="219"/>
      <c r="U39" s="219"/>
      <c r="V39" s="219"/>
      <c r="Z39" s="97"/>
      <c r="AA39" s="130"/>
      <c r="AB39" s="130"/>
      <c r="AC39" s="130"/>
      <c r="AD39" s="130"/>
      <c r="AE39" s="130"/>
      <c r="AF39" s="130"/>
      <c r="AG39" s="130"/>
      <c r="AH39" s="98"/>
    </row>
    <row r="40" spans="2:34" ht="30" thickBot="1" x14ac:dyDescent="0.3">
      <c r="J40" s="778"/>
      <c r="K40" s="779" t="s">
        <v>417</v>
      </c>
      <c r="L40" s="780" t="s">
        <v>418</v>
      </c>
      <c r="M40" s="780" t="s">
        <v>419</v>
      </c>
      <c r="N40" s="780" t="s">
        <v>420</v>
      </c>
      <c r="O40" s="780" t="s">
        <v>421</v>
      </c>
      <c r="P40" s="780" t="s">
        <v>422</v>
      </c>
      <c r="Q40" s="780" t="s">
        <v>111</v>
      </c>
      <c r="R40" s="780" t="s">
        <v>423</v>
      </c>
      <c r="S40" s="780" t="s">
        <v>424</v>
      </c>
      <c r="T40" s="780" t="s">
        <v>425</v>
      </c>
      <c r="U40" s="780" t="s">
        <v>426</v>
      </c>
      <c r="V40" s="781" t="s">
        <v>427</v>
      </c>
      <c r="Z40" s="97"/>
      <c r="AA40" s="130"/>
      <c r="AB40" s="130"/>
      <c r="AC40" s="130"/>
      <c r="AD40" s="130"/>
      <c r="AE40" s="130"/>
      <c r="AF40" s="130"/>
      <c r="AG40" s="130"/>
      <c r="AH40" s="98"/>
    </row>
    <row r="41" spans="2:34" ht="20" thickBot="1" x14ac:dyDescent="0.3">
      <c r="J41" s="771" t="s">
        <v>429</v>
      </c>
      <c r="K41" s="772"/>
      <c r="L41" s="773"/>
      <c r="M41" s="773"/>
      <c r="N41" s="773"/>
      <c r="O41" s="773"/>
      <c r="P41" s="773"/>
      <c r="Q41" s="773"/>
      <c r="R41" s="774" t="s">
        <v>430</v>
      </c>
      <c r="S41" s="775"/>
      <c r="T41" s="776" t="s">
        <v>431</v>
      </c>
      <c r="U41" s="774"/>
      <c r="V41" s="777"/>
      <c r="Z41" s="97"/>
      <c r="AA41" s="130"/>
      <c r="AB41" s="130"/>
      <c r="AC41" s="130"/>
      <c r="AD41" s="130"/>
      <c r="AE41" s="130"/>
      <c r="AF41" s="130"/>
      <c r="AG41" s="130"/>
      <c r="AH41" s="98"/>
    </row>
    <row r="42" spans="2:34" ht="19" x14ac:dyDescent="0.25">
      <c r="J42" s="298">
        <v>1</v>
      </c>
      <c r="K42" s="228" t="s">
        <v>468</v>
      </c>
      <c r="L42" s="223"/>
      <c r="M42" s="223"/>
      <c r="N42" s="223"/>
      <c r="O42" s="223"/>
      <c r="P42" s="223"/>
      <c r="Q42" s="223"/>
      <c r="R42" s="229">
        <v>10</v>
      </c>
      <c r="S42" s="296"/>
      <c r="T42" s="224"/>
      <c r="U42" s="229" t="s">
        <v>186</v>
      </c>
      <c r="V42" s="225" t="s">
        <v>469</v>
      </c>
      <c r="Z42" s="97"/>
      <c r="AA42" s="130"/>
      <c r="AB42" s="130"/>
      <c r="AC42" s="130"/>
      <c r="AD42" s="130"/>
      <c r="AE42" s="130"/>
      <c r="AF42" s="130"/>
      <c r="AG42" s="130"/>
      <c r="AH42" s="98"/>
    </row>
    <row r="43" spans="2:34" ht="20" thickBot="1" x14ac:dyDescent="0.3">
      <c r="J43" s="226">
        <v>2</v>
      </c>
      <c r="K43" s="227" t="s">
        <v>470</v>
      </c>
      <c r="L43" s="223"/>
      <c r="M43" s="223"/>
      <c r="N43" s="223"/>
      <c r="O43" s="223"/>
      <c r="P43" s="223"/>
      <c r="Q43" s="223"/>
      <c r="R43" s="223">
        <v>5</v>
      </c>
      <c r="S43" s="223"/>
      <c r="T43" s="228"/>
      <c r="U43" s="229" t="s">
        <v>471</v>
      </c>
      <c r="V43" s="230" t="s">
        <v>469</v>
      </c>
      <c r="Z43" s="99"/>
      <c r="AA43" s="100"/>
      <c r="AB43" s="100"/>
      <c r="AC43" s="100"/>
      <c r="AD43" s="100"/>
      <c r="AE43" s="100"/>
      <c r="AF43" s="100"/>
      <c r="AG43" s="100"/>
      <c r="AH43" s="101"/>
    </row>
    <row r="44" spans="2:34" ht="18" customHeight="1" x14ac:dyDescent="0.2">
      <c r="J44" s="1151">
        <v>3</v>
      </c>
      <c r="K44" s="1149" t="s">
        <v>435</v>
      </c>
      <c r="L44" s="1159"/>
      <c r="M44" s="1159"/>
      <c r="N44" s="1159"/>
      <c r="O44" s="1159"/>
      <c r="P44" s="1159"/>
      <c r="Q44" s="1159"/>
      <c r="R44" s="1157">
        <v>10</v>
      </c>
      <c r="S44" s="1159"/>
      <c r="T44" s="1159"/>
      <c r="U44" s="1159"/>
      <c r="V44" s="1168"/>
    </row>
    <row r="45" spans="2:34" ht="18" customHeight="1" x14ac:dyDescent="0.2">
      <c r="J45" s="1152"/>
      <c r="K45" s="1150"/>
      <c r="L45" s="1160"/>
      <c r="M45" s="1160"/>
      <c r="N45" s="1160"/>
      <c r="O45" s="1160"/>
      <c r="P45" s="1160"/>
      <c r="Q45" s="1160"/>
      <c r="R45" s="1158"/>
      <c r="S45" s="1160"/>
      <c r="T45" s="1160"/>
      <c r="U45" s="1160"/>
      <c r="V45" s="1169"/>
    </row>
    <row r="46" spans="2:34" ht="20" x14ac:dyDescent="0.25">
      <c r="J46" s="291">
        <v>4</v>
      </c>
      <c r="K46" s="245" t="s">
        <v>472</v>
      </c>
      <c r="L46" s="228"/>
      <c r="M46" s="223"/>
      <c r="N46" s="228"/>
      <c r="O46" s="228"/>
      <c r="P46" s="223"/>
      <c r="Q46" s="223"/>
      <c r="R46" s="245">
        <v>2</v>
      </c>
      <c r="S46" s="228"/>
      <c r="T46" s="228">
        <v>22.54</v>
      </c>
      <c r="U46" s="228"/>
      <c r="V46" s="292"/>
    </row>
    <row r="47" spans="2:34" ht="20" x14ac:dyDescent="0.25">
      <c r="J47" s="239">
        <v>5</v>
      </c>
      <c r="K47" s="241" t="s">
        <v>473</v>
      </c>
      <c r="L47" s="228"/>
      <c r="M47" s="223"/>
      <c r="N47" s="228"/>
      <c r="O47" s="228"/>
      <c r="P47" s="223"/>
      <c r="Q47" s="223"/>
      <c r="R47" s="241"/>
      <c r="S47" s="223">
        <v>60</v>
      </c>
      <c r="T47" s="223"/>
      <c r="U47" s="223"/>
      <c r="V47" s="244"/>
    </row>
    <row r="48" spans="2:34" ht="18" customHeight="1" x14ac:dyDescent="0.2">
      <c r="J48" s="1151">
        <v>6</v>
      </c>
      <c r="K48" s="1149" t="s">
        <v>474</v>
      </c>
      <c r="L48" s="1159"/>
      <c r="M48" s="1159"/>
      <c r="N48" s="1159"/>
      <c r="O48" s="1159"/>
      <c r="P48" s="1159"/>
      <c r="Q48" s="1159"/>
      <c r="R48" s="1157">
        <v>15</v>
      </c>
      <c r="S48" s="1159"/>
      <c r="T48" s="1170">
        <v>5.32</v>
      </c>
      <c r="U48" s="1159"/>
      <c r="V48" s="1172"/>
    </row>
    <row r="49" spans="10:22" ht="18" customHeight="1" x14ac:dyDescent="0.2">
      <c r="J49" s="1152"/>
      <c r="K49" s="1150"/>
      <c r="L49" s="1160"/>
      <c r="M49" s="1160"/>
      <c r="N49" s="1160"/>
      <c r="O49" s="1160"/>
      <c r="P49" s="1160"/>
      <c r="Q49" s="1160"/>
      <c r="R49" s="1158"/>
      <c r="S49" s="1160"/>
      <c r="T49" s="1171"/>
      <c r="U49" s="1160"/>
      <c r="V49" s="1173"/>
    </row>
    <row r="50" spans="10:22" ht="20" x14ac:dyDescent="0.25">
      <c r="J50" s="291">
        <v>7</v>
      </c>
      <c r="K50" s="245" t="s">
        <v>475</v>
      </c>
      <c r="L50" s="228"/>
      <c r="M50" s="228"/>
      <c r="N50" s="228"/>
      <c r="O50" s="228"/>
      <c r="P50" s="228"/>
      <c r="Q50" s="228"/>
      <c r="R50" s="245"/>
      <c r="S50" s="228">
        <v>45</v>
      </c>
      <c r="T50" s="228"/>
      <c r="U50" s="228"/>
      <c r="V50" s="292"/>
    </row>
    <row r="51" spans="10:22" ht="19" x14ac:dyDescent="0.25">
      <c r="J51" s="231">
        <v>8</v>
      </c>
      <c r="K51" s="227" t="s">
        <v>476</v>
      </c>
      <c r="L51" s="228"/>
      <c r="M51" s="223"/>
      <c r="N51" s="228"/>
      <c r="O51" s="228"/>
      <c r="P51" s="223"/>
      <c r="Q51" s="223"/>
      <c r="R51" s="228">
        <v>15</v>
      </c>
      <c r="S51" s="228"/>
      <c r="T51" s="228">
        <v>4.55</v>
      </c>
      <c r="U51" s="227"/>
      <c r="V51" s="230"/>
    </row>
    <row r="52" spans="10:22" ht="19" x14ac:dyDescent="0.25">
      <c r="J52" s="231">
        <v>9</v>
      </c>
      <c r="K52" s="227" t="s">
        <v>477</v>
      </c>
      <c r="L52" s="228"/>
      <c r="M52" s="223"/>
      <c r="N52" s="228"/>
      <c r="O52" s="228"/>
      <c r="P52" s="223"/>
      <c r="Q52" s="223"/>
      <c r="R52" s="228"/>
      <c r="S52" s="228">
        <v>45</v>
      </c>
      <c r="T52" s="228"/>
      <c r="U52" s="227"/>
      <c r="V52" s="230"/>
    </row>
    <row r="53" spans="10:22" ht="20" x14ac:dyDescent="0.25">
      <c r="J53" s="238">
        <v>10</v>
      </c>
      <c r="K53" s="240" t="s">
        <v>478</v>
      </c>
      <c r="L53" s="242"/>
      <c r="M53" s="242"/>
      <c r="N53" s="242"/>
      <c r="O53" s="242"/>
      <c r="P53" s="242"/>
      <c r="Q53" s="242"/>
      <c r="R53" s="242">
        <v>15</v>
      </c>
      <c r="S53" s="242"/>
      <c r="T53" s="242">
        <v>3.31</v>
      </c>
      <c r="U53" s="242"/>
      <c r="V53" s="243"/>
    </row>
    <row r="54" spans="10:22" ht="20" x14ac:dyDescent="0.25">
      <c r="J54" s="291">
        <v>11</v>
      </c>
      <c r="K54" s="245" t="s">
        <v>479</v>
      </c>
      <c r="L54" s="228"/>
      <c r="M54" s="228"/>
      <c r="N54" s="228"/>
      <c r="O54" s="228"/>
      <c r="P54" s="228"/>
      <c r="Q54" s="228"/>
      <c r="R54" s="228"/>
      <c r="S54" s="228">
        <v>51.5</v>
      </c>
      <c r="T54" s="228"/>
      <c r="U54" s="228"/>
      <c r="V54" s="292"/>
    </row>
    <row r="55" spans="10:22" ht="20" x14ac:dyDescent="0.25">
      <c r="J55" s="291">
        <v>12</v>
      </c>
      <c r="K55" s="245" t="s">
        <v>480</v>
      </c>
      <c r="L55" s="228"/>
      <c r="M55" s="228"/>
      <c r="N55" s="228"/>
      <c r="O55" s="228"/>
      <c r="P55" s="228"/>
      <c r="Q55" s="228"/>
      <c r="R55" s="321">
        <v>10</v>
      </c>
      <c r="S55" s="228"/>
      <c r="T55" s="228">
        <v>3.45</v>
      </c>
      <c r="U55" s="228"/>
      <c r="V55" s="292"/>
    </row>
    <row r="56" spans="10:22" ht="23" customHeight="1" x14ac:dyDescent="0.25">
      <c r="J56" s="291">
        <v>13</v>
      </c>
      <c r="K56" s="245" t="s">
        <v>481</v>
      </c>
      <c r="L56" s="228"/>
      <c r="M56" s="228"/>
      <c r="N56" s="228"/>
      <c r="O56" s="228"/>
      <c r="P56" s="228"/>
      <c r="Q56" s="228"/>
      <c r="R56" s="228"/>
      <c r="S56" s="228">
        <v>30</v>
      </c>
      <c r="T56" s="228"/>
      <c r="U56" s="228"/>
      <c r="V56" s="292"/>
    </row>
    <row r="57" spans="10:22" ht="23" customHeight="1" x14ac:dyDescent="0.25">
      <c r="J57" s="291">
        <v>14</v>
      </c>
      <c r="K57" s="245" t="s">
        <v>482</v>
      </c>
      <c r="L57" s="228"/>
      <c r="M57" s="228"/>
      <c r="N57" s="228"/>
      <c r="O57" s="228"/>
      <c r="P57" s="228"/>
      <c r="Q57" s="228"/>
      <c r="R57" s="228">
        <v>10</v>
      </c>
      <c r="S57" s="228"/>
      <c r="T57" s="228"/>
      <c r="U57" s="228"/>
      <c r="V57" s="292"/>
    </row>
    <row r="58" spans="10:22" ht="21.75" customHeight="1" x14ac:dyDescent="0.25">
      <c r="J58" s="291">
        <v>15</v>
      </c>
      <c r="K58" s="245" t="s">
        <v>483</v>
      </c>
      <c r="L58" s="228"/>
      <c r="M58" s="228"/>
      <c r="N58" s="228"/>
      <c r="O58" s="228"/>
      <c r="P58" s="228"/>
      <c r="Q58" s="228"/>
      <c r="R58" s="228">
        <v>10</v>
      </c>
      <c r="S58" s="228"/>
      <c r="T58" s="228">
        <v>3.49</v>
      </c>
      <c r="U58" s="228"/>
      <c r="V58" s="292"/>
    </row>
    <row r="59" spans="10:22" ht="20" x14ac:dyDescent="0.25">
      <c r="J59" s="291">
        <v>16</v>
      </c>
      <c r="K59" s="245" t="s">
        <v>484</v>
      </c>
      <c r="L59" s="228"/>
      <c r="M59" s="228"/>
      <c r="N59" s="228"/>
      <c r="O59" s="228"/>
      <c r="P59" s="228"/>
      <c r="Q59" s="228"/>
      <c r="R59" s="228"/>
      <c r="S59" s="228">
        <v>22.5</v>
      </c>
      <c r="T59" s="228"/>
      <c r="U59" s="228"/>
      <c r="V59" s="292"/>
    </row>
    <row r="60" spans="10:22" ht="20" x14ac:dyDescent="0.25">
      <c r="J60" s="291">
        <v>17</v>
      </c>
      <c r="K60" s="245" t="s">
        <v>485</v>
      </c>
      <c r="L60" s="228"/>
      <c r="M60" s="228"/>
      <c r="N60" s="228"/>
      <c r="O60" s="228"/>
      <c r="P60" s="228"/>
      <c r="Q60" s="228"/>
      <c r="R60" s="321">
        <v>10</v>
      </c>
      <c r="S60" s="228"/>
      <c r="T60" s="228">
        <v>6.67</v>
      </c>
      <c r="U60" s="228"/>
      <c r="V60" s="292"/>
    </row>
    <row r="61" spans="10:22" ht="20" x14ac:dyDescent="0.25">
      <c r="J61" s="238">
        <v>18</v>
      </c>
      <c r="K61" s="240" t="s">
        <v>486</v>
      </c>
      <c r="L61" s="242"/>
      <c r="M61" s="242"/>
      <c r="N61" s="242"/>
      <c r="O61" s="242"/>
      <c r="P61" s="242"/>
      <c r="Q61" s="242"/>
      <c r="R61" s="242"/>
      <c r="S61" s="242">
        <v>51.5</v>
      </c>
      <c r="T61" s="242"/>
      <c r="U61" s="242"/>
      <c r="V61" s="243"/>
    </row>
    <row r="62" spans="10:22" ht="21" thickBot="1" x14ac:dyDescent="0.3">
      <c r="J62" s="293">
        <v>19</v>
      </c>
      <c r="K62" s="294" t="s">
        <v>452</v>
      </c>
      <c r="L62" s="232"/>
      <c r="M62" s="232"/>
      <c r="N62" s="232"/>
      <c r="O62" s="232"/>
      <c r="P62" s="232"/>
      <c r="Q62" s="232"/>
      <c r="R62" s="232">
        <v>10</v>
      </c>
      <c r="S62" s="232"/>
      <c r="T62" s="232"/>
      <c r="U62" s="232"/>
      <c r="V62" s="295"/>
    </row>
    <row r="63" spans="10:22" ht="20" thickBot="1" x14ac:dyDescent="0.25">
      <c r="J63" s="297"/>
    </row>
    <row r="64" spans="10:22" ht="20" thickBot="1" x14ac:dyDescent="0.3">
      <c r="J64" s="222" t="s">
        <v>456</v>
      </c>
      <c r="K64" s="234"/>
      <c r="L64" s="235"/>
      <c r="M64" s="235"/>
      <c r="N64" s="235"/>
      <c r="O64" s="235"/>
      <c r="P64" s="235"/>
      <c r="Q64" s="235"/>
      <c r="R64" s="235"/>
      <c r="S64" s="236">
        <f>SUM(S42:S62)</f>
        <v>305.5</v>
      </c>
      <c r="T64" s="219"/>
      <c r="U64" s="219"/>
      <c r="V64" s="290"/>
    </row>
    <row r="65" spans="10:22" ht="20" thickBot="1" x14ac:dyDescent="0.3">
      <c r="J65" s="233" t="s">
        <v>459</v>
      </c>
      <c r="K65" s="234"/>
      <c r="L65" s="235"/>
      <c r="M65" s="235"/>
      <c r="N65" s="235"/>
      <c r="O65" s="235"/>
      <c r="P65" s="235"/>
      <c r="Q65" s="235"/>
      <c r="R65" s="236">
        <f>SUM(R42:R62)</f>
        <v>122</v>
      </c>
      <c r="S65" s="219"/>
      <c r="T65" s="219"/>
      <c r="U65" s="219"/>
      <c r="V65" s="219"/>
    </row>
    <row r="66" spans="10:22" ht="20" thickBot="1" x14ac:dyDescent="0.3">
      <c r="J66" s="233" t="s">
        <v>487</v>
      </c>
      <c r="K66" s="16"/>
      <c r="L66" s="16"/>
      <c r="M66" s="16"/>
      <c r="N66" s="16"/>
      <c r="O66" s="16"/>
      <c r="P66" s="16"/>
      <c r="Q66" s="17">
        <f>SUM(S64+R65)</f>
        <v>427.5</v>
      </c>
      <c r="S66" s="219"/>
      <c r="T66" s="219"/>
      <c r="U66" s="219"/>
      <c r="V66" s="219"/>
    </row>
    <row r="70" spans="10:22" ht="29" x14ac:dyDescent="0.35">
      <c r="J70" s="1153" t="s">
        <v>488</v>
      </c>
      <c r="K70" s="1153"/>
      <c r="L70" s="219"/>
      <c r="M70" s="219"/>
      <c r="N70" s="219"/>
      <c r="O70" s="219"/>
      <c r="P70" s="219"/>
      <c r="Q70" s="219"/>
      <c r="R70" s="219"/>
      <c r="S70" s="219"/>
      <c r="T70" s="219"/>
      <c r="U70" s="219"/>
      <c r="V70" s="219"/>
    </row>
    <row r="71" spans="10:22" ht="20" thickBot="1" x14ac:dyDescent="0.3">
      <c r="J71" s="219"/>
      <c r="K71" s="219"/>
      <c r="L71" s="219"/>
      <c r="M71" s="219"/>
      <c r="N71" s="219"/>
      <c r="O71" s="219"/>
      <c r="P71" s="219"/>
      <c r="Q71" s="219"/>
      <c r="R71" s="219"/>
      <c r="S71" s="219"/>
      <c r="T71" s="219"/>
      <c r="U71" s="219"/>
      <c r="V71" s="219"/>
    </row>
    <row r="72" spans="10:22" ht="19" x14ac:dyDescent="0.25">
      <c r="J72" s="220" t="s">
        <v>397</v>
      </c>
      <c r="K72" s="1154" t="s">
        <v>398</v>
      </c>
      <c r="L72" s="1155"/>
      <c r="M72" s="1155"/>
      <c r="N72" s="1155"/>
      <c r="O72" s="1155"/>
      <c r="P72" s="1155"/>
      <c r="Q72" s="1155"/>
      <c r="R72" s="1155"/>
      <c r="S72" s="1155"/>
      <c r="T72" s="1155"/>
      <c r="U72" s="1155"/>
      <c r="V72" s="1156"/>
    </row>
    <row r="73" spans="10:22" ht="19" x14ac:dyDescent="0.25">
      <c r="J73" s="221" t="s">
        <v>400</v>
      </c>
      <c r="K73" s="1162" t="s">
        <v>489</v>
      </c>
      <c r="L73" s="1163"/>
      <c r="M73" s="1163"/>
      <c r="N73" s="1163"/>
      <c r="O73" s="1163"/>
      <c r="P73" s="1163"/>
      <c r="Q73" s="1163"/>
      <c r="R73" s="1163"/>
      <c r="S73" s="1163"/>
      <c r="T73" s="1163"/>
      <c r="U73" s="1163"/>
      <c r="V73" s="1164"/>
    </row>
    <row r="74" spans="10:22" ht="19" x14ac:dyDescent="0.25">
      <c r="J74" s="221" t="s">
        <v>402</v>
      </c>
      <c r="K74" s="1162" t="s">
        <v>403</v>
      </c>
      <c r="L74" s="1163"/>
      <c r="M74" s="1163"/>
      <c r="N74" s="1163"/>
      <c r="O74" s="1163"/>
      <c r="P74" s="1163"/>
      <c r="Q74" s="1163"/>
      <c r="R74" s="1163"/>
      <c r="S74" s="1163"/>
      <c r="T74" s="1163"/>
      <c r="U74" s="1163"/>
      <c r="V74" s="1164"/>
    </row>
    <row r="75" spans="10:22" ht="19" x14ac:dyDescent="0.25">
      <c r="J75" s="221" t="s">
        <v>409</v>
      </c>
      <c r="K75" s="1165"/>
      <c r="L75" s="1166"/>
      <c r="M75" s="1166"/>
      <c r="N75" s="1166"/>
      <c r="O75" s="1166"/>
      <c r="P75" s="1166"/>
      <c r="Q75" s="1166"/>
      <c r="R75" s="1166"/>
      <c r="S75" s="1166"/>
      <c r="T75" s="1166"/>
      <c r="U75" s="1166"/>
      <c r="V75" s="1167"/>
    </row>
    <row r="76" spans="10:22" ht="20" thickBot="1" x14ac:dyDescent="0.3">
      <c r="J76" s="222" t="s">
        <v>411</v>
      </c>
      <c r="K76" s="1146"/>
      <c r="L76" s="1147"/>
      <c r="M76" s="1147"/>
      <c r="N76" s="1147"/>
      <c r="O76" s="1147"/>
      <c r="P76" s="1147"/>
      <c r="Q76" s="1147"/>
      <c r="R76" s="1147"/>
      <c r="S76" s="1147"/>
      <c r="T76" s="1147"/>
      <c r="U76" s="1147"/>
      <c r="V76" s="1148"/>
    </row>
    <row r="77" spans="10:22" ht="19" x14ac:dyDescent="0.25">
      <c r="J77" s="237"/>
      <c r="K77" s="219"/>
      <c r="L77" s="219"/>
      <c r="M77" s="219"/>
      <c r="N77" s="219"/>
      <c r="O77" s="219"/>
      <c r="P77" s="219"/>
      <c r="Q77" s="219"/>
      <c r="R77" s="219"/>
      <c r="S77" s="219"/>
      <c r="T77" s="219"/>
      <c r="U77" s="219"/>
      <c r="V77" s="237"/>
    </row>
    <row r="78" spans="10:22" ht="20" thickBot="1" x14ac:dyDescent="0.3">
      <c r="J78" s="219"/>
      <c r="K78" s="219"/>
      <c r="L78" s="219"/>
      <c r="M78" s="219"/>
      <c r="N78" s="219"/>
      <c r="O78" s="219"/>
      <c r="P78" s="219"/>
      <c r="Q78" s="219"/>
      <c r="R78" s="219"/>
      <c r="S78" s="219"/>
      <c r="T78" s="219"/>
      <c r="U78" s="219"/>
      <c r="V78" s="219"/>
    </row>
    <row r="79" spans="10:22" ht="30" thickBot="1" x14ac:dyDescent="0.3">
      <c r="J79" s="778"/>
      <c r="K79" s="779" t="s">
        <v>417</v>
      </c>
      <c r="L79" s="780" t="s">
        <v>418</v>
      </c>
      <c r="M79" s="780" t="s">
        <v>419</v>
      </c>
      <c r="N79" s="780" t="s">
        <v>420</v>
      </c>
      <c r="O79" s="780" t="s">
        <v>421</v>
      </c>
      <c r="P79" s="780" t="s">
        <v>422</v>
      </c>
      <c r="Q79" s="780" t="s">
        <v>111</v>
      </c>
      <c r="R79" s="780" t="s">
        <v>423</v>
      </c>
      <c r="S79" s="780" t="s">
        <v>424</v>
      </c>
      <c r="T79" s="780" t="s">
        <v>425</v>
      </c>
      <c r="U79" s="780" t="s">
        <v>426</v>
      </c>
      <c r="V79" s="781" t="s">
        <v>427</v>
      </c>
    </row>
    <row r="80" spans="10:22" ht="20" thickBot="1" x14ac:dyDescent="0.3">
      <c r="J80" s="771" t="s">
        <v>429</v>
      </c>
      <c r="K80" s="772"/>
      <c r="L80" s="773"/>
      <c r="M80" s="773"/>
      <c r="N80" s="773"/>
      <c r="O80" s="773"/>
      <c r="P80" s="773"/>
      <c r="Q80" s="773"/>
      <c r="R80" s="774" t="s">
        <v>430</v>
      </c>
      <c r="S80" s="775"/>
      <c r="T80" s="776" t="s">
        <v>431</v>
      </c>
      <c r="U80" s="774"/>
      <c r="V80" s="777"/>
    </row>
    <row r="81" spans="10:22" ht="19" x14ac:dyDescent="0.25">
      <c r="J81" s="226">
        <v>1</v>
      </c>
      <c r="K81" s="227" t="s">
        <v>432</v>
      </c>
      <c r="L81" s="223"/>
      <c r="M81" s="223"/>
      <c r="N81" s="223"/>
      <c r="O81" s="223"/>
      <c r="P81" s="223"/>
      <c r="Q81" s="223"/>
      <c r="R81" s="223">
        <v>10</v>
      </c>
      <c r="S81" s="223"/>
      <c r="T81" s="228"/>
      <c r="U81" s="229" t="s">
        <v>182</v>
      </c>
      <c r="V81" s="230" t="s">
        <v>469</v>
      </c>
    </row>
    <row r="82" spans="10:22" ht="18" customHeight="1" x14ac:dyDescent="0.2">
      <c r="J82" s="1151">
        <v>2</v>
      </c>
      <c r="K82" s="1149" t="s">
        <v>435</v>
      </c>
      <c r="L82" s="1159"/>
      <c r="M82" s="1159"/>
      <c r="N82" s="1159"/>
      <c r="O82" s="1159"/>
      <c r="P82" s="1159"/>
      <c r="Q82" s="1159"/>
      <c r="R82" s="1157">
        <v>10</v>
      </c>
      <c r="S82" s="1159"/>
      <c r="T82" s="1159"/>
      <c r="U82" s="1159"/>
      <c r="V82" s="1168"/>
    </row>
    <row r="83" spans="10:22" ht="18" customHeight="1" x14ac:dyDescent="0.2">
      <c r="J83" s="1152"/>
      <c r="K83" s="1150"/>
      <c r="L83" s="1160"/>
      <c r="M83" s="1160"/>
      <c r="N83" s="1160"/>
      <c r="O83" s="1160"/>
      <c r="P83" s="1160"/>
      <c r="Q83" s="1160"/>
      <c r="R83" s="1158"/>
      <c r="S83" s="1160"/>
      <c r="T83" s="1160"/>
      <c r="U83" s="1160"/>
      <c r="V83" s="1169"/>
    </row>
    <row r="84" spans="10:22" ht="20" customHeight="1" x14ac:dyDescent="0.25">
      <c r="J84" s="291">
        <v>3</v>
      </c>
      <c r="K84" s="245" t="s">
        <v>490</v>
      </c>
      <c r="L84" s="228"/>
      <c r="M84" s="223"/>
      <c r="N84" s="228"/>
      <c r="O84" s="228"/>
      <c r="P84" s="223"/>
      <c r="Q84" s="223"/>
      <c r="R84" s="245">
        <v>10</v>
      </c>
      <c r="S84" s="228"/>
      <c r="T84" s="228">
        <v>71.23</v>
      </c>
      <c r="U84" s="228"/>
      <c r="V84" s="292"/>
    </row>
    <row r="85" spans="10:22" ht="20" x14ac:dyDescent="0.25">
      <c r="J85" s="239">
        <v>4</v>
      </c>
      <c r="K85" s="241" t="s">
        <v>491</v>
      </c>
      <c r="L85" s="228"/>
      <c r="M85" s="223"/>
      <c r="N85" s="228"/>
      <c r="O85" s="228"/>
      <c r="P85" s="223"/>
      <c r="Q85" s="223"/>
      <c r="R85" s="241"/>
      <c r="S85" s="223">
        <v>12.5</v>
      </c>
      <c r="T85" s="223"/>
      <c r="U85" s="223"/>
      <c r="V85" s="244"/>
    </row>
    <row r="86" spans="10:22" ht="21" thickBot="1" x14ac:dyDescent="0.3">
      <c r="J86" s="293">
        <v>5</v>
      </c>
      <c r="K86" s="294" t="s">
        <v>452</v>
      </c>
      <c r="L86" s="232"/>
      <c r="M86" s="232"/>
      <c r="N86" s="232"/>
      <c r="O86" s="232"/>
      <c r="P86" s="232"/>
      <c r="Q86" s="232"/>
      <c r="R86" s="232">
        <v>10</v>
      </c>
      <c r="S86" s="232"/>
      <c r="T86" s="232"/>
      <c r="U86" s="232"/>
      <c r="V86" s="295"/>
    </row>
    <row r="87" spans="10:22" ht="16" thickBot="1" x14ac:dyDescent="0.25"/>
    <row r="88" spans="10:22" ht="20" thickBot="1" x14ac:dyDescent="0.3">
      <c r="J88" s="233" t="s">
        <v>456</v>
      </c>
      <c r="K88" s="234"/>
      <c r="L88" s="235"/>
      <c r="M88" s="235"/>
      <c r="N88" s="235"/>
      <c r="O88" s="235"/>
      <c r="P88" s="235"/>
      <c r="Q88" s="235"/>
      <c r="R88" s="235"/>
      <c r="S88" s="236">
        <f>SUM(S81:S86)</f>
        <v>12.5</v>
      </c>
      <c r="T88" s="219"/>
      <c r="U88" s="219"/>
      <c r="V88" s="290"/>
    </row>
    <row r="89" spans="10:22" ht="20" thickBot="1" x14ac:dyDescent="0.3">
      <c r="J89" s="233" t="s">
        <v>459</v>
      </c>
      <c r="K89" s="234"/>
      <c r="L89" s="235"/>
      <c r="M89" s="235"/>
      <c r="N89" s="235"/>
      <c r="O89" s="235"/>
      <c r="P89" s="235"/>
      <c r="Q89" s="235"/>
      <c r="R89" s="236">
        <f>SUM(R81:R86)</f>
        <v>40</v>
      </c>
      <c r="S89" s="219"/>
      <c r="T89" s="219"/>
      <c r="U89" s="219"/>
      <c r="V89" s="219"/>
    </row>
    <row r="90" spans="10:22" ht="20" thickBot="1" x14ac:dyDescent="0.3">
      <c r="J90" s="233" t="s">
        <v>460</v>
      </c>
      <c r="K90" s="327"/>
      <c r="L90" s="327"/>
      <c r="M90" s="327"/>
      <c r="N90" s="327"/>
      <c r="O90" s="327"/>
      <c r="P90" s="327"/>
      <c r="Q90" s="328">
        <f>SUM(S88+R89)</f>
        <v>52.5</v>
      </c>
      <c r="S90" s="219"/>
      <c r="T90" s="219"/>
      <c r="U90" s="219"/>
      <c r="V90" s="219"/>
    </row>
  </sheetData>
  <mergeCells count="75">
    <mergeCell ref="J82:J83"/>
    <mergeCell ref="K82:K83"/>
    <mergeCell ref="B14:E14"/>
    <mergeCell ref="B31:E31"/>
    <mergeCell ref="K48:K49"/>
    <mergeCell ref="J48:J49"/>
    <mergeCell ref="J44:J45"/>
    <mergeCell ref="K72:V72"/>
    <mergeCell ref="K73:V73"/>
    <mergeCell ref="K74:V74"/>
    <mergeCell ref="K75:V75"/>
    <mergeCell ref="K76:V76"/>
    <mergeCell ref="L82:L83"/>
    <mergeCell ref="M82:M83"/>
    <mergeCell ref="N82:N83"/>
    <mergeCell ref="O82:O83"/>
    <mergeCell ref="U14:U15"/>
    <mergeCell ref="V14:V15"/>
    <mergeCell ref="Q14:Q15"/>
    <mergeCell ref="T48:T49"/>
    <mergeCell ref="U48:U49"/>
    <mergeCell ref="V48:V49"/>
    <mergeCell ref="R44:R45"/>
    <mergeCell ref="S44:S45"/>
    <mergeCell ref="T44:T45"/>
    <mergeCell ref="V44:V45"/>
    <mergeCell ref="U44:U45"/>
    <mergeCell ref="K34:V34"/>
    <mergeCell ref="K35:V35"/>
    <mergeCell ref="K36:V36"/>
    <mergeCell ref="P48:P49"/>
    <mergeCell ref="Q48:Q49"/>
    <mergeCell ref="U82:U83"/>
    <mergeCell ref="V82:V83"/>
    <mergeCell ref="P82:P83"/>
    <mergeCell ref="Q82:Q83"/>
    <mergeCell ref="R82:R83"/>
    <mergeCell ref="S82:S83"/>
    <mergeCell ref="T82:T83"/>
    <mergeCell ref="R48:R49"/>
    <mergeCell ref="S48:S49"/>
    <mergeCell ref="K37:V37"/>
    <mergeCell ref="P44:P45"/>
    <mergeCell ref="Q44:Q45"/>
    <mergeCell ref="K44:K45"/>
    <mergeCell ref="L44:L45"/>
    <mergeCell ref="M44:M45"/>
    <mergeCell ref="N44:N45"/>
    <mergeCell ref="O44:O45"/>
    <mergeCell ref="J70:K70"/>
    <mergeCell ref="L48:L49"/>
    <mergeCell ref="M48:M49"/>
    <mergeCell ref="N48:N49"/>
    <mergeCell ref="O48:O49"/>
    <mergeCell ref="J2:K2"/>
    <mergeCell ref="K4:V4"/>
    <mergeCell ref="K5:V5"/>
    <mergeCell ref="K6:V6"/>
    <mergeCell ref="K7:V7"/>
    <mergeCell ref="K8:V8"/>
    <mergeCell ref="K14:K15"/>
    <mergeCell ref="J14:J15"/>
    <mergeCell ref="J31:K31"/>
    <mergeCell ref="K33:V33"/>
    <mergeCell ref="R14:R15"/>
    <mergeCell ref="S14:S15"/>
    <mergeCell ref="T14:T15"/>
    <mergeCell ref="V29:V30"/>
    <mergeCell ref="T29:T30"/>
    <mergeCell ref="U29:U30"/>
    <mergeCell ref="O14:O15"/>
    <mergeCell ref="N14:N15"/>
    <mergeCell ref="M14:M15"/>
    <mergeCell ref="L14:L15"/>
    <mergeCell ref="P14:P1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D8CA-8195-4AA6-8E4A-8B769A8D70CA}">
  <dimension ref="A2:BS83"/>
  <sheetViews>
    <sheetView topLeftCell="A48" zoomScale="55" zoomScaleNormal="55" workbookViewId="0">
      <selection activeCell="A10" sqref="A10"/>
    </sheetView>
  </sheetViews>
  <sheetFormatPr baseColWidth="10" defaultColWidth="8.83203125" defaultRowHeight="15" x14ac:dyDescent="0.2"/>
  <cols>
    <col min="1" max="1" width="43.6640625" customWidth="1"/>
    <col min="2" max="2" width="36.33203125" customWidth="1"/>
    <col min="3" max="3" width="33.33203125" bestFit="1" customWidth="1"/>
    <col min="4" max="5" width="33.33203125" customWidth="1"/>
    <col min="6" max="6" width="13.83203125" customWidth="1"/>
    <col min="7" max="7" width="14.83203125" customWidth="1"/>
    <col min="8" max="8" width="12.5" bestFit="1" customWidth="1"/>
    <col min="9" max="9" width="31" bestFit="1" customWidth="1"/>
    <col min="10" max="10" width="11.6640625" customWidth="1"/>
    <col min="11" max="11" width="13" customWidth="1"/>
    <col min="12" max="12" width="12.5" customWidth="1"/>
    <col min="13" max="13" width="11.5" customWidth="1"/>
    <col min="14" max="14" width="15" customWidth="1"/>
    <col min="15" max="15" width="13.6640625" customWidth="1"/>
    <col min="16" max="16" width="15.33203125" customWidth="1"/>
    <col min="17" max="17" width="12.83203125" customWidth="1"/>
    <col min="18" max="18" width="14" customWidth="1"/>
    <col min="21" max="21" width="8.5" customWidth="1"/>
    <col min="22" max="22" width="9" customWidth="1"/>
    <col min="23" max="23" width="11.1640625" customWidth="1"/>
    <col min="24" max="24" width="15.6640625" customWidth="1"/>
    <col min="25" max="25" width="13.1640625" customWidth="1"/>
    <col min="26" max="26" width="17.5" customWidth="1"/>
    <col min="27" max="27" width="15.6640625" customWidth="1"/>
    <col min="28" max="28" width="12.83203125" customWidth="1"/>
    <col min="37" max="37" width="8.6640625" customWidth="1"/>
    <col min="38" max="38" width="10" customWidth="1"/>
    <col min="71" max="71" width="30.6640625" customWidth="1"/>
  </cols>
  <sheetData>
    <row r="2" spans="1:18" ht="26" x14ac:dyDescent="0.3">
      <c r="A2" s="572" t="s">
        <v>492</v>
      </c>
    </row>
    <row r="3" spans="1:18" ht="47.5" customHeight="1" x14ac:dyDescent="0.2">
      <c r="A3" s="805" t="s">
        <v>493</v>
      </c>
      <c r="B3" s="805" t="s">
        <v>494</v>
      </c>
      <c r="C3" s="805" t="s">
        <v>495</v>
      </c>
      <c r="D3" s="805" t="s">
        <v>496</v>
      </c>
      <c r="E3" s="805" t="s">
        <v>497</v>
      </c>
      <c r="F3" s="805" t="s">
        <v>498</v>
      </c>
      <c r="G3" s="805" t="s">
        <v>499</v>
      </c>
      <c r="H3" s="805" t="s">
        <v>500</v>
      </c>
      <c r="I3" s="805" t="s">
        <v>501</v>
      </c>
      <c r="K3" s="831"/>
      <c r="L3" s="831"/>
      <c r="M3" s="831"/>
      <c r="N3" s="831"/>
      <c r="O3" s="831"/>
      <c r="P3" s="831"/>
      <c r="Q3" s="831"/>
      <c r="R3" s="831"/>
    </row>
    <row r="4" spans="1:18" ht="43.25" customHeight="1" x14ac:dyDescent="0.2">
      <c r="A4" s="63" t="s">
        <v>502</v>
      </c>
      <c r="B4" s="63" t="s">
        <v>503</v>
      </c>
      <c r="C4" s="63" t="s">
        <v>504</v>
      </c>
      <c r="D4" s="63" t="s">
        <v>505</v>
      </c>
      <c r="E4" s="63" t="s">
        <v>506</v>
      </c>
      <c r="F4" s="63" t="s">
        <v>507</v>
      </c>
      <c r="G4" s="63" t="s">
        <v>508</v>
      </c>
      <c r="H4" s="63" t="s">
        <v>509</v>
      </c>
      <c r="I4" s="334">
        <v>15000</v>
      </c>
      <c r="J4" s="806"/>
      <c r="K4" s="827"/>
      <c r="L4" s="827"/>
      <c r="M4" s="827"/>
      <c r="N4" s="827"/>
      <c r="O4" s="827"/>
      <c r="P4" s="827"/>
      <c r="Q4" s="827"/>
      <c r="R4" s="827"/>
    </row>
    <row r="5" spans="1:18" ht="49.25" customHeight="1" x14ac:dyDescent="0.2">
      <c r="A5" s="109" t="s">
        <v>510</v>
      </c>
      <c r="B5" s="109" t="s">
        <v>503</v>
      </c>
      <c r="C5" s="109" t="s">
        <v>511</v>
      </c>
      <c r="D5" s="109" t="s">
        <v>512</v>
      </c>
      <c r="E5" s="109" t="s">
        <v>513</v>
      </c>
      <c r="F5" s="109" t="s">
        <v>514</v>
      </c>
      <c r="G5" s="109" t="s">
        <v>515</v>
      </c>
      <c r="H5" s="109" t="s">
        <v>516</v>
      </c>
      <c r="I5" s="339">
        <v>10000</v>
      </c>
      <c r="K5" s="827"/>
      <c r="L5" s="827"/>
      <c r="M5" s="827"/>
      <c r="N5" s="827"/>
      <c r="O5" s="827"/>
      <c r="P5" s="827"/>
      <c r="Q5" s="827"/>
      <c r="R5" s="827"/>
    </row>
    <row r="6" spans="1:18" ht="43.25" customHeight="1" x14ac:dyDescent="0.2">
      <c r="A6" s="63" t="s">
        <v>517</v>
      </c>
      <c r="B6" s="63" t="s">
        <v>503</v>
      </c>
      <c r="C6" s="63" t="s">
        <v>518</v>
      </c>
      <c r="D6" s="63" t="s">
        <v>519</v>
      </c>
      <c r="E6" s="63" t="s">
        <v>520</v>
      </c>
      <c r="F6" s="63" t="s">
        <v>521</v>
      </c>
      <c r="G6" s="63" t="s">
        <v>522</v>
      </c>
      <c r="H6" s="63" t="s">
        <v>523</v>
      </c>
      <c r="I6" s="334">
        <v>8000</v>
      </c>
      <c r="K6" s="827"/>
      <c r="L6" s="827"/>
      <c r="M6" s="827"/>
      <c r="N6" s="827"/>
      <c r="O6" s="827"/>
      <c r="P6" s="827"/>
      <c r="Q6" s="827"/>
      <c r="R6" s="827"/>
    </row>
    <row r="7" spans="1:18" ht="44.75" customHeight="1" x14ac:dyDescent="0.2">
      <c r="A7" s="109" t="s">
        <v>524</v>
      </c>
      <c r="B7" s="109" t="s">
        <v>503</v>
      </c>
      <c r="C7" s="109" t="s">
        <v>525</v>
      </c>
      <c r="D7" s="109" t="s">
        <v>526</v>
      </c>
      <c r="E7" s="109" t="s">
        <v>527</v>
      </c>
      <c r="F7" s="109" t="s">
        <v>528</v>
      </c>
      <c r="G7" s="109" t="s">
        <v>529</v>
      </c>
      <c r="H7" s="109" t="s">
        <v>516</v>
      </c>
      <c r="I7" s="339">
        <v>20000</v>
      </c>
      <c r="K7" s="827"/>
      <c r="L7" s="827"/>
      <c r="M7" s="827"/>
      <c r="N7" s="827"/>
      <c r="O7" s="827"/>
      <c r="P7" s="827"/>
      <c r="Q7" s="827"/>
      <c r="R7" s="827"/>
    </row>
    <row r="8" spans="1:18" ht="51" customHeight="1" x14ac:dyDescent="0.2">
      <c r="A8" s="63" t="s">
        <v>530</v>
      </c>
      <c r="B8" s="63" t="s">
        <v>503</v>
      </c>
      <c r="C8" s="63" t="s">
        <v>531</v>
      </c>
      <c r="D8" s="63" t="s">
        <v>532</v>
      </c>
      <c r="E8" s="63" t="s">
        <v>533</v>
      </c>
      <c r="F8" s="63" t="s">
        <v>534</v>
      </c>
      <c r="G8" s="63" t="s">
        <v>535</v>
      </c>
      <c r="H8" s="63" t="s">
        <v>536</v>
      </c>
      <c r="I8" s="334">
        <v>12000</v>
      </c>
      <c r="K8" s="827"/>
      <c r="L8" s="827"/>
      <c r="M8" s="827"/>
      <c r="N8" s="827"/>
      <c r="O8" s="827"/>
      <c r="P8" s="827"/>
      <c r="Q8" s="827"/>
      <c r="R8" s="827"/>
    </row>
    <row r="9" spans="1:18" ht="30.75" customHeight="1" x14ac:dyDescent="0.2">
      <c r="A9" s="109" t="s">
        <v>537</v>
      </c>
      <c r="B9" s="109" t="s">
        <v>503</v>
      </c>
      <c r="C9" s="109" t="s">
        <v>538</v>
      </c>
      <c r="D9" s="109" t="s">
        <v>539</v>
      </c>
      <c r="E9" s="109" t="s">
        <v>540</v>
      </c>
      <c r="F9" s="109" t="s">
        <v>541</v>
      </c>
      <c r="G9" s="109" t="s">
        <v>542</v>
      </c>
      <c r="H9" s="109" t="s">
        <v>543</v>
      </c>
      <c r="I9" s="339">
        <v>5000</v>
      </c>
      <c r="K9" s="827"/>
      <c r="L9" s="827"/>
      <c r="M9" s="827"/>
      <c r="N9" s="827"/>
      <c r="O9" s="827"/>
      <c r="P9" s="827"/>
      <c r="Q9" s="827"/>
      <c r="R9" s="827"/>
    </row>
    <row r="10" spans="1:18" ht="47" customHeight="1" x14ac:dyDescent="0.2">
      <c r="A10" s="63" t="s">
        <v>544</v>
      </c>
      <c r="B10" s="63" t="s">
        <v>503</v>
      </c>
      <c r="C10" s="63" t="s">
        <v>545</v>
      </c>
      <c r="D10" s="63" t="s">
        <v>546</v>
      </c>
      <c r="E10" s="63" t="s">
        <v>547</v>
      </c>
      <c r="F10" s="63" t="s">
        <v>548</v>
      </c>
      <c r="G10" s="63" t="s">
        <v>549</v>
      </c>
      <c r="H10" s="63" t="s">
        <v>536</v>
      </c>
      <c r="I10" s="334">
        <v>15000</v>
      </c>
      <c r="K10" s="827"/>
      <c r="L10" s="827"/>
      <c r="M10" s="827"/>
      <c r="N10" s="827"/>
      <c r="O10" s="827"/>
      <c r="P10" s="827"/>
      <c r="Q10" s="827"/>
      <c r="R10" s="827"/>
    </row>
    <row r="11" spans="1:18" ht="47.25" customHeight="1" x14ac:dyDescent="0.2">
      <c r="A11" s="109" t="s">
        <v>550</v>
      </c>
      <c r="B11" s="109" t="s">
        <v>503</v>
      </c>
      <c r="C11" s="109" t="s">
        <v>551</v>
      </c>
      <c r="D11" s="109" t="s">
        <v>552</v>
      </c>
      <c r="E11" s="109" t="s">
        <v>553</v>
      </c>
      <c r="F11" s="109" t="s">
        <v>554</v>
      </c>
      <c r="G11" s="109" t="s">
        <v>555</v>
      </c>
      <c r="H11" s="109" t="s">
        <v>516</v>
      </c>
      <c r="I11" s="339">
        <v>4000</v>
      </c>
      <c r="K11" s="827"/>
      <c r="L11" s="827"/>
      <c r="M11" s="827"/>
      <c r="N11" s="827"/>
      <c r="O11" s="827"/>
      <c r="P11" s="827"/>
      <c r="Q11" s="827"/>
      <c r="R11" s="827"/>
    </row>
    <row r="12" spans="1:18" ht="35" customHeight="1" x14ac:dyDescent="0.2">
      <c r="A12" s="63" t="s">
        <v>556</v>
      </c>
      <c r="B12" s="63" t="s">
        <v>503</v>
      </c>
      <c r="C12" s="63" t="s">
        <v>557</v>
      </c>
      <c r="D12" s="63" t="s">
        <v>558</v>
      </c>
      <c r="E12" s="63" t="s">
        <v>559</v>
      </c>
      <c r="F12" s="63" t="s">
        <v>560</v>
      </c>
      <c r="G12" s="63" t="s">
        <v>561</v>
      </c>
      <c r="H12" s="63" t="s">
        <v>516</v>
      </c>
      <c r="I12" s="334">
        <v>6000</v>
      </c>
      <c r="K12" s="827"/>
      <c r="L12" s="827"/>
      <c r="M12" s="827"/>
      <c r="N12" s="827"/>
      <c r="O12" s="827"/>
      <c r="P12" s="827"/>
      <c r="Q12" s="827"/>
      <c r="R12" s="827"/>
    </row>
    <row r="13" spans="1:18" ht="51" customHeight="1" x14ac:dyDescent="0.2">
      <c r="A13" s="109" t="s">
        <v>562</v>
      </c>
      <c r="B13" s="109" t="s">
        <v>503</v>
      </c>
      <c r="C13" s="109" t="s">
        <v>563</v>
      </c>
      <c r="D13" s="109" t="s">
        <v>564</v>
      </c>
      <c r="E13" s="109" t="s">
        <v>565</v>
      </c>
      <c r="F13" s="109" t="s">
        <v>566</v>
      </c>
      <c r="G13" s="109" t="s">
        <v>567</v>
      </c>
      <c r="H13" s="109" t="s">
        <v>516</v>
      </c>
      <c r="I13" s="339">
        <v>8000</v>
      </c>
      <c r="K13" s="827"/>
      <c r="L13" s="827"/>
      <c r="M13" s="827"/>
      <c r="N13" s="827"/>
      <c r="O13" s="827"/>
      <c r="P13" s="827"/>
      <c r="Q13" s="827"/>
      <c r="R13" s="827"/>
    </row>
    <row r="14" spans="1:18" ht="47.5" customHeight="1" x14ac:dyDescent="0.2">
      <c r="A14" s="63" t="s">
        <v>568</v>
      </c>
      <c r="B14" s="63" t="s">
        <v>503</v>
      </c>
      <c r="C14" s="63" t="s">
        <v>569</v>
      </c>
      <c r="D14" s="63" t="s">
        <v>570</v>
      </c>
      <c r="E14" s="63" t="s">
        <v>571</v>
      </c>
      <c r="F14" s="63" t="s">
        <v>572</v>
      </c>
      <c r="G14" s="63" t="s">
        <v>573</v>
      </c>
      <c r="H14" s="63" t="s">
        <v>523</v>
      </c>
      <c r="I14" s="334">
        <v>3000</v>
      </c>
      <c r="K14" s="827"/>
      <c r="L14" s="827"/>
      <c r="M14" s="827"/>
      <c r="N14" s="827"/>
      <c r="O14" s="827"/>
      <c r="P14" s="827"/>
      <c r="Q14" s="827"/>
      <c r="R14" s="827"/>
    </row>
    <row r="15" spans="1:18" ht="47" customHeight="1" x14ac:dyDescent="0.2">
      <c r="A15" s="109" t="s">
        <v>574</v>
      </c>
      <c r="B15" s="109" t="s">
        <v>503</v>
      </c>
      <c r="C15" s="109" t="s">
        <v>575</v>
      </c>
      <c r="D15" s="109" t="s">
        <v>576</v>
      </c>
      <c r="E15" s="109" t="s">
        <v>577</v>
      </c>
      <c r="F15" s="109" t="s">
        <v>578</v>
      </c>
      <c r="G15" s="109" t="s">
        <v>579</v>
      </c>
      <c r="H15" s="109" t="s">
        <v>509</v>
      </c>
      <c r="I15" s="869">
        <v>10000</v>
      </c>
      <c r="K15" s="827"/>
      <c r="L15" s="827"/>
      <c r="M15" s="827"/>
      <c r="N15" s="827"/>
      <c r="O15" s="827"/>
      <c r="P15" s="827"/>
      <c r="Q15" s="827"/>
      <c r="R15" s="827"/>
    </row>
    <row r="16" spans="1:18" ht="16" x14ac:dyDescent="0.2">
      <c r="A16" s="1256" t="s">
        <v>173</v>
      </c>
      <c r="B16" s="1257"/>
      <c r="C16" s="1257"/>
      <c r="D16" s="1257"/>
      <c r="E16" s="1257"/>
      <c r="F16" s="1257"/>
      <c r="G16" s="1257"/>
      <c r="H16" s="1258"/>
      <c r="I16" s="850">
        <f>SUM(I4:I15)</f>
        <v>116000</v>
      </c>
    </row>
    <row r="18" spans="1:13" x14ac:dyDescent="0.2">
      <c r="K18" s="1255"/>
      <c r="L18" s="1255"/>
      <c r="M18" s="1255"/>
    </row>
    <row r="19" spans="1:13" x14ac:dyDescent="0.2">
      <c r="J19" s="829"/>
      <c r="K19" s="807"/>
      <c r="L19" s="807"/>
      <c r="M19" s="807"/>
    </row>
    <row r="20" spans="1:13" x14ac:dyDescent="0.2">
      <c r="J20" s="807"/>
      <c r="L20" s="92"/>
    </row>
    <row r="21" spans="1:13" x14ac:dyDescent="0.2">
      <c r="A21" s="1176" t="s">
        <v>580</v>
      </c>
      <c r="B21" s="1177"/>
      <c r="C21" s="1178"/>
      <c r="L21" s="92"/>
    </row>
    <row r="22" spans="1:13" ht="16" x14ac:dyDescent="0.2">
      <c r="A22" s="825" t="s">
        <v>411</v>
      </c>
      <c r="B22" s="825" t="s">
        <v>581</v>
      </c>
      <c r="C22" s="825" t="s">
        <v>582</v>
      </c>
      <c r="L22" s="92"/>
    </row>
    <row r="23" spans="1:13" ht="16" x14ac:dyDescent="0.2">
      <c r="A23" s="823" t="s">
        <v>583</v>
      </c>
      <c r="B23" s="823">
        <v>381</v>
      </c>
      <c r="C23" s="823">
        <v>2</v>
      </c>
      <c r="L23" s="92"/>
    </row>
    <row r="24" spans="1:13" ht="16" x14ac:dyDescent="0.2">
      <c r="A24" s="824" t="s">
        <v>584</v>
      </c>
      <c r="B24" s="824">
        <v>91</v>
      </c>
      <c r="C24" s="824">
        <v>2</v>
      </c>
      <c r="L24" s="92"/>
    </row>
    <row r="25" spans="1:13" ht="16" x14ac:dyDescent="0.2">
      <c r="A25" s="823" t="s">
        <v>585</v>
      </c>
      <c r="B25" s="823">
        <v>400</v>
      </c>
      <c r="C25" s="823">
        <v>2</v>
      </c>
      <c r="L25" s="92"/>
    </row>
    <row r="26" spans="1:13" ht="16" x14ac:dyDescent="0.2">
      <c r="A26" s="824" t="s">
        <v>586</v>
      </c>
      <c r="B26" s="824">
        <v>103</v>
      </c>
      <c r="C26" s="824">
        <v>3</v>
      </c>
      <c r="L26" s="92"/>
    </row>
    <row r="27" spans="1:13" ht="16" x14ac:dyDescent="0.2">
      <c r="A27" s="823" t="s">
        <v>587</v>
      </c>
      <c r="B27" s="823">
        <v>50</v>
      </c>
      <c r="C27" s="823">
        <v>3</v>
      </c>
      <c r="L27" s="92"/>
    </row>
    <row r="28" spans="1:13" ht="16" x14ac:dyDescent="0.2">
      <c r="A28" s="824" t="s">
        <v>588</v>
      </c>
      <c r="B28" s="824">
        <v>72</v>
      </c>
      <c r="C28" s="824">
        <v>4</v>
      </c>
      <c r="L28" s="92"/>
    </row>
    <row r="29" spans="1:13" ht="16" x14ac:dyDescent="0.2">
      <c r="A29" s="823" t="s">
        <v>589</v>
      </c>
      <c r="B29" s="823">
        <v>80</v>
      </c>
      <c r="C29" s="823">
        <v>3</v>
      </c>
      <c r="L29" s="92"/>
    </row>
    <row r="30" spans="1:13" ht="16" x14ac:dyDescent="0.2">
      <c r="A30" s="824" t="s">
        <v>590</v>
      </c>
      <c r="B30" s="824">
        <v>165</v>
      </c>
      <c r="C30" s="824">
        <v>4</v>
      </c>
      <c r="K30" s="92"/>
    </row>
    <row r="31" spans="1:13" ht="16" x14ac:dyDescent="0.2">
      <c r="A31" s="823" t="s">
        <v>591</v>
      </c>
      <c r="B31" s="823">
        <v>120</v>
      </c>
      <c r="C31" s="823">
        <v>4</v>
      </c>
    </row>
    <row r="32" spans="1:13" ht="16" x14ac:dyDescent="0.2">
      <c r="A32" s="824" t="s">
        <v>592</v>
      </c>
      <c r="B32" s="824">
        <v>200</v>
      </c>
      <c r="C32" s="824">
        <v>1</v>
      </c>
    </row>
    <row r="33" spans="1:29" ht="26" x14ac:dyDescent="0.3">
      <c r="A33" s="572"/>
    </row>
    <row r="34" spans="1:29" ht="16" thickBot="1" x14ac:dyDescent="0.25"/>
    <row r="35" spans="1:29" ht="27" thickBot="1" x14ac:dyDescent="0.35">
      <c r="A35" s="809" t="s">
        <v>593</v>
      </c>
      <c r="B35" s="810"/>
      <c r="C35" s="810"/>
      <c r="D35" s="810"/>
      <c r="E35" s="810"/>
      <c r="F35" s="810"/>
      <c r="G35" s="811"/>
      <c r="I35" s="819" t="s">
        <v>594</v>
      </c>
      <c r="J35" s="649">
        <f>B38/B36</f>
        <v>0.90625</v>
      </c>
      <c r="K35" s="820">
        <f>J35</f>
        <v>0.90625</v>
      </c>
      <c r="L35" s="572"/>
      <c r="M35" s="572"/>
      <c r="N35" s="572"/>
      <c r="O35" s="572"/>
      <c r="P35" s="572"/>
      <c r="T35" s="154"/>
    </row>
    <row r="36" spans="1:29" x14ac:dyDescent="0.2">
      <c r="A36" s="1179" t="s">
        <v>595</v>
      </c>
      <c r="B36" s="1213">
        <v>16</v>
      </c>
      <c r="C36" s="1214"/>
      <c r="D36" s="1215"/>
      <c r="E36" s="644"/>
      <c r="F36" s="812"/>
      <c r="G36" s="813"/>
      <c r="I36" s="113" t="s">
        <v>596</v>
      </c>
      <c r="J36" s="114">
        <f>B45/B43</f>
        <v>0.96551724137931039</v>
      </c>
      <c r="K36" s="821">
        <f>J36</f>
        <v>0.96551724137931039</v>
      </c>
      <c r="L36" s="814"/>
      <c r="M36" s="814"/>
      <c r="T36" s="154"/>
      <c r="AC36" s="381"/>
    </row>
    <row r="37" spans="1:29" ht="16" thickBot="1" x14ac:dyDescent="0.25">
      <c r="A37" s="1180"/>
      <c r="B37" s="1216"/>
      <c r="C37" s="1217"/>
      <c r="D37" s="1218"/>
      <c r="E37" s="127"/>
      <c r="F37" s="128"/>
      <c r="G37" s="129"/>
      <c r="I37" s="12" t="s">
        <v>597</v>
      </c>
      <c r="J37">
        <f>B46/B45</f>
        <v>0.97142857142857142</v>
      </c>
      <c r="K37" s="163">
        <f>J37</f>
        <v>0.97142857142857142</v>
      </c>
      <c r="L37" s="814"/>
      <c r="M37" s="814"/>
      <c r="T37" s="154"/>
    </row>
    <row r="38" spans="1:29" ht="16" thickBot="1" x14ac:dyDescent="0.25">
      <c r="A38" s="1181" t="s">
        <v>598</v>
      </c>
      <c r="B38" s="1184">
        <v>14.5</v>
      </c>
      <c r="C38" s="1185"/>
      <c r="D38" s="1186"/>
      <c r="E38" s="1205" t="s">
        <v>599</v>
      </c>
      <c r="F38" s="1206"/>
      <c r="G38" s="1207"/>
      <c r="I38" s="127" t="s">
        <v>600</v>
      </c>
      <c r="J38" s="128">
        <f>(J35*J36*J37)*100</f>
        <v>85</v>
      </c>
      <c r="K38" s="822" t="s">
        <v>601</v>
      </c>
      <c r="L38" s="815"/>
      <c r="M38" s="815"/>
      <c r="P38" s="711"/>
      <c r="T38" s="154"/>
    </row>
    <row r="39" spans="1:29" x14ac:dyDescent="0.2">
      <c r="A39" s="1182"/>
      <c r="B39" s="1187"/>
      <c r="C39" s="1188"/>
      <c r="D39" s="1189"/>
      <c r="E39" s="1024" t="s">
        <v>602</v>
      </c>
      <c r="F39" s="1208"/>
      <c r="G39" s="1209"/>
      <c r="K39" s="154"/>
      <c r="L39" s="815"/>
      <c r="M39" s="815"/>
      <c r="P39" s="711"/>
      <c r="T39" s="154"/>
    </row>
    <row r="40" spans="1:29" x14ac:dyDescent="0.2">
      <c r="A40" s="1182"/>
      <c r="B40" s="1187"/>
      <c r="C40" s="1188"/>
      <c r="D40" s="1189"/>
      <c r="E40" s="1024" t="s">
        <v>603</v>
      </c>
      <c r="F40" s="1208"/>
      <c r="G40" s="1209"/>
      <c r="L40" s="815"/>
      <c r="M40" s="815"/>
      <c r="P40" s="711"/>
    </row>
    <row r="41" spans="1:29" x14ac:dyDescent="0.2">
      <c r="A41" s="1182"/>
      <c r="B41" s="1187"/>
      <c r="C41" s="1188"/>
      <c r="D41" s="1189"/>
      <c r="E41" s="1024" t="s">
        <v>604</v>
      </c>
      <c r="F41" s="1208"/>
      <c r="G41" s="1209"/>
      <c r="L41" s="815"/>
      <c r="M41" s="815"/>
      <c r="P41" s="711"/>
    </row>
    <row r="42" spans="1:29" ht="16" thickBot="1" x14ac:dyDescent="0.25">
      <c r="A42" s="1183"/>
      <c r="B42" s="1190"/>
      <c r="C42" s="1191"/>
      <c r="D42" s="1192"/>
      <c r="E42" s="99"/>
      <c r="F42" s="100"/>
      <c r="G42" s="162"/>
      <c r="L42" s="815"/>
      <c r="M42" s="815"/>
      <c r="P42" s="711"/>
    </row>
    <row r="43" spans="1:29" x14ac:dyDescent="0.2">
      <c r="A43" s="1179" t="s">
        <v>605</v>
      </c>
      <c r="B43" s="1193">
        <v>435</v>
      </c>
      <c r="C43" s="1194"/>
      <c r="D43" s="1195"/>
      <c r="E43" s="155"/>
      <c r="F43" s="156"/>
      <c r="G43" s="159"/>
      <c r="L43" s="816"/>
      <c r="M43" s="816"/>
      <c r="N43" s="92"/>
      <c r="O43" s="92"/>
      <c r="P43" s="760"/>
    </row>
    <row r="44" spans="1:29" ht="32" customHeight="1" thickBot="1" x14ac:dyDescent="0.25">
      <c r="A44" s="1180"/>
      <c r="B44" s="1196"/>
      <c r="C44" s="1197"/>
      <c r="D44" s="1198"/>
      <c r="E44" s="157"/>
      <c r="F44" s="158"/>
      <c r="G44" s="160"/>
      <c r="L44" s="816"/>
      <c r="M44" s="816"/>
      <c r="N44" s="92"/>
      <c r="O44" s="92"/>
      <c r="P44" s="817"/>
    </row>
    <row r="45" spans="1:29" ht="58.5" customHeight="1" thickBot="1" x14ac:dyDescent="0.25">
      <c r="A45" s="826" t="s">
        <v>606</v>
      </c>
      <c r="B45" s="1199">
        <v>420</v>
      </c>
      <c r="C45" s="1200"/>
      <c r="D45" s="1201"/>
      <c r="E45" s="1210" t="s">
        <v>607</v>
      </c>
      <c r="F45" s="1211"/>
      <c r="G45" s="1212"/>
      <c r="L45" s="816"/>
      <c r="M45" s="816"/>
      <c r="N45" s="92"/>
      <c r="O45" s="92"/>
      <c r="P45" s="817"/>
    </row>
    <row r="46" spans="1:29" ht="27.75" customHeight="1" thickBot="1" x14ac:dyDescent="0.25">
      <c r="A46" s="808" t="s">
        <v>608</v>
      </c>
      <c r="B46" s="1202">
        <v>408</v>
      </c>
      <c r="C46" s="1203"/>
      <c r="D46" s="1204"/>
      <c r="E46" s="989" t="s">
        <v>609</v>
      </c>
      <c r="F46" s="990"/>
      <c r="G46" s="991"/>
      <c r="L46" s="816"/>
      <c r="M46" s="816"/>
      <c r="N46" s="818"/>
      <c r="O46" s="818"/>
      <c r="P46" s="818"/>
    </row>
    <row r="47" spans="1:29" x14ac:dyDescent="0.2">
      <c r="B47" s="138"/>
    </row>
    <row r="48" spans="1:29" x14ac:dyDescent="0.2">
      <c r="B48" s="138"/>
    </row>
    <row r="49" spans="1:71" x14ac:dyDescent="0.2">
      <c r="B49" s="138"/>
    </row>
    <row r="52" spans="1:71" ht="16" thickBot="1" x14ac:dyDescent="0.25"/>
    <row r="53" spans="1:71" ht="26.75" customHeight="1" x14ac:dyDescent="0.35">
      <c r="A53" s="1251" t="s">
        <v>24</v>
      </c>
      <c r="B53" s="1252"/>
      <c r="C53" s="95"/>
      <c r="D53" s="95"/>
      <c r="E53" s="95"/>
      <c r="F53" s="95"/>
      <c r="G53" s="393"/>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5"/>
      <c r="BH53" s="95"/>
      <c r="BI53" s="95"/>
      <c r="BJ53" s="95"/>
      <c r="BK53" s="95"/>
      <c r="BL53" s="95"/>
      <c r="BM53" s="95"/>
      <c r="BN53" s="95"/>
      <c r="BO53" s="95"/>
      <c r="BP53" s="95"/>
      <c r="BQ53" s="95"/>
      <c r="BR53" s="95"/>
      <c r="BS53" s="96"/>
    </row>
    <row r="54" spans="1:71" ht="26" x14ac:dyDescent="0.3">
      <c r="A54" s="1253" t="s">
        <v>610</v>
      </c>
      <c r="B54" s="1254"/>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c r="BE54" s="130"/>
      <c r="BF54" s="130"/>
      <c r="BG54" s="130"/>
      <c r="BH54" s="130"/>
      <c r="BI54" s="130"/>
      <c r="BJ54" s="130"/>
      <c r="BK54" s="130"/>
      <c r="BL54" s="130"/>
      <c r="BM54" s="130"/>
      <c r="BN54" s="130"/>
      <c r="BO54" s="130"/>
      <c r="BP54" s="130"/>
      <c r="BQ54" s="130"/>
      <c r="BR54" s="130"/>
      <c r="BS54" s="98"/>
    </row>
    <row r="55" spans="1:71" ht="19" x14ac:dyDescent="0.25">
      <c r="A55" s="492"/>
      <c r="B55" s="493"/>
      <c r="C55" s="130"/>
      <c r="D55" s="130"/>
      <c r="E55" s="130"/>
      <c r="F55" s="1246" t="s">
        <v>611</v>
      </c>
      <c r="G55" s="1247"/>
      <c r="H55" s="382"/>
      <c r="I55" s="105"/>
      <c r="J55" s="1246" t="s">
        <v>612</v>
      </c>
      <c r="K55" s="1247"/>
      <c r="L55" s="383"/>
      <c r="N55" s="23" t="s">
        <v>613</v>
      </c>
      <c r="O55" s="384"/>
      <c r="Q55" s="1246" t="s">
        <v>614</v>
      </c>
      <c r="R55" s="1247"/>
      <c r="S55" s="385"/>
      <c r="U55" s="1242" t="s">
        <v>615</v>
      </c>
      <c r="V55" s="1242"/>
      <c r="W55" s="389"/>
      <c r="Y55" s="1242" t="s">
        <v>616</v>
      </c>
      <c r="Z55" s="1242"/>
      <c r="AA55" s="392"/>
      <c r="AB55" s="130"/>
      <c r="AC55" s="130"/>
      <c r="AD55" s="130"/>
      <c r="AE55" s="130"/>
      <c r="AF55" s="130"/>
      <c r="AG55" s="130"/>
      <c r="AH55" s="130"/>
      <c r="AI55" s="130"/>
      <c r="AJ55" s="130"/>
      <c r="AK55" s="130"/>
      <c r="AL55" s="130"/>
      <c r="AM55" s="130"/>
      <c r="AN55" s="130"/>
      <c r="AO55" s="130"/>
      <c r="AP55" s="130"/>
      <c r="AQ55" s="130"/>
      <c r="AR55" s="130"/>
      <c r="AS55" s="130"/>
      <c r="AT55" s="130"/>
      <c r="AU55" s="130"/>
      <c r="AV55" s="130"/>
      <c r="AW55" s="130"/>
      <c r="AX55" s="130"/>
      <c r="AY55" s="130"/>
      <c r="AZ55" s="130"/>
      <c r="BA55" s="130"/>
      <c r="BB55" s="130"/>
      <c r="BC55" s="130"/>
      <c r="BD55" s="130"/>
      <c r="BE55" s="130"/>
      <c r="BF55" s="130"/>
      <c r="BG55" s="130"/>
      <c r="BH55" s="130"/>
      <c r="BI55" s="130"/>
      <c r="BJ55" s="130"/>
      <c r="BK55" s="130"/>
      <c r="BL55" s="130"/>
      <c r="BM55" s="130"/>
      <c r="BN55" s="130"/>
      <c r="BO55" s="130"/>
      <c r="BP55" s="130"/>
      <c r="BQ55" s="130"/>
      <c r="BR55" s="130"/>
      <c r="BS55" s="98"/>
    </row>
    <row r="56" spans="1:71" ht="22" thickBot="1" x14ac:dyDescent="0.3">
      <c r="A56" s="495" t="s">
        <v>617</v>
      </c>
      <c r="B56" s="494">
        <v>46002</v>
      </c>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c r="AG56" s="130"/>
      <c r="AH56" s="130"/>
      <c r="AI56" s="130"/>
      <c r="AJ56" s="130"/>
      <c r="AK56" s="100"/>
      <c r="AL56" s="100"/>
      <c r="AM56" s="130"/>
      <c r="AN56" s="130"/>
      <c r="AO56" s="130"/>
      <c r="AP56" s="130"/>
      <c r="AQ56" s="130"/>
      <c r="AR56" s="130"/>
      <c r="AS56" s="130"/>
      <c r="AT56" s="130"/>
      <c r="AU56" s="130"/>
      <c r="AV56" s="130"/>
      <c r="AW56" s="130"/>
      <c r="AX56" s="130"/>
      <c r="AY56" s="130"/>
      <c r="AZ56" s="130"/>
      <c r="BA56" s="130"/>
      <c r="BB56" s="130"/>
      <c r="BC56" s="130"/>
      <c r="BD56" s="130"/>
      <c r="BE56" s="130"/>
      <c r="BF56" s="130"/>
      <c r="BG56" s="130"/>
      <c r="BH56" s="130"/>
      <c r="BI56" s="130"/>
      <c r="BJ56" s="130"/>
      <c r="BK56" s="130"/>
      <c r="BL56" s="130"/>
      <c r="BM56" s="130"/>
      <c r="BN56" s="130"/>
      <c r="BO56" s="130"/>
      <c r="BP56" s="130"/>
      <c r="BQ56" s="130"/>
      <c r="BR56" s="130"/>
      <c r="BS56" s="98"/>
    </row>
    <row r="57" spans="1:71" ht="30.75" customHeight="1" thickBot="1" x14ac:dyDescent="0.25">
      <c r="A57" s="490" t="s">
        <v>618</v>
      </c>
      <c r="B57" s="491" t="s">
        <v>619</v>
      </c>
      <c r="C57" s="394" t="s">
        <v>620</v>
      </c>
      <c r="D57" s="395" t="s">
        <v>621</v>
      </c>
      <c r="E57" s="395" t="s">
        <v>622</v>
      </c>
      <c r="F57" s="396">
        <v>0.33333333333333331</v>
      </c>
      <c r="G57" s="396">
        <v>0.34375</v>
      </c>
      <c r="H57" s="396">
        <v>0.35416666666666669</v>
      </c>
      <c r="I57" s="396" t="s">
        <v>623</v>
      </c>
      <c r="J57" s="396">
        <v>0.375</v>
      </c>
      <c r="K57" s="396">
        <v>0.38541666666666669</v>
      </c>
      <c r="L57" s="396">
        <v>0.39583333333333331</v>
      </c>
      <c r="M57" s="396">
        <v>0.40625</v>
      </c>
      <c r="N57" s="396">
        <v>0.41666666666666669</v>
      </c>
      <c r="O57" s="396">
        <v>0.42708333333333331</v>
      </c>
      <c r="P57" s="396">
        <v>0.4375</v>
      </c>
      <c r="Q57" s="396">
        <v>0.44791666666666669</v>
      </c>
      <c r="R57" s="396">
        <v>0.45833333333333331</v>
      </c>
      <c r="S57" s="396">
        <v>0.46875</v>
      </c>
      <c r="T57" s="396">
        <v>0.47916666666666669</v>
      </c>
      <c r="U57" s="396">
        <v>0.48958333333333331</v>
      </c>
      <c r="V57" s="396">
        <v>0.5</v>
      </c>
      <c r="W57" s="396">
        <v>0.51041666666666663</v>
      </c>
      <c r="X57" s="396">
        <v>0.52083333333333337</v>
      </c>
      <c r="Y57" s="396">
        <v>0.53125</v>
      </c>
      <c r="Z57" s="396">
        <v>0.54166666666666663</v>
      </c>
      <c r="AA57" s="396">
        <v>0.55208333333333337</v>
      </c>
      <c r="AB57" s="396">
        <v>0.5625</v>
      </c>
      <c r="AC57" s="396">
        <v>0.57291666666666663</v>
      </c>
      <c r="AD57" s="396">
        <v>0.58333333333333337</v>
      </c>
      <c r="AE57" s="396">
        <v>0.59375</v>
      </c>
      <c r="AF57" s="396">
        <v>0.60416666666666663</v>
      </c>
      <c r="AG57" s="396">
        <v>0.61458333333333337</v>
      </c>
      <c r="AH57" s="396">
        <v>0.625</v>
      </c>
      <c r="AI57" s="396">
        <v>0.63541666666666663</v>
      </c>
      <c r="AJ57" s="396">
        <v>0.64583333333333337</v>
      </c>
      <c r="AK57" s="396">
        <v>0.65625</v>
      </c>
      <c r="AL57" s="397">
        <v>0.66666666666666663</v>
      </c>
      <c r="AM57" s="398">
        <v>0.67708333333333337</v>
      </c>
      <c r="AN57" s="396">
        <v>0.6875</v>
      </c>
      <c r="AO57" s="396">
        <v>0.69791666666666663</v>
      </c>
      <c r="AP57" s="396">
        <v>0.70833333333333337</v>
      </c>
      <c r="AQ57" s="396">
        <v>0.71875</v>
      </c>
      <c r="AR57" s="396">
        <v>0.72916666666666663</v>
      </c>
      <c r="AS57" s="396">
        <v>0.73958333333333337</v>
      </c>
      <c r="AT57" s="396">
        <v>0.75</v>
      </c>
      <c r="AU57" s="396">
        <v>0.76041666666666663</v>
      </c>
      <c r="AV57" s="396">
        <v>0.77083333333333337</v>
      </c>
      <c r="AW57" s="396">
        <v>0.78125</v>
      </c>
      <c r="AX57" s="396">
        <v>0.79166666666666663</v>
      </c>
      <c r="AY57" s="396">
        <v>0.80208333333333337</v>
      </c>
      <c r="AZ57" s="396">
        <v>0.8125</v>
      </c>
      <c r="BA57" s="396">
        <v>0.82291666666666663</v>
      </c>
      <c r="BB57" s="396">
        <v>0.83333333333333337</v>
      </c>
      <c r="BC57" s="396">
        <v>0.84375</v>
      </c>
      <c r="BD57" s="396">
        <v>0.85416666666666663</v>
      </c>
      <c r="BE57" s="396">
        <v>0.86458333333333337</v>
      </c>
      <c r="BF57" s="396">
        <v>0.875</v>
      </c>
      <c r="BG57" s="396">
        <v>0.88541666666666663</v>
      </c>
      <c r="BH57" s="396">
        <v>0.89583333333333337</v>
      </c>
      <c r="BI57" s="396">
        <v>0.90625</v>
      </c>
      <c r="BJ57" s="396">
        <v>0.91666666666666663</v>
      </c>
      <c r="BK57" s="396">
        <v>0.92708333333333337</v>
      </c>
      <c r="BL57" s="396">
        <v>0.9375</v>
      </c>
      <c r="BM57" s="396">
        <v>0.94791666666666663</v>
      </c>
      <c r="BN57" s="396">
        <v>0.95833333333333337</v>
      </c>
      <c r="BO57" s="396">
        <v>0.96875</v>
      </c>
      <c r="BP57" s="396">
        <v>0.97916666666666663</v>
      </c>
      <c r="BQ57" s="396">
        <v>0.98958333333333337</v>
      </c>
      <c r="BR57" s="399">
        <v>0</v>
      </c>
      <c r="BS57" s="400" t="s">
        <v>624</v>
      </c>
    </row>
    <row r="58" spans="1:71" ht="17" thickBot="1" x14ac:dyDescent="0.25">
      <c r="A58" s="401" t="s">
        <v>625</v>
      </c>
      <c r="B58" s="402"/>
      <c r="C58" s="402"/>
      <c r="D58" s="402"/>
      <c r="E58" s="402"/>
      <c r="F58" s="403"/>
      <c r="G58" s="403"/>
      <c r="H58" s="402"/>
      <c r="I58" s="402"/>
      <c r="J58" s="402"/>
      <c r="K58" s="402"/>
      <c r="L58" s="402"/>
      <c r="M58" s="402"/>
      <c r="N58" s="402"/>
      <c r="O58" s="402"/>
      <c r="P58" s="402"/>
      <c r="Q58" s="402"/>
      <c r="R58" s="402"/>
      <c r="S58" s="402"/>
      <c r="T58" s="402"/>
      <c r="U58" s="402"/>
      <c r="V58" s="402"/>
      <c r="W58" s="402"/>
      <c r="X58" s="402"/>
      <c r="Y58" s="402"/>
      <c r="Z58" s="402"/>
      <c r="AA58" s="402"/>
      <c r="AB58" s="402"/>
      <c r="AC58" s="402"/>
      <c r="AD58" s="402"/>
      <c r="AE58" s="402"/>
      <c r="AF58" s="402"/>
      <c r="AG58" s="402"/>
      <c r="AH58" s="402"/>
      <c r="AI58" s="402"/>
      <c r="AJ58" s="402"/>
      <c r="AK58" s="404"/>
      <c r="AL58" s="405"/>
      <c r="AM58" s="184"/>
      <c r="AN58" s="184"/>
      <c r="AO58" s="184"/>
      <c r="AP58" s="184"/>
      <c r="AQ58" s="184"/>
      <c r="AR58" s="184"/>
      <c r="AS58" s="184"/>
      <c r="AT58" s="184"/>
      <c r="AU58" s="184"/>
      <c r="AV58" s="184"/>
      <c r="AW58" s="184"/>
      <c r="AX58" s="184"/>
      <c r="AY58" s="184"/>
      <c r="AZ58" s="184"/>
      <c r="BA58" s="184"/>
      <c r="BB58" s="184"/>
      <c r="BC58" s="184"/>
      <c r="BD58" s="184"/>
      <c r="BE58" s="184"/>
      <c r="BF58" s="184"/>
      <c r="BG58" s="184"/>
      <c r="BH58" s="184"/>
      <c r="BI58" s="184"/>
      <c r="BJ58" s="184"/>
      <c r="BK58" s="184"/>
      <c r="BL58" s="184"/>
      <c r="BM58" s="184"/>
      <c r="BN58" s="184"/>
      <c r="BO58" s="184"/>
      <c r="BP58" s="184"/>
      <c r="BQ58" s="184"/>
      <c r="BR58" s="184"/>
      <c r="BS58" s="406"/>
    </row>
    <row r="59" spans="1:71" ht="16" x14ac:dyDescent="0.2">
      <c r="A59" s="407" t="s">
        <v>444</v>
      </c>
      <c r="B59" s="408" t="s">
        <v>626</v>
      </c>
      <c r="C59" s="409" t="s">
        <v>627</v>
      </c>
      <c r="D59" s="409" t="s">
        <v>627</v>
      </c>
      <c r="E59" s="409"/>
      <c r="F59" s="410"/>
      <c r="G59" s="1230">
        <v>30</v>
      </c>
      <c r="H59" s="1230"/>
      <c r="I59" s="1230"/>
      <c r="J59" s="1231"/>
      <c r="K59" s="1232">
        <v>30</v>
      </c>
      <c r="L59" s="1230"/>
      <c r="M59" s="1230"/>
      <c r="N59" s="1231"/>
      <c r="O59" s="1232">
        <v>30</v>
      </c>
      <c r="P59" s="1230"/>
      <c r="Q59" s="1230"/>
      <c r="R59" s="1231"/>
      <c r="S59" s="1232">
        <v>15</v>
      </c>
      <c r="T59" s="1230"/>
      <c r="U59" s="413"/>
      <c r="V59" s="413"/>
      <c r="W59" s="1249">
        <v>15</v>
      </c>
      <c r="X59" s="1250"/>
      <c r="Y59" s="1249">
        <v>30</v>
      </c>
      <c r="Z59" s="1249"/>
      <c r="AA59" s="1249"/>
      <c r="AB59" s="1250"/>
      <c r="AC59" s="1248">
        <v>30</v>
      </c>
      <c r="AD59" s="1249"/>
      <c r="AE59" s="1249"/>
      <c r="AF59" s="1250"/>
      <c r="AG59" s="1248">
        <v>30</v>
      </c>
      <c r="AH59" s="1249"/>
      <c r="AI59" s="1249"/>
      <c r="AJ59" s="1250"/>
      <c r="AK59" s="1249">
        <v>15</v>
      </c>
      <c r="AL59" s="1250"/>
      <c r="AM59" s="1259">
        <v>15</v>
      </c>
      <c r="AN59" s="1260"/>
      <c r="AO59" s="1261">
        <v>30</v>
      </c>
      <c r="AP59" s="1261"/>
      <c r="AQ59" s="1261"/>
      <c r="AR59" s="1260"/>
      <c r="AS59" s="1219">
        <v>30</v>
      </c>
      <c r="AT59" s="1220"/>
      <c r="AU59" s="1220"/>
      <c r="AV59" s="1221"/>
      <c r="AW59" s="1219">
        <v>30</v>
      </c>
      <c r="AX59" s="1220"/>
      <c r="AY59" s="1220"/>
      <c r="AZ59" s="1220"/>
      <c r="BA59" s="413"/>
      <c r="BB59" s="496"/>
      <c r="BC59" s="1219">
        <v>30</v>
      </c>
      <c r="BD59" s="1220"/>
      <c r="BE59" s="1220"/>
      <c r="BF59" s="1221"/>
      <c r="BG59" s="1219">
        <v>30</v>
      </c>
      <c r="BH59" s="1220"/>
      <c r="BI59" s="1220"/>
      <c r="BJ59" s="1221"/>
      <c r="BK59" s="1219">
        <v>30</v>
      </c>
      <c r="BL59" s="1220"/>
      <c r="BM59" s="1220"/>
      <c r="BN59" s="1221"/>
      <c r="BO59" s="1220">
        <v>15</v>
      </c>
      <c r="BP59" s="1220"/>
      <c r="BQ59" s="415"/>
      <c r="BR59" s="415"/>
      <c r="BS59" s="416">
        <f>SUM(G59:BP59)</f>
        <v>435</v>
      </c>
    </row>
    <row r="60" spans="1:71" ht="16" x14ac:dyDescent="0.2">
      <c r="A60" s="417" t="s">
        <v>446</v>
      </c>
      <c r="B60" s="418" t="s">
        <v>628</v>
      </c>
      <c r="C60" s="419" t="s">
        <v>629</v>
      </c>
      <c r="D60" s="419" t="s">
        <v>630</v>
      </c>
      <c r="E60" s="419" t="s">
        <v>631</v>
      </c>
      <c r="F60" s="420"/>
      <c r="G60" s="421"/>
      <c r="H60" s="422">
        <v>30</v>
      </c>
      <c r="I60" s="421"/>
      <c r="J60" s="420"/>
      <c r="K60" s="421"/>
      <c r="L60" s="422">
        <v>30</v>
      </c>
      <c r="M60" s="421"/>
      <c r="N60" s="420"/>
      <c r="O60" s="421"/>
      <c r="P60" s="422">
        <v>30</v>
      </c>
      <c r="Q60" s="421"/>
      <c r="R60" s="420"/>
      <c r="S60" s="1236">
        <v>20</v>
      </c>
      <c r="T60" s="1236"/>
      <c r="U60" s="423"/>
      <c r="V60" s="423"/>
      <c r="W60" s="424">
        <v>10</v>
      </c>
      <c r="X60" s="425"/>
      <c r="Y60" s="426"/>
      <c r="Z60" s="424">
        <v>30</v>
      </c>
      <c r="AA60" s="426"/>
      <c r="AB60" s="425"/>
      <c r="AC60" s="426"/>
      <c r="AD60" s="424">
        <v>30</v>
      </c>
      <c r="AE60" s="426"/>
      <c r="AF60" s="425"/>
      <c r="AG60" s="426"/>
      <c r="AH60" s="424">
        <v>30</v>
      </c>
      <c r="AI60" s="426"/>
      <c r="AJ60" s="425"/>
      <c r="AK60" s="1243">
        <v>20</v>
      </c>
      <c r="AL60" s="1244"/>
      <c r="AM60" s="428">
        <v>10</v>
      </c>
      <c r="AN60" s="425"/>
      <c r="AO60" s="429"/>
      <c r="AP60" s="430">
        <v>30</v>
      </c>
      <c r="AQ60" s="429"/>
      <c r="AR60" s="425"/>
      <c r="AS60" s="1224">
        <v>30</v>
      </c>
      <c r="AT60" s="1224"/>
      <c r="AU60" s="1225"/>
      <c r="AV60" s="441"/>
      <c r="AW60" s="1224">
        <v>30</v>
      </c>
      <c r="AX60" s="1224"/>
      <c r="AY60" s="1225"/>
      <c r="AZ60" s="441"/>
      <c r="BA60" s="423"/>
      <c r="BB60" s="423"/>
      <c r="BC60" s="431"/>
      <c r="BD60" s="432">
        <v>30</v>
      </c>
      <c r="BE60" s="431"/>
      <c r="BF60" s="420"/>
      <c r="BG60" s="431"/>
      <c r="BH60" s="432">
        <v>30</v>
      </c>
      <c r="BI60" s="431"/>
      <c r="BJ60" s="420"/>
      <c r="BK60" s="431"/>
      <c r="BL60" s="432">
        <v>30</v>
      </c>
      <c r="BM60" s="431"/>
      <c r="BN60" s="420"/>
      <c r="BO60" s="1224">
        <v>20</v>
      </c>
      <c r="BP60" s="1224"/>
      <c r="BQ60" s="433"/>
      <c r="BR60" s="433"/>
      <c r="BS60" s="434">
        <f>SUM(H60:BP60)</f>
        <v>440</v>
      </c>
    </row>
    <row r="61" spans="1:71" ht="16" x14ac:dyDescent="0.2">
      <c r="A61" s="435" t="s">
        <v>632</v>
      </c>
      <c r="B61" s="436" t="s">
        <v>628</v>
      </c>
      <c r="C61" s="437" t="s">
        <v>629</v>
      </c>
      <c r="D61" s="437" t="s">
        <v>633</v>
      </c>
      <c r="E61" s="437" t="s">
        <v>150</v>
      </c>
      <c r="F61" s="438"/>
      <c r="G61" s="420"/>
      <c r="H61" s="420"/>
      <c r="I61" s="420"/>
      <c r="J61" s="1236">
        <v>30</v>
      </c>
      <c r="K61" s="1236"/>
      <c r="L61" s="1236"/>
      <c r="M61" s="420"/>
      <c r="N61" s="421"/>
      <c r="O61" s="421">
        <v>30</v>
      </c>
      <c r="P61" s="421"/>
      <c r="Q61" s="420"/>
      <c r="R61" s="421"/>
      <c r="S61" s="422">
        <v>30</v>
      </c>
      <c r="T61" s="422"/>
      <c r="U61" s="423"/>
      <c r="V61" s="423"/>
      <c r="W61" s="425"/>
      <c r="X61" s="426"/>
      <c r="Y61" s="424">
        <v>30</v>
      </c>
      <c r="Z61" s="426"/>
      <c r="AA61" s="425"/>
      <c r="AB61" s="426"/>
      <c r="AC61" s="424">
        <v>30</v>
      </c>
      <c r="AD61" s="426"/>
      <c r="AE61" s="425"/>
      <c r="AF61" s="426"/>
      <c r="AG61" s="424">
        <v>30</v>
      </c>
      <c r="AH61" s="426"/>
      <c r="AI61" s="425"/>
      <c r="AJ61" s="426"/>
      <c r="AK61" s="424">
        <v>30</v>
      </c>
      <c r="AL61" s="427"/>
      <c r="AM61" s="439"/>
      <c r="AN61" s="429"/>
      <c r="AO61" s="430">
        <v>30</v>
      </c>
      <c r="AP61" s="429"/>
      <c r="AQ61" s="425"/>
      <c r="AR61" s="1228">
        <v>30</v>
      </c>
      <c r="AS61" s="1228"/>
      <c r="AT61" s="1228"/>
      <c r="AU61" s="441"/>
      <c r="AV61" s="1224">
        <v>30</v>
      </c>
      <c r="AW61" s="1224"/>
      <c r="AX61" s="1225"/>
      <c r="AY61" s="441"/>
      <c r="AZ61" s="432">
        <v>10</v>
      </c>
      <c r="BA61" s="423"/>
      <c r="BB61" s="423"/>
      <c r="BC61" s="431">
        <v>20</v>
      </c>
      <c r="BD61" s="431"/>
      <c r="BE61" s="420"/>
      <c r="BF61" s="431"/>
      <c r="BG61" s="432">
        <v>30</v>
      </c>
      <c r="BH61" s="431"/>
      <c r="BI61" s="420"/>
      <c r="BJ61" s="431"/>
      <c r="BK61" s="432">
        <v>30</v>
      </c>
      <c r="BL61" s="431"/>
      <c r="BM61" s="420"/>
      <c r="BN61" s="431"/>
      <c r="BO61" s="432">
        <v>30</v>
      </c>
      <c r="BP61" s="431"/>
      <c r="BQ61" s="442"/>
      <c r="BR61" s="442"/>
      <c r="BS61" s="443">
        <f>SUM(J61:BO61)</f>
        <v>420</v>
      </c>
    </row>
    <row r="62" spans="1:71" ht="16" x14ac:dyDescent="0.2">
      <c r="A62" s="417" t="s">
        <v>451</v>
      </c>
      <c r="B62" s="418" t="s">
        <v>634</v>
      </c>
      <c r="C62" s="419" t="s">
        <v>635</v>
      </c>
      <c r="D62" s="419" t="s">
        <v>636</v>
      </c>
      <c r="E62" s="419" t="s">
        <v>637</v>
      </c>
      <c r="F62" s="420"/>
      <c r="G62" s="420"/>
      <c r="H62" s="420"/>
      <c r="I62" s="1236">
        <v>35</v>
      </c>
      <c r="J62" s="1236"/>
      <c r="K62" s="1236"/>
      <c r="L62" s="1237"/>
      <c r="M62" s="1239">
        <v>35</v>
      </c>
      <c r="N62" s="1236"/>
      <c r="O62" s="1236"/>
      <c r="P62" s="1237"/>
      <c r="Q62" s="1239">
        <v>35</v>
      </c>
      <c r="R62" s="1236"/>
      <c r="S62" s="1236"/>
      <c r="T62" s="1236"/>
      <c r="U62" s="440"/>
      <c r="V62" s="440"/>
      <c r="W62" s="1243">
        <v>35</v>
      </c>
      <c r="X62" s="1243"/>
      <c r="Y62" s="1243"/>
      <c r="Z62" s="1244"/>
      <c r="AA62" s="1245">
        <v>35</v>
      </c>
      <c r="AB62" s="1243"/>
      <c r="AC62" s="1243"/>
      <c r="AD62" s="1244"/>
      <c r="AE62" s="1245">
        <v>35</v>
      </c>
      <c r="AF62" s="1243"/>
      <c r="AG62" s="1243"/>
      <c r="AH62" s="1244"/>
      <c r="AI62" s="1245">
        <v>30</v>
      </c>
      <c r="AJ62" s="1243"/>
      <c r="AK62" s="1243"/>
      <c r="AL62" s="1244"/>
      <c r="AM62" s="1227">
        <v>30</v>
      </c>
      <c r="AN62" s="1228"/>
      <c r="AO62" s="1228"/>
      <c r="AP62" s="1229"/>
      <c r="AQ62" s="1227">
        <v>30</v>
      </c>
      <c r="AR62" s="1228"/>
      <c r="AS62" s="1228"/>
      <c r="AT62" s="1229"/>
      <c r="AU62" s="1223">
        <v>30</v>
      </c>
      <c r="AV62" s="1224"/>
      <c r="AW62" s="1224"/>
      <c r="AX62" s="1225"/>
      <c r="AY62" s="1223">
        <v>15</v>
      </c>
      <c r="AZ62" s="1225"/>
      <c r="BA62" s="497"/>
      <c r="BB62" s="423"/>
      <c r="BC62" s="431">
        <v>15</v>
      </c>
      <c r="BD62" s="444"/>
      <c r="BE62" s="1223">
        <v>30</v>
      </c>
      <c r="BF62" s="1224"/>
      <c r="BG62" s="1224"/>
      <c r="BH62" s="1225"/>
      <c r="BI62" s="1223">
        <v>30</v>
      </c>
      <c r="BJ62" s="1224"/>
      <c r="BK62" s="1224"/>
      <c r="BL62" s="1225"/>
      <c r="BM62" s="1223">
        <v>30</v>
      </c>
      <c r="BN62" s="1224"/>
      <c r="BO62" s="1224"/>
      <c r="BP62" s="1224"/>
      <c r="BQ62" s="442"/>
      <c r="BR62" s="442"/>
      <c r="BS62" s="434">
        <f>SUM(G62:BP62)</f>
        <v>450</v>
      </c>
    </row>
    <row r="63" spans="1:71" ht="16" x14ac:dyDescent="0.2">
      <c r="A63" s="435" t="s">
        <v>638</v>
      </c>
      <c r="B63" s="436" t="s">
        <v>639</v>
      </c>
      <c r="C63" s="437" t="s">
        <v>640</v>
      </c>
      <c r="D63" s="437" t="s">
        <v>641</v>
      </c>
      <c r="E63" s="437" t="s">
        <v>631</v>
      </c>
      <c r="F63" s="420"/>
      <c r="G63" s="420"/>
      <c r="H63" s="420"/>
      <c r="I63" s="420"/>
      <c r="J63" s="420"/>
      <c r="K63" s="1236">
        <v>30</v>
      </c>
      <c r="L63" s="1237"/>
      <c r="M63" s="445"/>
      <c r="N63" s="422">
        <v>35</v>
      </c>
      <c r="O63" s="446"/>
      <c r="P63" s="441"/>
      <c r="Q63" s="421"/>
      <c r="R63" s="422">
        <v>35</v>
      </c>
      <c r="S63" s="421"/>
      <c r="T63" s="420"/>
      <c r="U63" s="423"/>
      <c r="V63" s="423"/>
      <c r="W63" s="1243">
        <v>35</v>
      </c>
      <c r="X63" s="1243"/>
      <c r="Y63" s="1243"/>
      <c r="Z63" s="447"/>
      <c r="AA63" s="1243">
        <v>35</v>
      </c>
      <c r="AB63" s="1243"/>
      <c r="AC63" s="1243"/>
      <c r="AD63" s="447"/>
      <c r="AE63" s="426"/>
      <c r="AF63" s="424">
        <v>35</v>
      </c>
      <c r="AG63" s="426"/>
      <c r="AH63" s="425"/>
      <c r="AI63" s="426"/>
      <c r="AJ63" s="424">
        <v>35</v>
      </c>
      <c r="AK63" s="426"/>
      <c r="AL63" s="448"/>
      <c r="AM63" s="430"/>
      <c r="AN63" s="430">
        <v>30</v>
      </c>
      <c r="AO63" s="449"/>
      <c r="AP63" s="450"/>
      <c r="AQ63" s="1224">
        <v>30</v>
      </c>
      <c r="AR63" s="1224"/>
      <c r="AS63" s="1224"/>
      <c r="AT63" s="420"/>
      <c r="AU63" s="1224">
        <v>30</v>
      </c>
      <c r="AV63" s="1224"/>
      <c r="AW63" s="1224"/>
      <c r="AX63" s="441"/>
      <c r="AY63" s="1224">
        <v>20</v>
      </c>
      <c r="AZ63" s="1224"/>
      <c r="BA63" s="423"/>
      <c r="BB63" s="498"/>
      <c r="BC63" s="432">
        <v>10</v>
      </c>
      <c r="BD63" s="441"/>
      <c r="BE63" s="431"/>
      <c r="BF63" s="432">
        <v>30</v>
      </c>
      <c r="BG63" s="431"/>
      <c r="BH63" s="441"/>
      <c r="BI63" s="431"/>
      <c r="BJ63" s="432">
        <v>30</v>
      </c>
      <c r="BK63" s="431"/>
      <c r="BL63" s="441"/>
      <c r="BM63" s="431"/>
      <c r="BN63" s="432">
        <v>30</v>
      </c>
      <c r="BO63" s="431"/>
      <c r="BP63" s="420"/>
      <c r="BQ63" s="433"/>
      <c r="BR63" s="433"/>
      <c r="BS63" s="443">
        <f>SUM(I63:BP63)</f>
        <v>450</v>
      </c>
    </row>
    <row r="64" spans="1:71" ht="16" x14ac:dyDescent="0.2">
      <c r="A64" s="417" t="s">
        <v>421</v>
      </c>
      <c r="B64" s="418"/>
      <c r="C64" s="419"/>
      <c r="D64" s="419"/>
      <c r="E64" s="419"/>
      <c r="F64" s="420"/>
      <c r="G64" s="420"/>
      <c r="H64" s="420"/>
      <c r="I64" s="420"/>
      <c r="J64" s="420"/>
      <c r="K64" s="420"/>
      <c r="L64" s="420"/>
      <c r="M64" s="451"/>
      <c r="N64" s="420"/>
      <c r="O64" s="420"/>
      <c r="P64" s="451"/>
      <c r="Q64" s="420"/>
      <c r="R64" s="420"/>
      <c r="S64" s="420"/>
      <c r="T64" s="451"/>
      <c r="U64" s="423"/>
      <c r="V64" s="423"/>
      <c r="W64" s="425"/>
      <c r="X64" s="425"/>
      <c r="Y64" s="425"/>
      <c r="Z64" s="452"/>
      <c r="AA64" s="425"/>
      <c r="AB64" s="425"/>
      <c r="AC64" s="425"/>
      <c r="AD64" s="452"/>
      <c r="AE64" s="425"/>
      <c r="AF64" s="425"/>
      <c r="AG64" s="425"/>
      <c r="AH64" s="452"/>
      <c r="AI64" s="425"/>
      <c r="AJ64" s="425"/>
      <c r="AK64" s="425"/>
      <c r="AL64" s="453"/>
      <c r="AM64" s="425"/>
      <c r="AN64" s="425"/>
      <c r="AO64" s="425"/>
      <c r="AP64" s="452"/>
      <c r="AQ64" s="425"/>
      <c r="AR64" s="425"/>
      <c r="AS64" s="420"/>
      <c r="AT64" s="451"/>
      <c r="AU64" s="420"/>
      <c r="AV64" s="420"/>
      <c r="AW64" s="420"/>
      <c r="AX64" s="451"/>
      <c r="AY64" s="420"/>
      <c r="AZ64" s="420"/>
      <c r="BA64" s="423"/>
      <c r="BB64" s="423"/>
      <c r="BC64" s="420"/>
      <c r="BD64" s="451"/>
      <c r="BE64" s="420"/>
      <c r="BF64" s="420"/>
      <c r="BG64" s="420"/>
      <c r="BH64" s="451"/>
      <c r="BI64" s="454"/>
      <c r="BJ64" s="420"/>
      <c r="BK64" s="420"/>
      <c r="BL64" s="451"/>
      <c r="BM64" s="420"/>
      <c r="BN64" s="420"/>
      <c r="BO64" s="420"/>
      <c r="BP64" s="451"/>
      <c r="BQ64" s="420"/>
      <c r="BR64" s="420"/>
      <c r="BS64" s="434"/>
    </row>
    <row r="65" spans="1:71" ht="15" customHeight="1" x14ac:dyDescent="0.2">
      <c r="A65" s="435" t="s">
        <v>455</v>
      </c>
      <c r="B65" s="436" t="s">
        <v>642</v>
      </c>
      <c r="C65" s="437" t="s">
        <v>643</v>
      </c>
      <c r="D65" s="437" t="s">
        <v>644</v>
      </c>
      <c r="E65" s="437" t="s">
        <v>631</v>
      </c>
      <c r="F65" s="420"/>
      <c r="G65" s="420"/>
      <c r="H65" s="420"/>
      <c r="I65" s="1238"/>
      <c r="J65" s="1238"/>
      <c r="K65" s="1238"/>
      <c r="L65" s="1236">
        <v>30</v>
      </c>
      <c r="M65" s="1237"/>
      <c r="N65" s="1239">
        <v>30</v>
      </c>
      <c r="O65" s="1236"/>
      <c r="P65" s="420"/>
      <c r="Q65" s="1236">
        <v>35</v>
      </c>
      <c r="R65" s="1236"/>
      <c r="S65" s="420"/>
      <c r="T65" s="420"/>
      <c r="U65" s="423"/>
      <c r="V65" s="423"/>
      <c r="W65" s="1243">
        <v>35</v>
      </c>
      <c r="X65" s="1243"/>
      <c r="Y65" s="425"/>
      <c r="Z65" s="425"/>
      <c r="AA65" s="1243">
        <v>35</v>
      </c>
      <c r="AB65" s="1243"/>
      <c r="AC65" s="425"/>
      <c r="AD65" s="425"/>
      <c r="AE65" s="1243">
        <v>35</v>
      </c>
      <c r="AF65" s="1243"/>
      <c r="AG65" s="425"/>
      <c r="AH65" s="425"/>
      <c r="AI65" s="1243">
        <v>35</v>
      </c>
      <c r="AJ65" s="1243"/>
      <c r="AK65" s="425"/>
      <c r="AL65" s="448"/>
      <c r="AM65" s="1227">
        <v>35</v>
      </c>
      <c r="AN65" s="1228"/>
      <c r="AO65" s="425"/>
      <c r="AP65" s="425"/>
      <c r="AQ65" s="1228">
        <v>30</v>
      </c>
      <c r="AR65" s="1228"/>
      <c r="AS65" s="420"/>
      <c r="AT65" s="420"/>
      <c r="AU65" s="1224">
        <v>30</v>
      </c>
      <c r="AV65" s="1224"/>
      <c r="AW65" s="1238"/>
      <c r="AX65" s="1238"/>
      <c r="AY65" s="1224">
        <v>30</v>
      </c>
      <c r="AZ65" s="1224"/>
      <c r="BA65" s="1226"/>
      <c r="BB65" s="1226"/>
      <c r="BC65" s="420"/>
      <c r="BD65" s="420"/>
      <c r="BE65" s="1224">
        <v>30</v>
      </c>
      <c r="BF65" s="1224"/>
      <c r="BG65" s="420"/>
      <c r="BH65" s="420"/>
      <c r="BI65" s="1224">
        <v>30</v>
      </c>
      <c r="BJ65" s="1224"/>
      <c r="BK65" s="420"/>
      <c r="BL65" s="420"/>
      <c r="BM65" s="1224">
        <v>30</v>
      </c>
      <c r="BN65" s="1224"/>
      <c r="BO65" s="420"/>
      <c r="BP65" s="420"/>
      <c r="BQ65" s="433"/>
      <c r="BR65" s="433"/>
      <c r="BS65" s="443">
        <f>SUM(I65:BP65)</f>
        <v>450</v>
      </c>
    </row>
    <row r="66" spans="1:71" ht="16.25" customHeight="1" x14ac:dyDescent="0.2">
      <c r="A66" s="417" t="s">
        <v>645</v>
      </c>
      <c r="B66" s="418" t="s">
        <v>634</v>
      </c>
      <c r="C66" s="455" t="s">
        <v>646</v>
      </c>
      <c r="D66" s="455" t="s">
        <v>647</v>
      </c>
      <c r="E66" s="455" t="s">
        <v>631</v>
      </c>
      <c r="F66" s="420"/>
      <c r="G66" s="175"/>
      <c r="H66" s="420"/>
      <c r="I66" s="420"/>
      <c r="J66" s="421">
        <v>30</v>
      </c>
      <c r="K66" s="421"/>
      <c r="L66" s="421"/>
      <c r="M66" s="446"/>
      <c r="N66" s="1239">
        <v>30</v>
      </c>
      <c r="O66" s="1236"/>
      <c r="P66" s="1236"/>
      <c r="Q66" s="1237"/>
      <c r="R66" s="1239">
        <v>22</v>
      </c>
      <c r="S66" s="1236"/>
      <c r="T66" s="1236"/>
      <c r="U66" s="423"/>
      <c r="V66" s="423"/>
      <c r="W66" s="427">
        <v>8</v>
      </c>
      <c r="X66" s="1245">
        <v>35</v>
      </c>
      <c r="Y66" s="1243"/>
      <c r="Z66" s="1243"/>
      <c r="AA66" s="1244"/>
      <c r="AB66" s="1245">
        <v>35</v>
      </c>
      <c r="AC66" s="1243"/>
      <c r="AD66" s="1243"/>
      <c r="AE66" s="1244"/>
      <c r="AF66" s="1245">
        <v>35</v>
      </c>
      <c r="AG66" s="1243"/>
      <c r="AH66" s="1243"/>
      <c r="AI66" s="1244"/>
      <c r="AJ66" s="1245">
        <v>27</v>
      </c>
      <c r="AK66" s="1243"/>
      <c r="AL66" s="1244"/>
      <c r="AM66" s="456">
        <v>8</v>
      </c>
      <c r="AN66" s="1227">
        <v>35</v>
      </c>
      <c r="AO66" s="1228"/>
      <c r="AP66" s="1228"/>
      <c r="AQ66" s="1229"/>
      <c r="AR66" s="1227">
        <v>35</v>
      </c>
      <c r="AS66" s="1228"/>
      <c r="AT66" s="1228"/>
      <c r="AU66" s="1229"/>
      <c r="AV66" s="1223">
        <v>30</v>
      </c>
      <c r="AW66" s="1224"/>
      <c r="AX66" s="1224"/>
      <c r="AY66" s="1225"/>
      <c r="AZ66" s="432">
        <v>8</v>
      </c>
      <c r="BA66" s="1226"/>
      <c r="BB66" s="1226"/>
      <c r="BC66" s="1224">
        <v>22</v>
      </c>
      <c r="BD66" s="1224"/>
      <c r="BE66" s="1225"/>
      <c r="BF66" s="1223">
        <v>30</v>
      </c>
      <c r="BG66" s="1224"/>
      <c r="BH66" s="1224"/>
      <c r="BI66" s="1225"/>
      <c r="BJ66" s="1223">
        <v>30</v>
      </c>
      <c r="BK66" s="1224"/>
      <c r="BL66" s="1224"/>
      <c r="BM66" s="1225"/>
      <c r="BN66" s="1223">
        <v>22</v>
      </c>
      <c r="BO66" s="1224"/>
      <c r="BP66" s="1224"/>
      <c r="BQ66" s="433"/>
      <c r="BR66" s="433"/>
      <c r="BS66" s="434">
        <f>SUM(J66:BP66)</f>
        <v>442</v>
      </c>
    </row>
    <row r="67" spans="1:71" ht="16" x14ac:dyDescent="0.2">
      <c r="A67" s="457" t="s">
        <v>421</v>
      </c>
      <c r="B67" s="436"/>
      <c r="C67" s="437"/>
      <c r="D67" s="437"/>
      <c r="E67" s="437"/>
      <c r="F67" s="420"/>
      <c r="G67" s="420"/>
      <c r="H67" s="420"/>
      <c r="I67" s="420"/>
      <c r="J67" s="420"/>
      <c r="K67" s="420"/>
      <c r="L67" s="420"/>
      <c r="M67" s="420"/>
      <c r="N67" s="451"/>
      <c r="O67" s="420"/>
      <c r="P67" s="420"/>
      <c r="Q67" s="420"/>
      <c r="R67" s="451"/>
      <c r="S67" s="420"/>
      <c r="T67" s="420"/>
      <c r="U67" s="423"/>
      <c r="V67" s="423"/>
      <c r="W67" s="425"/>
      <c r="X67" s="452"/>
      <c r="Y67" s="425"/>
      <c r="Z67" s="425"/>
      <c r="AA67" s="425"/>
      <c r="AB67" s="452"/>
      <c r="AC67" s="425"/>
      <c r="AD67" s="425"/>
      <c r="AE67" s="425"/>
      <c r="AF67" s="452"/>
      <c r="AG67" s="425"/>
      <c r="AH67" s="425"/>
      <c r="AI67" s="425"/>
      <c r="AJ67" s="452"/>
      <c r="AK67" s="425"/>
      <c r="AL67" s="448"/>
      <c r="AM67" s="425"/>
      <c r="AN67" s="452"/>
      <c r="AO67" s="425"/>
      <c r="AP67" s="425"/>
      <c r="AQ67" s="425"/>
      <c r="AR67" s="452"/>
      <c r="AS67" s="420"/>
      <c r="AT67" s="420"/>
      <c r="AU67" s="420"/>
      <c r="AV67" s="451"/>
      <c r="AW67" s="420"/>
      <c r="AX67" s="420"/>
      <c r="AY67" s="420"/>
      <c r="AZ67" s="451"/>
      <c r="BA67" s="423"/>
      <c r="BB67" s="423"/>
      <c r="BC67" s="420"/>
      <c r="BD67" s="420"/>
      <c r="BE67" s="420"/>
      <c r="BF67" s="451"/>
      <c r="BG67" s="420"/>
      <c r="BH67" s="420"/>
      <c r="BI67" s="420"/>
      <c r="BJ67" s="451"/>
      <c r="BK67" s="420"/>
      <c r="BL67" s="420"/>
      <c r="BM67" s="420"/>
      <c r="BN67" s="451"/>
      <c r="BO67" s="420"/>
      <c r="BP67" s="420"/>
      <c r="BQ67" s="451"/>
      <c r="BR67" s="420"/>
      <c r="BS67" s="443"/>
    </row>
    <row r="68" spans="1:71" ht="17" thickBot="1" x14ac:dyDescent="0.25">
      <c r="A68" s="458" t="s">
        <v>648</v>
      </c>
      <c r="B68" s="459"/>
      <c r="C68" s="460"/>
      <c r="D68" s="460"/>
      <c r="E68" s="460" t="s">
        <v>649</v>
      </c>
      <c r="F68" s="461"/>
      <c r="G68" s="461"/>
      <c r="H68" s="461"/>
      <c r="I68" s="461"/>
      <c r="J68" s="461"/>
      <c r="K68" s="461"/>
      <c r="L68" s="461"/>
      <c r="M68" s="461"/>
      <c r="N68" s="461"/>
      <c r="O68" s="462">
        <v>30</v>
      </c>
      <c r="P68" s="461"/>
      <c r="Q68" s="461"/>
      <c r="R68" s="461"/>
      <c r="S68" s="462">
        <v>30</v>
      </c>
      <c r="T68" s="461"/>
      <c r="U68" s="463"/>
      <c r="V68" s="463"/>
      <c r="W68" s="464"/>
      <c r="X68" s="464"/>
      <c r="Y68" s="465">
        <v>30</v>
      </c>
      <c r="Z68" s="464"/>
      <c r="AA68" s="464"/>
      <c r="AB68" s="464"/>
      <c r="AC68" s="465">
        <v>35</v>
      </c>
      <c r="AD68" s="464"/>
      <c r="AE68" s="464"/>
      <c r="AF68" s="464"/>
      <c r="AG68" s="465">
        <v>35</v>
      </c>
      <c r="AH68" s="464"/>
      <c r="AI68" s="464"/>
      <c r="AJ68" s="464"/>
      <c r="AK68" s="465">
        <v>35</v>
      </c>
      <c r="AL68" s="466"/>
      <c r="AM68" s="464"/>
      <c r="AN68" s="464"/>
      <c r="AO68" s="465">
        <v>35</v>
      </c>
      <c r="AP68" s="464"/>
      <c r="AQ68" s="464"/>
      <c r="AR68" s="464"/>
      <c r="AS68" s="462">
        <v>35</v>
      </c>
      <c r="AT68" s="461"/>
      <c r="AV68" s="461"/>
      <c r="AW68" s="462">
        <v>35</v>
      </c>
      <c r="AX68" s="461"/>
      <c r="AZ68" s="461"/>
      <c r="BA68" s="463"/>
      <c r="BB68" s="463"/>
      <c r="BC68" s="462">
        <v>30</v>
      </c>
      <c r="BD68" s="461"/>
      <c r="BE68" s="461"/>
      <c r="BF68" s="461"/>
      <c r="BG68" s="462">
        <v>30</v>
      </c>
      <c r="BH68" s="461"/>
      <c r="BI68" s="461"/>
      <c r="BJ68" s="461"/>
      <c r="BK68" s="462">
        <v>30</v>
      </c>
      <c r="BL68" s="461"/>
      <c r="BM68" s="461"/>
      <c r="BN68" s="461"/>
      <c r="BO68" s="462">
        <v>30</v>
      </c>
      <c r="BP68" s="461"/>
      <c r="BQ68" s="461"/>
      <c r="BR68" s="462">
        <v>22</v>
      </c>
      <c r="BS68" s="434">
        <f>SUM(G68:BR68)</f>
        <v>442</v>
      </c>
    </row>
    <row r="69" spans="1:71" ht="17" thickBot="1" x14ac:dyDescent="0.25">
      <c r="A69" s="401" t="s">
        <v>650</v>
      </c>
      <c r="B69" s="467"/>
      <c r="C69" s="467"/>
      <c r="D69" s="467"/>
      <c r="E69" s="467"/>
      <c r="F69" s="404"/>
      <c r="G69" s="404"/>
      <c r="H69" s="404"/>
      <c r="I69" s="404"/>
      <c r="J69" s="404"/>
      <c r="K69" s="404"/>
      <c r="L69" s="404"/>
      <c r="M69" s="404"/>
      <c r="N69" s="404"/>
      <c r="O69" s="404"/>
      <c r="P69" s="404"/>
      <c r="Q69" s="404"/>
      <c r="R69" s="404"/>
      <c r="S69" s="404"/>
      <c r="T69" s="404"/>
      <c r="U69" s="404"/>
      <c r="V69" s="404"/>
      <c r="W69" s="404"/>
      <c r="X69" s="404"/>
      <c r="Y69" s="404"/>
      <c r="Z69" s="404"/>
      <c r="AA69" s="404"/>
      <c r="AB69" s="404"/>
      <c r="AC69" s="404"/>
      <c r="AD69" s="404"/>
      <c r="AE69" s="404"/>
      <c r="AF69" s="404"/>
      <c r="AG69" s="404"/>
      <c r="AH69" s="404"/>
      <c r="AI69" s="404"/>
      <c r="AJ69" s="404"/>
      <c r="AK69" s="404"/>
      <c r="AL69" s="405"/>
      <c r="AM69" s="404"/>
      <c r="AN69" s="404"/>
      <c r="AO69" s="404"/>
      <c r="AP69" s="404"/>
      <c r="AQ69" s="404"/>
      <c r="AR69" s="404"/>
      <c r="AS69" s="404"/>
      <c r="AT69" s="404"/>
      <c r="AU69" s="404"/>
      <c r="AV69" s="404"/>
      <c r="AW69" s="404"/>
      <c r="AX69" s="404"/>
      <c r="AY69" s="404"/>
      <c r="AZ69" s="404"/>
      <c r="BA69" s="404"/>
      <c r="BB69" s="404"/>
      <c r="BC69" s="404"/>
      <c r="BD69" s="404"/>
      <c r="BE69" s="404"/>
      <c r="BF69" s="404"/>
      <c r="BG69" s="404"/>
      <c r="BH69" s="404"/>
      <c r="BI69" s="404"/>
      <c r="BJ69" s="404"/>
      <c r="BK69" s="404"/>
      <c r="BL69" s="404"/>
      <c r="BM69" s="404"/>
      <c r="BN69" s="404"/>
      <c r="BO69" s="404"/>
      <c r="BP69" s="404"/>
      <c r="BQ69" s="404"/>
      <c r="BR69" s="404"/>
      <c r="BS69" s="468"/>
    </row>
    <row r="70" spans="1:71" ht="16" x14ac:dyDescent="0.2">
      <c r="A70" s="407" t="s">
        <v>651</v>
      </c>
      <c r="B70" s="408" t="s">
        <v>652</v>
      </c>
      <c r="C70" s="409" t="s">
        <v>653</v>
      </c>
      <c r="D70" s="409" t="s">
        <v>636</v>
      </c>
      <c r="E70" s="409"/>
      <c r="F70" s="410"/>
      <c r="G70" s="1230">
        <v>130</v>
      </c>
      <c r="H70" s="1230"/>
      <c r="I70" s="1230"/>
      <c r="J70" s="1231"/>
      <c r="K70" s="1232">
        <v>130</v>
      </c>
      <c r="L70" s="1230"/>
      <c r="M70" s="1230"/>
      <c r="N70" s="1231"/>
      <c r="O70" s="1232">
        <v>130</v>
      </c>
      <c r="P70" s="1230"/>
      <c r="Q70" s="1230"/>
      <c r="R70" s="1231"/>
      <c r="S70" s="1232">
        <v>65</v>
      </c>
      <c r="T70" s="1230"/>
      <c r="U70" s="413"/>
      <c r="V70" s="413"/>
      <c r="W70" s="1230">
        <v>65</v>
      </c>
      <c r="X70" s="1230"/>
      <c r="Y70" s="410"/>
      <c r="Z70" s="410"/>
      <c r="AA70" s="410"/>
      <c r="AB70" s="469"/>
      <c r="AC70" s="469"/>
      <c r="AD70" s="410"/>
      <c r="AE70" s="410"/>
      <c r="AF70" s="410"/>
      <c r="AG70" s="410"/>
      <c r="AH70" s="410"/>
      <c r="AI70" s="410"/>
      <c r="AJ70" s="410"/>
      <c r="AK70" s="410"/>
      <c r="AL70" s="470"/>
      <c r="AM70" s="410"/>
      <c r="AN70" s="1240"/>
      <c r="AO70" s="1240"/>
      <c r="AP70" s="1240"/>
      <c r="AQ70" s="1240"/>
      <c r="AR70" s="1240"/>
      <c r="AS70" s="410"/>
      <c r="AT70" s="410"/>
      <c r="AU70" s="410"/>
      <c r="AV70" s="410"/>
      <c r="AW70" s="410"/>
      <c r="AX70" s="410"/>
      <c r="AY70" s="410"/>
      <c r="AZ70" s="410"/>
      <c r="BA70" s="413"/>
      <c r="BB70" s="413"/>
      <c r="BC70" s="410"/>
      <c r="BD70" s="410"/>
      <c r="BE70" s="410"/>
      <c r="BF70" s="410"/>
      <c r="BG70" s="410"/>
      <c r="BH70" s="410"/>
      <c r="BI70" s="410"/>
      <c r="BJ70" s="410"/>
      <c r="BK70" s="410"/>
      <c r="BL70" s="410"/>
      <c r="BM70" s="410"/>
      <c r="BN70" s="410"/>
      <c r="BO70" s="410"/>
      <c r="BP70" s="410"/>
      <c r="BQ70" s="410"/>
      <c r="BR70" s="410"/>
      <c r="BS70" s="443">
        <f>SUM(G70:BP70)</f>
        <v>520</v>
      </c>
    </row>
    <row r="71" spans="1:71" ht="16" x14ac:dyDescent="0.2">
      <c r="A71" s="417" t="s">
        <v>415</v>
      </c>
      <c r="B71" s="418" t="s">
        <v>654</v>
      </c>
      <c r="C71" s="419" t="s">
        <v>655</v>
      </c>
      <c r="D71" s="419" t="s">
        <v>636</v>
      </c>
      <c r="E71" s="419"/>
      <c r="F71" s="420"/>
      <c r="G71" s="420"/>
      <c r="H71" s="420"/>
      <c r="I71" s="420"/>
      <c r="J71" s="420"/>
      <c r="K71" s="1236">
        <v>130</v>
      </c>
      <c r="L71" s="1236"/>
      <c r="M71" s="420"/>
      <c r="N71" s="420"/>
      <c r="O71" s="1236">
        <v>130</v>
      </c>
      <c r="P71" s="1236"/>
      <c r="Q71" s="420"/>
      <c r="R71" s="420"/>
      <c r="S71" s="1236">
        <v>130</v>
      </c>
      <c r="T71" s="1236"/>
      <c r="U71" s="423"/>
      <c r="V71" s="423"/>
      <c r="W71" s="420"/>
      <c r="X71" s="420"/>
      <c r="Y71" s="1236">
        <v>130</v>
      </c>
      <c r="Z71" s="1236"/>
      <c r="AA71" s="420"/>
      <c r="AB71" s="433"/>
      <c r="AC71" s="433"/>
      <c r="AD71" s="420"/>
      <c r="AE71" s="420"/>
      <c r="AF71" s="420"/>
      <c r="AG71" s="420"/>
      <c r="AH71" s="420"/>
      <c r="AI71" s="420"/>
      <c r="AJ71" s="420"/>
      <c r="AK71" s="1238"/>
      <c r="AL71" s="1241"/>
      <c r="AM71" s="420"/>
      <c r="AN71" s="420"/>
      <c r="AO71" s="420"/>
      <c r="AP71" s="420"/>
      <c r="AQ71" s="420"/>
      <c r="AR71" s="420"/>
      <c r="AS71" s="420"/>
      <c r="AT71" s="420"/>
      <c r="AU71" s="420"/>
      <c r="AV71" s="420"/>
      <c r="AW71" s="420"/>
      <c r="AX71" s="420"/>
      <c r="AY71" s="420"/>
      <c r="AZ71" s="420"/>
      <c r="BA71" s="423"/>
      <c r="BB71" s="423"/>
      <c r="BC71" s="420"/>
      <c r="BD71" s="420"/>
      <c r="BE71" s="420"/>
      <c r="BF71" s="420"/>
      <c r="BG71" s="420"/>
      <c r="BH71" s="420"/>
      <c r="BI71" s="420"/>
      <c r="BJ71" s="420"/>
      <c r="BK71" s="420"/>
      <c r="BL71" s="420"/>
      <c r="BM71" s="420"/>
      <c r="BN71" s="420"/>
      <c r="BO71" s="420"/>
      <c r="BP71" s="420"/>
      <c r="BQ71" s="420"/>
      <c r="BR71" s="420"/>
      <c r="BS71" s="434">
        <f>SUM(G71:BP71)</f>
        <v>520</v>
      </c>
    </row>
    <row r="72" spans="1:71" ht="16" x14ac:dyDescent="0.2">
      <c r="A72" s="457" t="s">
        <v>421</v>
      </c>
      <c r="B72" s="436"/>
      <c r="C72" s="437"/>
      <c r="D72" s="437"/>
      <c r="E72" s="437"/>
      <c r="F72" s="420"/>
      <c r="G72" s="420"/>
      <c r="H72" s="420"/>
      <c r="I72" s="420"/>
      <c r="J72" s="420"/>
      <c r="K72" s="420"/>
      <c r="L72" s="420"/>
      <c r="M72" s="451"/>
      <c r="N72" s="420"/>
      <c r="O72" s="420"/>
      <c r="P72" s="420"/>
      <c r="Q72" s="451"/>
      <c r="R72" s="420"/>
      <c r="S72" s="420"/>
      <c r="T72" s="420"/>
      <c r="U72" s="423"/>
      <c r="V72" s="423"/>
      <c r="W72" s="451"/>
      <c r="X72" s="420"/>
      <c r="Y72" s="420"/>
      <c r="Z72" s="420"/>
      <c r="AA72" s="451"/>
      <c r="AB72" s="420"/>
      <c r="AC72" s="420"/>
      <c r="AD72" s="420"/>
      <c r="AE72" s="420"/>
      <c r="AF72" s="420"/>
      <c r="AG72" s="420"/>
      <c r="AH72" s="420"/>
      <c r="AI72" s="420"/>
      <c r="AJ72" s="420"/>
      <c r="AK72" s="420"/>
      <c r="AL72" s="471"/>
      <c r="AM72" s="420"/>
      <c r="AN72" s="420"/>
      <c r="AO72" s="420"/>
      <c r="AP72" s="420"/>
      <c r="AQ72" s="420"/>
      <c r="AR72" s="420"/>
      <c r="AS72" s="420"/>
      <c r="AT72" s="420"/>
      <c r="AU72" s="420"/>
      <c r="AV72" s="420"/>
      <c r="AW72" s="420"/>
      <c r="AX72" s="420"/>
      <c r="AY72" s="420"/>
      <c r="AZ72" s="420"/>
      <c r="BA72" s="423"/>
      <c r="BB72" s="423"/>
      <c r="BC72" s="420"/>
      <c r="BD72" s="420"/>
      <c r="BE72" s="420"/>
      <c r="BF72" s="420"/>
      <c r="BG72" s="420"/>
      <c r="BH72" s="420"/>
      <c r="BI72" s="420"/>
      <c r="BJ72" s="420"/>
      <c r="BK72" s="420"/>
      <c r="BL72" s="420"/>
      <c r="BM72" s="420"/>
      <c r="BN72" s="420"/>
      <c r="BO72" s="420"/>
      <c r="BP72" s="420"/>
      <c r="BQ72" s="420"/>
      <c r="BR72" s="420"/>
      <c r="BS72" s="443"/>
    </row>
    <row r="73" spans="1:71" ht="16" x14ac:dyDescent="0.2">
      <c r="A73" s="417" t="s">
        <v>416</v>
      </c>
      <c r="B73" s="418" t="s">
        <v>656</v>
      </c>
      <c r="C73" s="419" t="s">
        <v>657</v>
      </c>
      <c r="D73" s="419" t="s">
        <v>647</v>
      </c>
      <c r="E73" s="419" t="s">
        <v>658</v>
      </c>
      <c r="F73" s="420"/>
      <c r="G73" s="1236">
        <v>34</v>
      </c>
      <c r="H73" s="1236"/>
      <c r="I73" s="1236"/>
      <c r="J73" s="1237"/>
      <c r="K73" s="1239">
        <v>34</v>
      </c>
      <c r="L73" s="1236"/>
      <c r="M73" s="1236"/>
      <c r="N73" s="1237"/>
      <c r="O73" s="1239">
        <v>34</v>
      </c>
      <c r="P73" s="1236"/>
      <c r="Q73" s="1236"/>
      <c r="R73" s="1237"/>
      <c r="S73" s="1239">
        <v>17</v>
      </c>
      <c r="T73" s="1236"/>
      <c r="U73" s="423"/>
      <c r="V73" s="423"/>
      <c r="W73" s="1236">
        <v>17</v>
      </c>
      <c r="X73" s="1237"/>
      <c r="Y73" s="1239">
        <v>34</v>
      </c>
      <c r="Z73" s="1236"/>
      <c r="AA73" s="1236"/>
      <c r="AB73" s="1237"/>
      <c r="AC73" s="1239">
        <v>34</v>
      </c>
      <c r="AD73" s="1236"/>
      <c r="AE73" s="1236"/>
      <c r="AF73" s="1237"/>
      <c r="AG73" s="1239">
        <v>34</v>
      </c>
      <c r="AH73" s="1236"/>
      <c r="AI73" s="1236"/>
      <c r="AJ73" s="1237"/>
      <c r="AK73" s="1239">
        <v>17</v>
      </c>
      <c r="AL73" s="1237"/>
      <c r="AM73" s="472">
        <v>17</v>
      </c>
      <c r="AN73" s="444"/>
      <c r="AO73" s="1223">
        <v>34</v>
      </c>
      <c r="AP73" s="1224"/>
      <c r="AQ73" s="1224"/>
      <c r="AR73" s="1225"/>
      <c r="AS73" s="1223">
        <v>34</v>
      </c>
      <c r="AT73" s="1224"/>
      <c r="AU73" s="1224"/>
      <c r="AV73" s="1225"/>
      <c r="AW73" s="1223">
        <v>34</v>
      </c>
      <c r="AX73" s="1224"/>
      <c r="AY73" s="1224"/>
      <c r="AZ73" s="1224"/>
      <c r="BA73" s="423"/>
      <c r="BB73" s="499"/>
      <c r="BC73" s="1223">
        <v>34</v>
      </c>
      <c r="BD73" s="1224"/>
      <c r="BE73" s="1224"/>
      <c r="BF73" s="1225"/>
      <c r="BG73" s="1223">
        <v>34</v>
      </c>
      <c r="BH73" s="1224"/>
      <c r="BI73" s="1224"/>
      <c r="BJ73" s="1225"/>
      <c r="BK73" s="1223">
        <v>34</v>
      </c>
      <c r="BL73" s="1224"/>
      <c r="BM73" s="1224"/>
      <c r="BN73" s="1224"/>
      <c r="BO73" s="1225"/>
      <c r="BP73" s="430">
        <v>8</v>
      </c>
      <c r="BQ73" s="433"/>
      <c r="BR73" s="433"/>
      <c r="BS73" s="434">
        <f>SUM(G73:BP73)</f>
        <v>484</v>
      </c>
    </row>
    <row r="74" spans="1:71" ht="16" x14ac:dyDescent="0.2">
      <c r="A74" s="457" t="s">
        <v>428</v>
      </c>
      <c r="B74" s="436" t="s">
        <v>659</v>
      </c>
      <c r="C74" s="437" t="s">
        <v>660</v>
      </c>
      <c r="D74" s="437" t="s">
        <v>647</v>
      </c>
      <c r="E74" s="437"/>
      <c r="F74" s="473"/>
      <c r="G74" s="420"/>
      <c r="H74" s="420"/>
      <c r="I74" s="420"/>
      <c r="J74" s="420"/>
      <c r="K74" s="1236">
        <v>34</v>
      </c>
      <c r="L74" s="1236"/>
      <c r="M74" s="1238"/>
      <c r="N74" s="1238"/>
      <c r="O74" s="1236">
        <v>34</v>
      </c>
      <c r="P74" s="1236"/>
      <c r="Q74" s="420"/>
      <c r="R74" s="420"/>
      <c r="S74" s="1236">
        <v>34</v>
      </c>
      <c r="T74" s="1236"/>
      <c r="U74" s="423"/>
      <c r="V74" s="423"/>
      <c r="W74" s="420"/>
      <c r="X74" s="420"/>
      <c r="Y74" s="1236">
        <v>34</v>
      </c>
      <c r="Z74" s="1236"/>
      <c r="AA74" s="420"/>
      <c r="AB74" s="420"/>
      <c r="AC74" s="1236">
        <v>34</v>
      </c>
      <c r="AD74" s="1236"/>
      <c r="AE74" s="420"/>
      <c r="AF74" s="420"/>
      <c r="AG74" s="1236">
        <v>34</v>
      </c>
      <c r="AH74" s="1236"/>
      <c r="AI74" s="420"/>
      <c r="AJ74" s="420"/>
      <c r="AK74" s="1236">
        <v>34</v>
      </c>
      <c r="AL74" s="1237"/>
      <c r="AM74" s="420"/>
      <c r="AN74" s="420"/>
      <c r="AO74" s="1224">
        <v>34</v>
      </c>
      <c r="AP74" s="1224"/>
      <c r="AQ74" s="420"/>
      <c r="AR74" s="420"/>
      <c r="AS74" s="1224">
        <v>34</v>
      </c>
      <c r="AT74" s="1224"/>
      <c r="AU74" s="130"/>
      <c r="AV74" s="130"/>
      <c r="AW74" s="1224">
        <v>34</v>
      </c>
      <c r="AX74" s="1224"/>
      <c r="AY74" s="130"/>
      <c r="BA74" s="423"/>
      <c r="BB74" s="423"/>
      <c r="BC74" s="1224">
        <v>34</v>
      </c>
      <c r="BD74" s="1224"/>
      <c r="BE74" s="420"/>
      <c r="BF74" s="420"/>
      <c r="BG74" s="1224">
        <v>34</v>
      </c>
      <c r="BH74" s="1224"/>
      <c r="BI74" s="420"/>
      <c r="BJ74" s="420"/>
      <c r="BK74" s="1224">
        <v>34</v>
      </c>
      <c r="BL74" s="1224"/>
      <c r="BM74" s="420"/>
      <c r="BN74" s="420"/>
      <c r="BO74" s="1224">
        <v>34</v>
      </c>
      <c r="BP74" s="1224"/>
      <c r="BQ74" s="433"/>
      <c r="BR74" s="433"/>
      <c r="BS74" s="474">
        <f>SUM(G74:BQ74)</f>
        <v>476</v>
      </c>
    </row>
    <row r="75" spans="1:71" ht="16" x14ac:dyDescent="0.2">
      <c r="A75" s="417" t="s">
        <v>421</v>
      </c>
      <c r="B75" s="418"/>
      <c r="C75" s="419"/>
      <c r="D75" s="419"/>
      <c r="E75" s="419"/>
      <c r="F75" s="420"/>
      <c r="G75" s="420"/>
      <c r="H75" s="420"/>
      <c r="I75" s="420"/>
      <c r="J75" s="420"/>
      <c r="K75" s="420"/>
      <c r="L75" s="420"/>
      <c r="M75" s="451"/>
      <c r="N75" s="420"/>
      <c r="O75" s="420"/>
      <c r="P75" s="420"/>
      <c r="Q75" s="451"/>
      <c r="R75" s="420"/>
      <c r="S75" s="420"/>
      <c r="T75" s="420"/>
      <c r="U75" s="423"/>
      <c r="V75" s="423"/>
      <c r="W75" s="451"/>
      <c r="X75" s="420"/>
      <c r="Y75" s="420"/>
      <c r="Z75" s="420"/>
      <c r="AA75" s="451"/>
      <c r="AB75" s="420"/>
      <c r="AC75" s="420"/>
      <c r="AD75" s="420"/>
      <c r="AE75" s="451"/>
      <c r="AF75" s="420"/>
      <c r="AG75" s="420"/>
      <c r="AH75" s="420"/>
      <c r="AI75" s="451"/>
      <c r="AJ75" s="420"/>
      <c r="AK75" s="420"/>
      <c r="AL75" s="471"/>
      <c r="AM75" s="451"/>
      <c r="AN75" s="420"/>
      <c r="AO75" s="420"/>
      <c r="AP75" s="420"/>
      <c r="AQ75" s="451"/>
      <c r="AR75" s="420"/>
      <c r="AS75" s="420"/>
      <c r="AT75" s="420"/>
      <c r="AU75" s="451"/>
      <c r="AV75" s="420"/>
      <c r="AW75" s="420"/>
      <c r="AX75" s="420"/>
      <c r="AY75" s="451"/>
      <c r="AZ75" s="420"/>
      <c r="BA75" s="423"/>
      <c r="BB75" s="423"/>
      <c r="BC75" s="420"/>
      <c r="BD75" s="420"/>
      <c r="BE75" s="451"/>
      <c r="BF75" s="420"/>
      <c r="BG75" s="420"/>
      <c r="BH75" s="420"/>
      <c r="BI75" s="451"/>
      <c r="BJ75" s="420"/>
      <c r="BK75" s="420"/>
      <c r="BL75" s="420"/>
      <c r="BM75" s="451"/>
      <c r="BN75" s="420"/>
      <c r="BO75" s="420"/>
      <c r="BP75" s="420"/>
      <c r="BQ75" s="451"/>
      <c r="BR75" s="420"/>
      <c r="BS75" s="434"/>
    </row>
    <row r="76" spans="1:71" ht="17" thickBot="1" x14ac:dyDescent="0.25">
      <c r="A76" s="475" t="s">
        <v>648</v>
      </c>
      <c r="B76" s="476"/>
      <c r="C76" s="477"/>
      <c r="D76" s="477"/>
      <c r="E76" s="477" t="s">
        <v>649</v>
      </c>
      <c r="F76" s="461"/>
      <c r="G76" s="461"/>
      <c r="H76" s="461"/>
      <c r="I76" s="461"/>
      <c r="J76" s="461"/>
      <c r="K76" s="461"/>
      <c r="L76" s="461"/>
      <c r="M76" s="461"/>
      <c r="N76" s="462">
        <v>34</v>
      </c>
      <c r="O76" s="461"/>
      <c r="P76" s="461"/>
      <c r="Q76" s="461"/>
      <c r="R76" s="462">
        <v>34</v>
      </c>
      <c r="S76" s="461"/>
      <c r="T76" s="461"/>
      <c r="U76" s="463"/>
      <c r="V76" s="463"/>
      <c r="W76" s="461"/>
      <c r="X76" s="462">
        <v>34</v>
      </c>
      <c r="Y76" s="461"/>
      <c r="Z76" s="461"/>
      <c r="AA76" s="461"/>
      <c r="AB76" s="462">
        <v>34</v>
      </c>
      <c r="AC76" s="461"/>
      <c r="AD76" s="461"/>
      <c r="AE76" s="461"/>
      <c r="AF76" s="462">
        <v>34</v>
      </c>
      <c r="AG76" s="461"/>
      <c r="AH76" s="461"/>
      <c r="AI76" s="461"/>
      <c r="AJ76" s="462">
        <v>34</v>
      </c>
      <c r="AK76" s="461"/>
      <c r="AL76" s="478"/>
      <c r="AM76" s="461"/>
      <c r="AN76" s="462">
        <v>34</v>
      </c>
      <c r="AO76" s="461"/>
      <c r="AP76" s="461"/>
      <c r="AQ76" s="461"/>
      <c r="AR76" s="462">
        <v>34</v>
      </c>
      <c r="AS76" s="461"/>
      <c r="AT76" s="461"/>
      <c r="AU76" s="461"/>
      <c r="AV76" s="462">
        <v>34</v>
      </c>
      <c r="AW76" s="461"/>
      <c r="AY76" s="461"/>
      <c r="AZ76" s="462">
        <v>34</v>
      </c>
      <c r="BA76" s="463"/>
      <c r="BB76" s="500"/>
      <c r="BC76" s="461"/>
      <c r="BD76" s="461"/>
      <c r="BE76" s="461"/>
      <c r="BF76" s="462">
        <v>34</v>
      </c>
      <c r="BG76" s="461"/>
      <c r="BH76" s="461"/>
      <c r="BI76" s="461"/>
      <c r="BJ76" s="462">
        <v>34</v>
      </c>
      <c r="BK76" s="461"/>
      <c r="BL76" s="461"/>
      <c r="BM76" s="461"/>
      <c r="BN76" s="462">
        <v>34</v>
      </c>
      <c r="BO76" s="461"/>
      <c r="BP76" s="461"/>
      <c r="BQ76" s="461"/>
      <c r="BR76" s="462">
        <v>34</v>
      </c>
      <c r="BS76" s="474"/>
    </row>
    <row r="77" spans="1:71" ht="17" thickBot="1" x14ac:dyDescent="0.25">
      <c r="A77" s="401" t="s">
        <v>661</v>
      </c>
      <c r="B77" s="467"/>
      <c r="C77" s="467"/>
      <c r="D77" s="467"/>
      <c r="E77" s="467"/>
      <c r="F77" s="404"/>
      <c r="G77" s="404"/>
      <c r="H77" s="404"/>
      <c r="I77" s="404"/>
      <c r="J77" s="404"/>
      <c r="K77" s="404"/>
      <c r="L77" s="404"/>
      <c r="M77" s="404"/>
      <c r="N77" s="404"/>
      <c r="O77" s="404"/>
      <c r="P77" s="404"/>
      <c r="Q77" s="404"/>
      <c r="R77" s="404"/>
      <c r="S77" s="404"/>
      <c r="T77" s="404"/>
      <c r="U77" s="404"/>
      <c r="V77" s="404"/>
      <c r="W77" s="404"/>
      <c r="X77" s="404"/>
      <c r="Y77" s="404"/>
      <c r="Z77" s="404"/>
      <c r="AA77" s="404"/>
      <c r="AB77" s="404"/>
      <c r="AC77" s="404"/>
      <c r="AD77" s="404"/>
      <c r="AE77" s="404"/>
      <c r="AF77" s="404"/>
      <c r="AG77" s="404"/>
      <c r="AH77" s="404"/>
      <c r="AI77" s="404"/>
      <c r="AJ77" s="404"/>
      <c r="AK77" s="404"/>
      <c r="AL77" s="405"/>
      <c r="AM77" s="404"/>
      <c r="AN77" s="404"/>
      <c r="AO77" s="404"/>
      <c r="AP77" s="404"/>
      <c r="AQ77" s="404"/>
      <c r="AR77" s="404"/>
      <c r="AS77" s="404"/>
      <c r="AT77" s="404"/>
      <c r="AU77" s="404"/>
      <c r="AV77" s="404"/>
      <c r="AW77" s="404"/>
      <c r="AX77" s="404"/>
      <c r="AY77" s="404"/>
      <c r="AZ77" s="404"/>
      <c r="BA77" s="404"/>
      <c r="BB77" s="404"/>
      <c r="BC77" s="404"/>
      <c r="BD77" s="404"/>
      <c r="BE77" s="404"/>
      <c r="BF77" s="404"/>
      <c r="BG77" s="404"/>
      <c r="BH77" s="404"/>
      <c r="BI77" s="404"/>
      <c r="BJ77" s="404"/>
      <c r="BK77" s="404"/>
      <c r="BL77" s="404"/>
      <c r="BM77" s="404"/>
      <c r="BN77" s="404"/>
      <c r="BO77" s="404"/>
      <c r="BP77" s="404"/>
      <c r="BQ77" s="404"/>
      <c r="BR77" s="404"/>
      <c r="BS77" s="468"/>
    </row>
    <row r="78" spans="1:71" ht="17" thickBot="1" x14ac:dyDescent="0.25">
      <c r="A78" s="407" t="s">
        <v>467</v>
      </c>
      <c r="B78" s="408" t="s">
        <v>662</v>
      </c>
      <c r="C78" s="409" t="s">
        <v>663</v>
      </c>
      <c r="D78" s="409" t="s">
        <v>664</v>
      </c>
      <c r="E78" s="409"/>
      <c r="F78" s="410"/>
      <c r="G78" s="1230">
        <v>144</v>
      </c>
      <c r="H78" s="1230"/>
      <c r="I78" s="1230"/>
      <c r="J78" s="1231"/>
      <c r="K78" s="1232">
        <v>144</v>
      </c>
      <c r="L78" s="1230"/>
      <c r="M78" s="1230"/>
      <c r="N78" s="1231"/>
      <c r="O78" s="1233">
        <v>144</v>
      </c>
      <c r="P78" s="1234"/>
      <c r="Q78" s="1234"/>
      <c r="R78" s="1235"/>
      <c r="S78" s="1232">
        <v>72</v>
      </c>
      <c r="T78" s="1230"/>
      <c r="U78" s="413"/>
      <c r="V78" s="413"/>
      <c r="W78" s="1230">
        <v>72</v>
      </c>
      <c r="X78" s="1231"/>
      <c r="Y78" s="1232">
        <v>144</v>
      </c>
      <c r="Z78" s="1230"/>
      <c r="AA78" s="1230"/>
      <c r="AB78" s="1231"/>
      <c r="AC78" s="1232">
        <v>144</v>
      </c>
      <c r="AD78" s="1230"/>
      <c r="AE78" s="1230"/>
      <c r="AF78" s="1231"/>
      <c r="AG78" s="1232">
        <v>144</v>
      </c>
      <c r="AH78" s="1230"/>
      <c r="AI78" s="1230"/>
      <c r="AJ78" s="1231"/>
      <c r="AK78" s="1232">
        <v>72</v>
      </c>
      <c r="AL78" s="1231"/>
      <c r="AM78" s="1219">
        <v>72</v>
      </c>
      <c r="AN78" s="1221"/>
      <c r="AO78" s="1219">
        <v>144</v>
      </c>
      <c r="AP78" s="1220"/>
      <c r="AQ78" s="1220"/>
      <c r="AR78" s="1221"/>
      <c r="AS78" s="1220">
        <v>144</v>
      </c>
      <c r="AT78" s="1220"/>
      <c r="AU78" s="1220"/>
      <c r="AV78" s="1221"/>
      <c r="AW78" s="1219">
        <v>144</v>
      </c>
      <c r="AX78" s="1220"/>
      <c r="AY78" s="1220"/>
      <c r="AZ78" s="1221"/>
      <c r="BA78" s="413"/>
      <c r="BB78" s="413"/>
      <c r="BC78" s="1220">
        <v>72</v>
      </c>
      <c r="BD78" s="1220"/>
      <c r="BE78" s="469"/>
      <c r="BF78" s="469"/>
      <c r="BG78" s="410"/>
      <c r="BH78" s="410"/>
      <c r="BI78" s="410"/>
      <c r="BJ78" s="410"/>
      <c r="BK78" s="410"/>
      <c r="BL78" s="410"/>
      <c r="BM78" s="410"/>
      <c r="BN78" s="410"/>
      <c r="BO78" s="410"/>
      <c r="BP78" s="410"/>
      <c r="BQ78" s="410"/>
      <c r="BR78" s="410"/>
      <c r="BS78" s="443">
        <f>SUM(F78:BQ78)</f>
        <v>1656</v>
      </c>
    </row>
    <row r="79" spans="1:71" ht="16" x14ac:dyDescent="0.2">
      <c r="A79" s="417" t="s">
        <v>421</v>
      </c>
      <c r="B79" s="418"/>
      <c r="C79" s="419"/>
      <c r="D79" s="419"/>
      <c r="E79" s="419"/>
      <c r="F79" s="420"/>
      <c r="G79" s="420"/>
      <c r="H79" s="420"/>
      <c r="I79" s="420"/>
      <c r="J79" s="420"/>
      <c r="K79" s="451"/>
      <c r="L79" s="420"/>
      <c r="M79" s="420"/>
      <c r="N79" s="420"/>
      <c r="O79" s="451"/>
      <c r="P79" s="420"/>
      <c r="Q79" s="420"/>
      <c r="R79" s="470"/>
      <c r="S79" s="451"/>
      <c r="T79" s="420"/>
      <c r="U79" s="423"/>
      <c r="V79" s="423"/>
      <c r="W79" s="420"/>
      <c r="X79" s="420"/>
      <c r="Y79" s="451"/>
      <c r="Z79" s="420"/>
      <c r="AA79" s="420"/>
      <c r="AB79" s="420"/>
      <c r="AC79" s="451"/>
      <c r="AD79" s="420"/>
      <c r="AE79" s="420"/>
      <c r="AF79" s="420"/>
      <c r="AG79" s="451"/>
      <c r="AH79" s="420"/>
      <c r="AI79" s="420"/>
      <c r="AJ79" s="420"/>
      <c r="AK79" s="451"/>
      <c r="AL79" s="471"/>
      <c r="AM79" s="420"/>
      <c r="AN79" s="420"/>
      <c r="AO79" s="451"/>
      <c r="AP79" s="420"/>
      <c r="AQ79" s="420"/>
      <c r="AR79" s="420"/>
      <c r="AS79" s="451"/>
      <c r="AT79" s="420"/>
      <c r="AU79" s="502"/>
      <c r="AV79" s="420"/>
      <c r="AW79" s="420"/>
      <c r="AX79" s="420"/>
      <c r="AY79" s="451"/>
      <c r="AZ79" s="420"/>
      <c r="BA79" s="423"/>
      <c r="BB79" s="423"/>
      <c r="BC79" s="451"/>
      <c r="BD79" s="420"/>
      <c r="BE79" s="420"/>
      <c r="BF79" s="420"/>
      <c r="BG79" s="420"/>
      <c r="BH79" s="420"/>
      <c r="BI79" s="420"/>
      <c r="BJ79" s="420"/>
      <c r="BK79" s="420"/>
      <c r="BL79" s="420"/>
      <c r="BM79" s="420"/>
      <c r="BN79" s="420"/>
      <c r="BO79" s="420"/>
      <c r="BP79" s="420"/>
      <c r="BQ79" s="420"/>
      <c r="BR79" s="420"/>
      <c r="BS79" s="434"/>
    </row>
    <row r="80" spans="1:71" ht="17" thickBot="1" x14ac:dyDescent="0.25">
      <c r="A80" s="479" t="s">
        <v>648</v>
      </c>
      <c r="B80" s="476"/>
      <c r="C80" s="477"/>
      <c r="D80" s="477"/>
      <c r="E80" s="477" t="s">
        <v>665</v>
      </c>
      <c r="F80" s="480"/>
      <c r="G80" s="454"/>
      <c r="H80" s="454"/>
      <c r="I80" s="454"/>
      <c r="J80" s="454"/>
      <c r="K80" s="454"/>
      <c r="L80" s="481">
        <v>144</v>
      </c>
      <c r="M80" s="454"/>
      <c r="N80" s="454"/>
      <c r="O80" s="454"/>
      <c r="P80" s="481">
        <v>144</v>
      </c>
      <c r="Q80" s="454"/>
      <c r="R80" s="454"/>
      <c r="S80" s="454"/>
      <c r="T80" s="481">
        <v>144</v>
      </c>
      <c r="U80" s="482"/>
      <c r="V80" s="482"/>
      <c r="W80" s="454"/>
      <c r="X80" s="454"/>
      <c r="Y80" s="454"/>
      <c r="Z80" s="481">
        <v>144</v>
      </c>
      <c r="AA80" s="454"/>
      <c r="AB80" s="454"/>
      <c r="AC80" s="454"/>
      <c r="AD80" s="481">
        <v>144</v>
      </c>
      <c r="AE80" s="454"/>
      <c r="AF80" s="454"/>
      <c r="AG80" s="454"/>
      <c r="AH80" s="481">
        <v>144</v>
      </c>
      <c r="AI80" s="454"/>
      <c r="AJ80" s="454"/>
      <c r="AK80" s="461"/>
      <c r="AL80" s="483">
        <v>144</v>
      </c>
      <c r="AM80" s="461"/>
      <c r="AN80" s="461"/>
      <c r="AO80" s="461"/>
      <c r="AP80" s="462">
        <v>144</v>
      </c>
      <c r="AQ80" s="461"/>
      <c r="AR80" s="461"/>
      <c r="AS80" s="461"/>
      <c r="AT80" s="462">
        <v>144</v>
      </c>
      <c r="AU80" s="461"/>
      <c r="AW80" s="461"/>
      <c r="AX80" s="461"/>
      <c r="AY80" s="461"/>
      <c r="AZ80" s="462">
        <v>144</v>
      </c>
      <c r="BA80" s="463"/>
      <c r="BB80" s="463"/>
      <c r="BC80" s="461"/>
      <c r="BD80" s="462">
        <v>72</v>
      </c>
      <c r="BE80" s="461"/>
      <c r="BF80" s="461"/>
      <c r="BG80" s="461"/>
      <c r="BH80" s="461"/>
      <c r="BI80" s="461"/>
      <c r="BJ80" s="461"/>
      <c r="BK80" s="461"/>
      <c r="BL80" s="461"/>
      <c r="BM80" s="461"/>
      <c r="BN80" s="461"/>
      <c r="BO80" s="461"/>
      <c r="BP80" s="461"/>
      <c r="BQ80" s="461"/>
      <c r="BR80" s="461"/>
      <c r="BS80" s="443">
        <f>BS78</f>
        <v>1656</v>
      </c>
    </row>
    <row r="81" spans="1:71" ht="17" thickBot="1" x14ac:dyDescent="0.25">
      <c r="A81" s="484" t="s">
        <v>76</v>
      </c>
      <c r="B81" s="467"/>
      <c r="C81" s="467"/>
      <c r="D81" s="467"/>
      <c r="E81" s="467"/>
      <c r="F81" s="184"/>
      <c r="G81" s="404"/>
      <c r="H81" s="404"/>
      <c r="I81" s="404"/>
      <c r="J81" s="404"/>
      <c r="K81" s="404"/>
      <c r="L81" s="404"/>
      <c r="M81" s="404"/>
      <c r="N81" s="404"/>
      <c r="O81" s="404"/>
      <c r="P81" s="404"/>
      <c r="Q81" s="404"/>
      <c r="R81" s="404"/>
      <c r="S81" s="404"/>
      <c r="T81" s="404"/>
      <c r="U81" s="404"/>
      <c r="V81" s="404"/>
      <c r="W81" s="404"/>
      <c r="X81" s="404"/>
      <c r="Y81" s="404"/>
      <c r="Z81" s="404"/>
      <c r="AA81" s="404"/>
      <c r="AB81" s="404"/>
      <c r="AC81" s="404"/>
      <c r="AD81" s="404"/>
      <c r="AE81" s="404"/>
      <c r="AF81" s="404"/>
      <c r="AG81" s="404"/>
      <c r="AH81" s="404"/>
      <c r="AI81" s="404"/>
      <c r="AJ81" s="404"/>
      <c r="AK81" s="404"/>
      <c r="AL81" s="405"/>
      <c r="AM81" s="404"/>
      <c r="AN81" s="404"/>
      <c r="AO81" s="404"/>
      <c r="AP81" s="404"/>
      <c r="AQ81" s="404"/>
      <c r="AR81" s="404"/>
      <c r="AS81" s="404"/>
      <c r="AT81" s="404"/>
      <c r="AU81" s="404"/>
      <c r="AV81" s="404"/>
      <c r="AW81" s="404"/>
      <c r="AX81" s="404"/>
      <c r="AY81" s="404"/>
      <c r="AZ81" s="404"/>
      <c r="BA81" s="404"/>
      <c r="BB81" s="404"/>
      <c r="BC81" s="404"/>
      <c r="BD81" s="404"/>
      <c r="BE81" s="404"/>
      <c r="BF81" s="404"/>
      <c r="BG81" s="404"/>
      <c r="BH81" s="404"/>
      <c r="BI81" s="404"/>
      <c r="BJ81" s="404"/>
      <c r="BK81" s="404"/>
      <c r="BL81" s="404"/>
      <c r="BM81" s="404"/>
      <c r="BN81" s="404"/>
      <c r="BO81" s="404"/>
      <c r="BP81" s="404"/>
      <c r="BQ81" s="404"/>
      <c r="BR81" s="404"/>
      <c r="BS81" s="468" t="s">
        <v>666</v>
      </c>
    </row>
    <row r="82" spans="1:71" ht="16" x14ac:dyDescent="0.2">
      <c r="A82" s="407" t="s">
        <v>667</v>
      </c>
      <c r="B82" s="409" t="s">
        <v>634</v>
      </c>
      <c r="C82" s="409" t="s">
        <v>668</v>
      </c>
      <c r="D82" s="409" t="s">
        <v>669</v>
      </c>
      <c r="E82" s="409" t="s">
        <v>649</v>
      </c>
      <c r="F82" s="410"/>
      <c r="G82" s="410"/>
      <c r="H82" s="410"/>
      <c r="I82" s="410"/>
      <c r="J82" s="410"/>
      <c r="K82" s="410"/>
      <c r="L82" s="410"/>
      <c r="M82" s="410"/>
      <c r="N82" s="1230">
        <v>19</v>
      </c>
      <c r="O82" s="1231"/>
      <c r="P82" s="1232">
        <v>30</v>
      </c>
      <c r="Q82" s="1230"/>
      <c r="R82" s="1230"/>
      <c r="S82" s="1231"/>
      <c r="T82" s="411">
        <v>8</v>
      </c>
      <c r="U82" s="413"/>
      <c r="V82" s="413"/>
      <c r="W82" s="1230">
        <v>22</v>
      </c>
      <c r="X82" s="1230"/>
      <c r="Y82" s="1231"/>
      <c r="Z82" s="1232">
        <v>30</v>
      </c>
      <c r="AA82" s="1230"/>
      <c r="AB82" s="1230"/>
      <c r="AC82" s="1231"/>
      <c r="AD82" s="1232">
        <v>34</v>
      </c>
      <c r="AE82" s="1230"/>
      <c r="AF82" s="1230"/>
      <c r="AG82" s="1231"/>
      <c r="AH82" s="1232">
        <v>34</v>
      </c>
      <c r="AI82" s="1230"/>
      <c r="AJ82" s="1230"/>
      <c r="AK82" s="1231"/>
      <c r="AL82" s="412">
        <v>8</v>
      </c>
      <c r="AM82" s="1219">
        <v>26</v>
      </c>
      <c r="AN82" s="1220"/>
      <c r="AO82" s="1221"/>
      <c r="AP82" s="1219">
        <v>34</v>
      </c>
      <c r="AQ82" s="1220"/>
      <c r="AR82" s="1220"/>
      <c r="AS82" s="1221"/>
      <c r="AT82" s="1219">
        <v>34</v>
      </c>
      <c r="AU82" s="1220"/>
      <c r="AV82" s="1220"/>
      <c r="AW82" s="1221"/>
      <c r="AX82" s="1219">
        <v>26</v>
      </c>
      <c r="AY82" s="1220"/>
      <c r="AZ82" s="1220"/>
      <c r="BA82" s="413"/>
      <c r="BB82" s="413"/>
      <c r="BC82" s="414">
        <v>8</v>
      </c>
      <c r="BD82" s="1219">
        <v>34</v>
      </c>
      <c r="BE82" s="1220"/>
      <c r="BF82" s="1220"/>
      <c r="BG82" s="1221"/>
      <c r="BH82" s="1219">
        <v>31</v>
      </c>
      <c r="BI82" s="1220"/>
      <c r="BJ82" s="1220"/>
      <c r="BK82" s="1221"/>
      <c r="BL82" s="1219">
        <v>30</v>
      </c>
      <c r="BM82" s="1220"/>
      <c r="BN82" s="1220"/>
      <c r="BO82" s="1221"/>
      <c r="BP82" s="1219">
        <v>22</v>
      </c>
      <c r="BQ82" s="1220"/>
      <c r="BR82" s="1222"/>
      <c r="BS82" s="485">
        <f>SUM(G82:BR82)</f>
        <v>430</v>
      </c>
    </row>
    <row r="83" spans="1:71" ht="17" thickBot="1" x14ac:dyDescent="0.25">
      <c r="A83" s="486" t="s">
        <v>421</v>
      </c>
      <c r="B83" s="487"/>
      <c r="C83" s="487"/>
      <c r="D83" s="487"/>
      <c r="E83" s="487"/>
      <c r="F83" s="461"/>
      <c r="G83" s="461"/>
      <c r="H83" s="461"/>
      <c r="I83" s="461"/>
      <c r="J83" s="461"/>
      <c r="K83" s="461"/>
      <c r="L83" s="461"/>
      <c r="M83" s="461"/>
      <c r="N83" s="461"/>
      <c r="O83" s="461"/>
      <c r="P83" s="488"/>
      <c r="Q83" s="461"/>
      <c r="R83" s="461"/>
      <c r="S83" s="461"/>
      <c r="T83" s="488"/>
      <c r="U83" s="463"/>
      <c r="V83" s="463"/>
      <c r="W83" s="461"/>
      <c r="X83" s="461"/>
      <c r="Y83" s="461"/>
      <c r="Z83" s="488"/>
      <c r="AA83" s="461"/>
      <c r="AB83" s="461"/>
      <c r="AC83" s="461"/>
      <c r="AD83" s="488"/>
      <c r="AE83" s="461"/>
      <c r="AF83" s="461"/>
      <c r="AG83" s="461"/>
      <c r="AH83" s="488"/>
      <c r="AI83" s="461"/>
      <c r="AJ83" s="461"/>
      <c r="AK83" s="461"/>
      <c r="AL83" s="501"/>
      <c r="AM83" s="461"/>
      <c r="AN83" s="461"/>
      <c r="AO83" s="461"/>
      <c r="AP83" s="488"/>
      <c r="AQ83" s="461"/>
      <c r="AR83" s="461"/>
      <c r="AS83" s="461"/>
      <c r="AT83" s="488"/>
      <c r="AU83" s="461"/>
      <c r="AV83" s="461"/>
      <c r="AW83" s="15"/>
      <c r="AX83" s="504"/>
      <c r="AY83" s="480"/>
      <c r="AZ83" s="480"/>
      <c r="BA83" s="503"/>
      <c r="BB83" s="503"/>
      <c r="BC83" s="480"/>
      <c r="BD83" s="504"/>
      <c r="BE83" s="15"/>
      <c r="BF83" s="480"/>
      <c r="BG83" s="480"/>
      <c r="BH83" s="504"/>
      <c r="BI83" s="15"/>
      <c r="BJ83" s="480"/>
      <c r="BK83" s="480"/>
      <c r="BL83" s="504"/>
      <c r="BM83" s="15"/>
      <c r="BN83" s="480"/>
      <c r="BO83" s="480"/>
      <c r="BP83" s="504"/>
      <c r="BQ83" s="15"/>
      <c r="BR83" s="461"/>
      <c r="BS83" s="489"/>
    </row>
  </sheetData>
  <mergeCells count="169">
    <mergeCell ref="A53:B53"/>
    <mergeCell ref="A54:B54"/>
    <mergeCell ref="F55:G55"/>
    <mergeCell ref="J55:K55"/>
    <mergeCell ref="K18:M18"/>
    <mergeCell ref="A16:H16"/>
    <mergeCell ref="BI62:BL62"/>
    <mergeCell ref="BM62:BP62"/>
    <mergeCell ref="AU62:AX62"/>
    <mergeCell ref="BE62:BH62"/>
    <mergeCell ref="BO60:BP60"/>
    <mergeCell ref="AK60:AL60"/>
    <mergeCell ref="S60:T60"/>
    <mergeCell ref="BC59:BF59"/>
    <mergeCell ref="BG59:BJ59"/>
    <mergeCell ref="BK59:BN59"/>
    <mergeCell ref="BO59:BP59"/>
    <mergeCell ref="AK59:AL59"/>
    <mergeCell ref="AM59:AN59"/>
    <mergeCell ref="AO59:AR59"/>
    <mergeCell ref="S59:T59"/>
    <mergeCell ref="W59:X59"/>
    <mergeCell ref="Y59:AB59"/>
    <mergeCell ref="AC59:AF59"/>
    <mergeCell ref="AS59:AV59"/>
    <mergeCell ref="AW59:AZ59"/>
    <mergeCell ref="AS60:AU60"/>
    <mergeCell ref="AW60:AY60"/>
    <mergeCell ref="AR61:AT61"/>
    <mergeCell ref="L65:M65"/>
    <mergeCell ref="N65:O65"/>
    <mergeCell ref="Q65:R65"/>
    <mergeCell ref="W65:X65"/>
    <mergeCell ref="I65:K65"/>
    <mergeCell ref="K63:L63"/>
    <mergeCell ref="W63:Y63"/>
    <mergeCell ref="AA63:AC63"/>
    <mergeCell ref="J61:L61"/>
    <mergeCell ref="BA65:BB65"/>
    <mergeCell ref="BE65:BF65"/>
    <mergeCell ref="BI65:BJ65"/>
    <mergeCell ref="BM65:BN65"/>
    <mergeCell ref="AU65:AV65"/>
    <mergeCell ref="AA65:AB65"/>
    <mergeCell ref="AE65:AF65"/>
    <mergeCell ref="AI65:AJ65"/>
    <mergeCell ref="AM65:AN65"/>
    <mergeCell ref="AQ65:AR65"/>
    <mergeCell ref="AV61:AX61"/>
    <mergeCell ref="AQ62:AT62"/>
    <mergeCell ref="AY62:AZ62"/>
    <mergeCell ref="AQ63:AS63"/>
    <mergeCell ref="AU63:AW63"/>
    <mergeCell ref="AY63:AZ63"/>
    <mergeCell ref="X66:AA66"/>
    <mergeCell ref="AB66:AE66"/>
    <mergeCell ref="AF66:AI66"/>
    <mergeCell ref="AJ66:AL66"/>
    <mergeCell ref="N66:Q66"/>
    <mergeCell ref="R66:T66"/>
    <mergeCell ref="AY65:AZ65"/>
    <mergeCell ref="AW65:AX65"/>
    <mergeCell ref="AN66:AQ66"/>
    <mergeCell ref="Y55:Z55"/>
    <mergeCell ref="I62:L62"/>
    <mergeCell ref="M62:P62"/>
    <mergeCell ref="Q62:T62"/>
    <mergeCell ref="W62:Z62"/>
    <mergeCell ref="AA62:AD62"/>
    <mergeCell ref="AE62:AH62"/>
    <mergeCell ref="AI62:AL62"/>
    <mergeCell ref="AM62:AP62"/>
    <mergeCell ref="U55:V55"/>
    <mergeCell ref="Q55:R55"/>
    <mergeCell ref="G59:J59"/>
    <mergeCell ref="K59:N59"/>
    <mergeCell ref="O59:R59"/>
    <mergeCell ref="AG59:AJ59"/>
    <mergeCell ref="G73:J73"/>
    <mergeCell ref="O73:R73"/>
    <mergeCell ref="W73:X73"/>
    <mergeCell ref="S73:T73"/>
    <mergeCell ref="AN70:AR70"/>
    <mergeCell ref="AK71:AL71"/>
    <mergeCell ref="K73:N73"/>
    <mergeCell ref="Y73:AB73"/>
    <mergeCell ref="AC73:AF73"/>
    <mergeCell ref="AG73:AJ73"/>
    <mergeCell ref="AK73:AL73"/>
    <mergeCell ref="K71:L71"/>
    <mergeCell ref="O71:P71"/>
    <mergeCell ref="S71:T71"/>
    <mergeCell ref="G70:J70"/>
    <mergeCell ref="K70:N70"/>
    <mergeCell ref="O70:R70"/>
    <mergeCell ref="S70:T70"/>
    <mergeCell ref="W70:X70"/>
    <mergeCell ref="Y71:Z71"/>
    <mergeCell ref="K74:L74"/>
    <mergeCell ref="O74:P74"/>
    <mergeCell ref="S74:T74"/>
    <mergeCell ref="Y74:Z74"/>
    <mergeCell ref="AO73:AR73"/>
    <mergeCell ref="BC73:BF73"/>
    <mergeCell ref="BG73:BJ73"/>
    <mergeCell ref="M74:N74"/>
    <mergeCell ref="AM78:AN78"/>
    <mergeCell ref="AO78:AR78"/>
    <mergeCell ref="W82:Y82"/>
    <mergeCell ref="Z82:AC82"/>
    <mergeCell ref="AD82:AG82"/>
    <mergeCell ref="N82:O82"/>
    <mergeCell ref="P82:S82"/>
    <mergeCell ref="AW74:AX74"/>
    <mergeCell ref="BC74:BD74"/>
    <mergeCell ref="AC74:AD74"/>
    <mergeCell ref="AG74:AH74"/>
    <mergeCell ref="AK74:AL74"/>
    <mergeCell ref="AO74:AP74"/>
    <mergeCell ref="AS74:AT74"/>
    <mergeCell ref="AH82:AK82"/>
    <mergeCell ref="AM82:AO82"/>
    <mergeCell ref="AP82:AS82"/>
    <mergeCell ref="AT82:AW82"/>
    <mergeCell ref="AX82:AZ82"/>
    <mergeCell ref="BD82:BG82"/>
    <mergeCell ref="G78:J78"/>
    <mergeCell ref="K78:N78"/>
    <mergeCell ref="O78:R78"/>
    <mergeCell ref="S78:T78"/>
    <mergeCell ref="W78:X78"/>
    <mergeCell ref="Y78:AB78"/>
    <mergeCell ref="AC78:AF78"/>
    <mergeCell ref="AG78:AJ78"/>
    <mergeCell ref="AK78:AL78"/>
    <mergeCell ref="BH82:BK82"/>
    <mergeCell ref="BL82:BO82"/>
    <mergeCell ref="BP82:BR82"/>
    <mergeCell ref="AS73:AV73"/>
    <mergeCell ref="AW73:AZ73"/>
    <mergeCell ref="AS78:AV78"/>
    <mergeCell ref="AW78:AZ78"/>
    <mergeCell ref="BC66:BE66"/>
    <mergeCell ref="BF66:BI66"/>
    <mergeCell ref="BC78:BD78"/>
    <mergeCell ref="BA66:BB66"/>
    <mergeCell ref="BG74:BH74"/>
    <mergeCell ref="BK74:BL74"/>
    <mergeCell ref="BO74:BP74"/>
    <mergeCell ref="BK73:BO73"/>
    <mergeCell ref="BJ66:BM66"/>
    <mergeCell ref="BN66:BP66"/>
    <mergeCell ref="AR66:AU66"/>
    <mergeCell ref="AV66:AY66"/>
    <mergeCell ref="A21:C21"/>
    <mergeCell ref="A36:A37"/>
    <mergeCell ref="A38:A42"/>
    <mergeCell ref="A43:A44"/>
    <mergeCell ref="B38:D42"/>
    <mergeCell ref="B43:D44"/>
    <mergeCell ref="B45:D45"/>
    <mergeCell ref="B46:D46"/>
    <mergeCell ref="E38:G38"/>
    <mergeCell ref="E39:G39"/>
    <mergeCell ref="E40:G40"/>
    <mergeCell ref="E41:G41"/>
    <mergeCell ref="E45:G45"/>
    <mergeCell ref="B36:D37"/>
    <mergeCell ref="E46:G4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6D9A-5BBD-402B-990A-59E30C267DEE}">
  <dimension ref="A1:X155"/>
  <sheetViews>
    <sheetView zoomScale="49" zoomScaleNormal="85" workbookViewId="0">
      <selection activeCell="E8" sqref="E8"/>
    </sheetView>
  </sheetViews>
  <sheetFormatPr baseColWidth="10" defaultColWidth="8.83203125" defaultRowHeight="15" x14ac:dyDescent="0.2"/>
  <cols>
    <col min="1" max="1" width="24.6640625" bestFit="1" customWidth="1"/>
    <col min="2" max="2" width="27" bestFit="1" customWidth="1"/>
    <col min="3" max="3" width="19.5" customWidth="1"/>
    <col min="4" max="4" width="16.6640625" customWidth="1"/>
    <col min="5" max="5" width="25.6640625" customWidth="1"/>
    <col min="6" max="6" width="23.6640625" customWidth="1"/>
    <col min="7" max="7" width="22" bestFit="1" customWidth="1"/>
    <col min="8" max="8" width="18.33203125" bestFit="1" customWidth="1"/>
    <col min="9" max="9" width="19.6640625" customWidth="1"/>
    <col min="10" max="10" width="29.6640625" bestFit="1" customWidth="1"/>
    <col min="11" max="11" width="29.6640625" customWidth="1"/>
    <col min="12" max="12" width="23.5" bestFit="1" customWidth="1"/>
    <col min="13" max="13" width="27.33203125" bestFit="1" customWidth="1"/>
    <col min="14" max="14" width="29.6640625" customWidth="1"/>
    <col min="15" max="15" width="45.33203125" bestFit="1" customWidth="1"/>
    <col min="16" max="16" width="14.1640625" bestFit="1" customWidth="1"/>
    <col min="17" max="17" width="25.1640625" bestFit="1" customWidth="1"/>
    <col min="18" max="18" width="14" bestFit="1" customWidth="1"/>
    <col min="19" max="19" width="17.1640625" bestFit="1" customWidth="1"/>
    <col min="20" max="20" width="19.6640625" customWidth="1"/>
    <col min="21" max="22" width="28" bestFit="1" customWidth="1"/>
    <col min="23" max="23" width="22.6640625" bestFit="1" customWidth="1"/>
    <col min="24" max="24" width="17.6640625" bestFit="1" customWidth="1"/>
    <col min="25" max="26" width="12" bestFit="1" customWidth="1"/>
  </cols>
  <sheetData>
    <row r="1" spans="1:20" ht="16" thickBot="1" x14ac:dyDescent="0.25"/>
    <row r="2" spans="1:20" ht="48" customHeight="1" thickBot="1" x14ac:dyDescent="0.25">
      <c r="B2" s="602" t="s">
        <v>670</v>
      </c>
      <c r="C2" s="603" t="s">
        <v>671</v>
      </c>
      <c r="D2" s="603" t="s">
        <v>672</v>
      </c>
      <c r="E2" s="604" t="s">
        <v>673</v>
      </c>
      <c r="F2" s="604" t="s">
        <v>674</v>
      </c>
      <c r="G2" s="603" t="s">
        <v>675</v>
      </c>
      <c r="H2" s="604" t="s">
        <v>676</v>
      </c>
      <c r="I2" s="604" t="s">
        <v>677</v>
      </c>
      <c r="J2" s="604" t="s">
        <v>678</v>
      </c>
      <c r="K2" s="603" t="s">
        <v>679</v>
      </c>
      <c r="L2" s="603" t="s">
        <v>680</v>
      </c>
      <c r="M2" s="603" t="s">
        <v>681</v>
      </c>
      <c r="N2" s="603" t="s">
        <v>682</v>
      </c>
      <c r="O2" s="603" t="s">
        <v>683</v>
      </c>
      <c r="P2" s="605" t="s">
        <v>684</v>
      </c>
    </row>
    <row r="3" spans="1:20" x14ac:dyDescent="0.2">
      <c r="B3" s="598" t="s">
        <v>159</v>
      </c>
      <c r="C3" s="599">
        <v>416000</v>
      </c>
      <c r="D3" s="335">
        <v>1</v>
      </c>
      <c r="E3" s="599">
        <f t="shared" ref="E3:E12" si="0">SUM(C3/D3)</f>
        <v>416000</v>
      </c>
      <c r="F3" s="599">
        <f t="shared" ref="F3:F13" si="1">SUM(E3)</f>
        <v>416000</v>
      </c>
      <c r="G3" s="335">
        <v>2</v>
      </c>
      <c r="H3" s="599">
        <f t="shared" ref="H3:H12" si="2">SUM(F3/G3)</f>
        <v>208000</v>
      </c>
      <c r="I3" s="600">
        <v>1.2</v>
      </c>
      <c r="J3" s="600">
        <f>SUM(H3*I3)</f>
        <v>249600</v>
      </c>
      <c r="K3" s="601">
        <v>0.2</v>
      </c>
      <c r="L3" s="335">
        <f t="shared" ref="L3:L12" si="3">SUM(K3*J3)</f>
        <v>49920</v>
      </c>
      <c r="M3" s="621">
        <v>6700</v>
      </c>
      <c r="N3" s="335">
        <v>1</v>
      </c>
      <c r="O3" s="335">
        <f t="shared" ref="O3:O12" si="4">SUM(N3*M3)</f>
        <v>6700</v>
      </c>
      <c r="P3" s="336">
        <f t="shared" ref="P3:P12" si="5">SUM(O3+L3)</f>
        <v>56620</v>
      </c>
    </row>
    <row r="4" spans="1:20" x14ac:dyDescent="0.2">
      <c r="B4" s="606" t="s">
        <v>155</v>
      </c>
      <c r="C4" s="607">
        <v>416000</v>
      </c>
      <c r="D4" s="569">
        <v>1</v>
      </c>
      <c r="E4" s="607">
        <f t="shared" si="0"/>
        <v>416000</v>
      </c>
      <c r="F4" s="607">
        <f t="shared" si="1"/>
        <v>416000</v>
      </c>
      <c r="G4" s="149">
        <v>2</v>
      </c>
      <c r="H4" s="607">
        <f t="shared" si="2"/>
        <v>208000</v>
      </c>
      <c r="I4" s="608">
        <v>1.2</v>
      </c>
      <c r="J4" s="608">
        <f>SUM(H4*I4)</f>
        <v>249600</v>
      </c>
      <c r="K4" s="609">
        <v>0.2</v>
      </c>
      <c r="L4" s="149">
        <f t="shared" si="3"/>
        <v>49920</v>
      </c>
      <c r="M4" s="622">
        <v>6700</v>
      </c>
      <c r="N4" s="569">
        <v>1</v>
      </c>
      <c r="O4" s="569">
        <f t="shared" si="4"/>
        <v>6700</v>
      </c>
      <c r="P4" s="626">
        <f t="shared" si="5"/>
        <v>56620</v>
      </c>
    </row>
    <row r="5" spans="1:20" x14ac:dyDescent="0.2">
      <c r="B5" s="596" t="s">
        <v>153</v>
      </c>
      <c r="C5" s="592">
        <v>832000</v>
      </c>
      <c r="D5" s="335">
        <v>1</v>
      </c>
      <c r="E5" s="592">
        <f t="shared" si="0"/>
        <v>832000</v>
      </c>
      <c r="F5" s="592">
        <f t="shared" si="1"/>
        <v>832000</v>
      </c>
      <c r="G5" s="6">
        <v>2</v>
      </c>
      <c r="H5" s="592">
        <f t="shared" si="2"/>
        <v>416000</v>
      </c>
      <c r="I5" s="593">
        <v>1.5</v>
      </c>
      <c r="J5" s="593">
        <f>SUM(I5*H5)</f>
        <v>624000</v>
      </c>
      <c r="K5" s="594">
        <v>0.2</v>
      </c>
      <c r="L5" s="6">
        <f t="shared" si="3"/>
        <v>124800</v>
      </c>
      <c r="M5" s="623">
        <v>9500</v>
      </c>
      <c r="N5" s="335">
        <v>1</v>
      </c>
      <c r="O5" s="335">
        <f t="shared" si="4"/>
        <v>9500</v>
      </c>
      <c r="P5" s="336">
        <f t="shared" si="5"/>
        <v>134300</v>
      </c>
    </row>
    <row r="6" spans="1:20" x14ac:dyDescent="0.2">
      <c r="B6" s="606" t="s">
        <v>160</v>
      </c>
      <c r="C6" s="607">
        <v>416000</v>
      </c>
      <c r="D6" s="569">
        <v>1</v>
      </c>
      <c r="E6" s="607">
        <f t="shared" si="0"/>
        <v>416000</v>
      </c>
      <c r="F6" s="607">
        <f t="shared" si="1"/>
        <v>416000</v>
      </c>
      <c r="G6" s="149">
        <v>2</v>
      </c>
      <c r="H6" s="607">
        <f t="shared" si="2"/>
        <v>208000</v>
      </c>
      <c r="I6" s="608">
        <v>0.5</v>
      </c>
      <c r="J6" s="608">
        <f>SUM(H6*I6)</f>
        <v>104000</v>
      </c>
      <c r="K6" s="609">
        <v>0.2</v>
      </c>
      <c r="L6" s="610">
        <f t="shared" si="3"/>
        <v>20800</v>
      </c>
      <c r="M6" s="622">
        <v>6700</v>
      </c>
      <c r="N6" s="569">
        <v>1</v>
      </c>
      <c r="O6" s="569">
        <f t="shared" si="4"/>
        <v>6700</v>
      </c>
      <c r="P6" s="626">
        <f t="shared" si="5"/>
        <v>27500</v>
      </c>
    </row>
    <row r="7" spans="1:20" x14ac:dyDescent="0.2">
      <c r="B7" s="596" t="s">
        <v>157</v>
      </c>
      <c r="C7" s="592">
        <f>SUM(2000*4*52)</f>
        <v>416000</v>
      </c>
      <c r="D7" s="335">
        <v>1</v>
      </c>
      <c r="E7" s="592">
        <f t="shared" si="0"/>
        <v>416000</v>
      </c>
      <c r="F7" s="592">
        <f t="shared" si="1"/>
        <v>416000</v>
      </c>
      <c r="G7" s="6">
        <v>2</v>
      </c>
      <c r="H7" s="592">
        <f t="shared" si="2"/>
        <v>208000</v>
      </c>
      <c r="I7" s="593">
        <v>4.5</v>
      </c>
      <c r="J7" s="593">
        <f t="shared" ref="J7:J12" si="6">SUM(I7*H7)</f>
        <v>936000</v>
      </c>
      <c r="K7" s="594">
        <v>0.2</v>
      </c>
      <c r="L7" s="6">
        <f t="shared" si="3"/>
        <v>187200</v>
      </c>
      <c r="M7" s="623">
        <v>6700</v>
      </c>
      <c r="N7" s="335">
        <v>1</v>
      </c>
      <c r="O7" s="335">
        <f t="shared" si="4"/>
        <v>6700</v>
      </c>
      <c r="P7" s="336">
        <f t="shared" si="5"/>
        <v>193900</v>
      </c>
    </row>
    <row r="8" spans="1:20" x14ac:dyDescent="0.2">
      <c r="B8" s="606" t="s">
        <v>206</v>
      </c>
      <c r="C8" s="607">
        <f>561600/5.4</f>
        <v>104000</v>
      </c>
      <c r="D8" s="569">
        <v>1</v>
      </c>
      <c r="E8" s="607">
        <f t="shared" si="0"/>
        <v>104000</v>
      </c>
      <c r="F8" s="607">
        <f t="shared" si="1"/>
        <v>104000</v>
      </c>
      <c r="G8" s="149">
        <v>2</v>
      </c>
      <c r="H8" s="607">
        <f t="shared" si="2"/>
        <v>52000</v>
      </c>
      <c r="I8" s="608">
        <v>203.25</v>
      </c>
      <c r="J8" s="608">
        <f t="shared" si="6"/>
        <v>10569000</v>
      </c>
      <c r="K8" s="609">
        <v>0.2</v>
      </c>
      <c r="L8" s="610">
        <f t="shared" si="3"/>
        <v>2113800</v>
      </c>
      <c r="M8" s="622">
        <v>14800</v>
      </c>
      <c r="N8" s="569">
        <v>1</v>
      </c>
      <c r="O8" s="569">
        <f t="shared" si="4"/>
        <v>14800</v>
      </c>
      <c r="P8" s="626">
        <f t="shared" si="5"/>
        <v>2128600</v>
      </c>
    </row>
    <row r="9" spans="1:20" x14ac:dyDescent="0.2">
      <c r="B9" s="596" t="s">
        <v>205</v>
      </c>
      <c r="C9" s="592">
        <v>11556</v>
      </c>
      <c r="D9" s="335">
        <v>1</v>
      </c>
      <c r="E9" s="592">
        <f t="shared" si="0"/>
        <v>11556</v>
      </c>
      <c r="F9" s="592">
        <f t="shared" si="1"/>
        <v>11556</v>
      </c>
      <c r="G9" s="6">
        <v>2</v>
      </c>
      <c r="H9" s="592">
        <f t="shared" si="2"/>
        <v>5778</v>
      </c>
      <c r="I9" s="593">
        <v>371.25</v>
      </c>
      <c r="J9" s="593">
        <f t="shared" si="6"/>
        <v>2145082.5</v>
      </c>
      <c r="K9" s="594">
        <v>0.2</v>
      </c>
      <c r="L9" s="6">
        <f t="shared" si="3"/>
        <v>429016.5</v>
      </c>
      <c r="M9" s="623">
        <v>14800</v>
      </c>
      <c r="N9" s="335">
        <v>1</v>
      </c>
      <c r="O9" s="335">
        <f t="shared" si="4"/>
        <v>14800</v>
      </c>
      <c r="P9" s="336">
        <f t="shared" si="5"/>
        <v>443816.5</v>
      </c>
    </row>
    <row r="10" spans="1:20" x14ac:dyDescent="0.2">
      <c r="B10" s="606" t="s">
        <v>187</v>
      </c>
      <c r="C10" s="616">
        <v>1158</v>
      </c>
      <c r="D10" s="569">
        <v>1</v>
      </c>
      <c r="E10" s="607">
        <f t="shared" si="0"/>
        <v>1158</v>
      </c>
      <c r="F10" s="607">
        <f t="shared" si="1"/>
        <v>1158</v>
      </c>
      <c r="G10" s="149">
        <v>2</v>
      </c>
      <c r="H10" s="607">
        <f t="shared" si="2"/>
        <v>579</v>
      </c>
      <c r="I10" s="611">
        <v>2050</v>
      </c>
      <c r="J10" s="611">
        <f t="shared" si="6"/>
        <v>1186950</v>
      </c>
      <c r="K10" s="609">
        <v>0.2</v>
      </c>
      <c r="L10" s="149">
        <f t="shared" si="3"/>
        <v>237390</v>
      </c>
      <c r="M10" s="622">
        <v>6700</v>
      </c>
      <c r="N10" s="569">
        <v>1</v>
      </c>
      <c r="O10" s="569">
        <f t="shared" si="4"/>
        <v>6700</v>
      </c>
      <c r="P10" s="626">
        <f t="shared" si="5"/>
        <v>244090</v>
      </c>
    </row>
    <row r="11" spans="1:20" x14ac:dyDescent="0.2">
      <c r="B11" s="596" t="s">
        <v>190</v>
      </c>
      <c r="C11" s="592">
        <f>(0.1701*2000*52)/3</f>
        <v>5896.7999999999993</v>
      </c>
      <c r="D11" s="335">
        <v>1</v>
      </c>
      <c r="E11" s="592">
        <f t="shared" si="0"/>
        <v>5896.7999999999993</v>
      </c>
      <c r="F11" s="592">
        <f t="shared" si="1"/>
        <v>5896.7999999999993</v>
      </c>
      <c r="G11" s="6">
        <v>2</v>
      </c>
      <c r="H11" s="592">
        <f t="shared" si="2"/>
        <v>2948.3999999999996</v>
      </c>
      <c r="I11" s="595">
        <v>494.25</v>
      </c>
      <c r="J11" s="595">
        <f t="shared" si="6"/>
        <v>1457246.6999999997</v>
      </c>
      <c r="K11" s="594">
        <v>0.2</v>
      </c>
      <c r="L11" s="6">
        <f t="shared" si="3"/>
        <v>291449.33999999997</v>
      </c>
      <c r="M11" s="623">
        <v>6700</v>
      </c>
      <c r="N11" s="335">
        <v>1</v>
      </c>
      <c r="O11" s="335">
        <f t="shared" si="4"/>
        <v>6700</v>
      </c>
      <c r="P11" s="336">
        <f t="shared" si="5"/>
        <v>298149.33999999997</v>
      </c>
    </row>
    <row r="12" spans="1:20" x14ac:dyDescent="0.2">
      <c r="B12" s="606" t="s">
        <v>685</v>
      </c>
      <c r="C12" s="607">
        <v>112</v>
      </c>
      <c r="D12" s="569">
        <v>1</v>
      </c>
      <c r="E12" s="607">
        <f t="shared" si="0"/>
        <v>112</v>
      </c>
      <c r="F12" s="607">
        <f t="shared" si="1"/>
        <v>112</v>
      </c>
      <c r="G12" s="149">
        <v>2</v>
      </c>
      <c r="H12" s="607">
        <f t="shared" si="2"/>
        <v>56</v>
      </c>
      <c r="I12" s="611">
        <v>431.25</v>
      </c>
      <c r="J12" s="611">
        <f t="shared" si="6"/>
        <v>24150</v>
      </c>
      <c r="K12" s="609">
        <v>0.2</v>
      </c>
      <c r="L12" s="149">
        <f t="shared" si="3"/>
        <v>4830</v>
      </c>
      <c r="M12" s="149">
        <v>6700</v>
      </c>
      <c r="N12" s="569">
        <v>1</v>
      </c>
      <c r="O12" s="569">
        <f t="shared" si="4"/>
        <v>6700</v>
      </c>
      <c r="P12" s="626">
        <f t="shared" si="5"/>
        <v>11530</v>
      </c>
    </row>
    <row r="13" spans="1:20" ht="16" thickBot="1" x14ac:dyDescent="0.25">
      <c r="B13" s="597" t="s">
        <v>686</v>
      </c>
      <c r="C13" s="366"/>
      <c r="D13" s="366"/>
      <c r="E13" s="628">
        <f>SUM(E3:E12)</f>
        <v>2618722.7999999998</v>
      </c>
      <c r="F13" s="653">
        <f t="shared" si="1"/>
        <v>2618722.7999999998</v>
      </c>
      <c r="G13" s="366"/>
      <c r="H13" s="628">
        <f>SUM(H3:H12)</f>
        <v>1309361.3999999999</v>
      </c>
      <c r="I13" s="631">
        <f>SUM(I3:I12)</f>
        <v>3558.9</v>
      </c>
      <c r="J13" s="631">
        <f>SUM(J3:J12)</f>
        <v>17545629.199999999</v>
      </c>
      <c r="K13" s="14"/>
      <c r="L13" s="620">
        <f>SUM(L3:L12)</f>
        <v>3509125.84</v>
      </c>
      <c r="M13" s="338">
        <f>SUM(M3:M12)</f>
        <v>86000</v>
      </c>
      <c r="N13" s="14"/>
      <c r="O13" s="619">
        <f>SUM(O3:O12)</f>
        <v>86000</v>
      </c>
      <c r="P13" s="627">
        <f>SUM(P3:P12)</f>
        <v>3595125.84</v>
      </c>
    </row>
    <row r="14" spans="1:20" ht="16" thickBot="1" x14ac:dyDescent="0.25">
      <c r="E14" s="707"/>
      <c r="F14" s="708"/>
      <c r="H14" s="707"/>
      <c r="I14" s="707"/>
      <c r="J14" s="707"/>
      <c r="K14" s="707"/>
      <c r="L14" s="707"/>
      <c r="M14" s="709"/>
      <c r="N14" s="709"/>
      <c r="P14" s="710"/>
      <c r="S14" s="711"/>
      <c r="T14" s="712"/>
    </row>
    <row r="15" spans="1:20" ht="20" thickBot="1" x14ac:dyDescent="0.3">
      <c r="A15" s="713" t="s">
        <v>159</v>
      </c>
      <c r="B15" s="654" t="s">
        <v>687</v>
      </c>
      <c r="C15" s="654" t="s">
        <v>688</v>
      </c>
      <c r="D15" s="654" t="s">
        <v>689</v>
      </c>
      <c r="E15" s="654" t="s">
        <v>690</v>
      </c>
      <c r="F15" s="654" t="s">
        <v>691</v>
      </c>
      <c r="G15" s="655" t="s">
        <v>692</v>
      </c>
      <c r="H15" s="707"/>
      <c r="I15" s="707"/>
      <c r="J15" s="707"/>
      <c r="K15" s="707"/>
      <c r="L15" s="729" t="s">
        <v>159</v>
      </c>
      <c r="M15" s="1262" t="s">
        <v>693</v>
      </c>
      <c r="N15" s="1263"/>
      <c r="O15" s="315"/>
      <c r="P15" s="710"/>
      <c r="S15" s="711"/>
      <c r="T15" s="712"/>
    </row>
    <row r="16" spans="1:20" x14ac:dyDescent="0.2">
      <c r="B16" s="612" t="s">
        <v>694</v>
      </c>
      <c r="C16" s="629">
        <f>C3</f>
        <v>416000</v>
      </c>
      <c r="D16" s="635">
        <f>C16/2</f>
        <v>208000</v>
      </c>
      <c r="E16" s="635">
        <f>C16/3</f>
        <v>138666.66666666666</v>
      </c>
      <c r="F16" s="635">
        <f>C16/4</f>
        <v>104000</v>
      </c>
      <c r="G16" s="636">
        <f>C16/5</f>
        <v>83200</v>
      </c>
      <c r="H16" s="707"/>
      <c r="I16" s="707"/>
      <c r="J16" s="707"/>
      <c r="K16" s="707"/>
      <c r="L16" s="707"/>
      <c r="M16" s="656"/>
      <c r="N16" s="664"/>
      <c r="O16" s="570"/>
      <c r="P16" s="710"/>
      <c r="S16" s="711"/>
      <c r="T16" s="712"/>
    </row>
    <row r="17" spans="1:20" x14ac:dyDescent="0.2">
      <c r="B17" s="613" t="s">
        <v>695</v>
      </c>
      <c r="C17" s="630">
        <f>H3</f>
        <v>208000</v>
      </c>
      <c r="D17" s="637">
        <f>C17/2</f>
        <v>104000</v>
      </c>
      <c r="E17" s="637">
        <f>C17/3</f>
        <v>69333.333333333328</v>
      </c>
      <c r="F17" s="637">
        <f>C17/4</f>
        <v>52000</v>
      </c>
      <c r="G17" s="638">
        <f>C17/5</f>
        <v>41600</v>
      </c>
      <c r="H17" s="707"/>
      <c r="I17" s="707"/>
      <c r="J17" s="707"/>
      <c r="K17" s="707"/>
      <c r="L17" s="707"/>
      <c r="M17" s="113" t="s">
        <v>696</v>
      </c>
      <c r="N17" s="665" t="s">
        <v>697</v>
      </c>
      <c r="O17" s="798">
        <v>152402.97</v>
      </c>
      <c r="P17" s="710"/>
      <c r="S17" s="711"/>
      <c r="T17" s="712"/>
    </row>
    <row r="18" spans="1:20" ht="16" thickBot="1" x14ac:dyDescent="0.25">
      <c r="B18" s="615" t="s">
        <v>698</v>
      </c>
      <c r="C18" s="645">
        <f>J3</f>
        <v>249600</v>
      </c>
      <c r="D18" s="632">
        <f>C18/2</f>
        <v>124800</v>
      </c>
      <c r="E18" s="632">
        <f>C18/3</f>
        <v>83200</v>
      </c>
      <c r="F18" s="632">
        <f>C18/4</f>
        <v>62400</v>
      </c>
      <c r="G18" s="639">
        <f>C18/5</f>
        <v>49920</v>
      </c>
      <c r="H18" s="707"/>
      <c r="I18" s="707"/>
      <c r="J18" s="707"/>
      <c r="K18" s="707"/>
      <c r="L18" s="707"/>
      <c r="M18" s="113"/>
      <c r="N18" s="666" t="s">
        <v>699</v>
      </c>
      <c r="O18" s="115"/>
      <c r="P18" s="710"/>
      <c r="S18" s="711"/>
      <c r="T18" s="712"/>
    </row>
    <row r="19" spans="1:20" x14ac:dyDescent="0.2">
      <c r="B19" s="644" t="s">
        <v>679</v>
      </c>
      <c r="C19" s="617"/>
      <c r="D19" s="641"/>
      <c r="E19" s="640"/>
      <c r="F19" s="640"/>
      <c r="G19" s="641"/>
      <c r="H19" s="707"/>
      <c r="I19" s="707"/>
      <c r="J19" s="707"/>
      <c r="K19" s="707"/>
      <c r="L19" s="707"/>
      <c r="M19" s="12"/>
      <c r="N19" s="667"/>
      <c r="O19" s="570"/>
      <c r="P19" s="710"/>
      <c r="S19" s="711"/>
      <c r="T19" s="712"/>
    </row>
    <row r="20" spans="1:20" x14ac:dyDescent="0.2">
      <c r="B20" s="12" t="s">
        <v>700</v>
      </c>
      <c r="C20" s="633">
        <f>L3</f>
        <v>49920</v>
      </c>
      <c r="D20" s="643">
        <f>C20/2</f>
        <v>24960</v>
      </c>
      <c r="E20" s="642">
        <f>C20/3</f>
        <v>16640</v>
      </c>
      <c r="F20" s="642">
        <f>C20/4</f>
        <v>12480</v>
      </c>
      <c r="G20" s="643">
        <f>C20/5</f>
        <v>9984</v>
      </c>
      <c r="H20" s="707"/>
      <c r="I20" s="707"/>
      <c r="J20" s="707"/>
      <c r="K20" s="707"/>
      <c r="L20" s="707"/>
      <c r="M20" s="658" t="s">
        <v>701</v>
      </c>
      <c r="N20" s="733" t="s">
        <v>702</v>
      </c>
      <c r="O20" s="799">
        <v>18288.349999999999</v>
      </c>
      <c r="P20" s="710"/>
      <c r="S20" s="711"/>
      <c r="T20" s="712"/>
    </row>
    <row r="21" spans="1:20" x14ac:dyDescent="0.2">
      <c r="B21" s="113" t="s">
        <v>703</v>
      </c>
      <c r="C21" s="613"/>
      <c r="D21" s="638"/>
      <c r="E21" s="637"/>
      <c r="F21" s="637"/>
      <c r="G21" s="638"/>
      <c r="H21" s="707"/>
      <c r="I21" s="707"/>
      <c r="J21" s="707"/>
      <c r="K21" s="707"/>
      <c r="L21" s="707"/>
      <c r="M21" s="660"/>
      <c r="N21" s="801">
        <v>152403</v>
      </c>
      <c r="O21" s="626"/>
      <c r="P21" s="710"/>
      <c r="S21" s="711"/>
      <c r="T21" s="712"/>
    </row>
    <row r="22" spans="1:20" ht="16" thickBot="1" x14ac:dyDescent="0.25">
      <c r="B22" s="13" t="s">
        <v>704</v>
      </c>
      <c r="C22" s="634">
        <f>O3</f>
        <v>6700</v>
      </c>
      <c r="D22" s="639">
        <f>C22*2</f>
        <v>13400</v>
      </c>
      <c r="E22" s="632">
        <f>C22*3</f>
        <v>20100</v>
      </c>
      <c r="F22" s="632">
        <f>C22*4</f>
        <v>26800</v>
      </c>
      <c r="G22" s="639">
        <f>C22*5</f>
        <v>33500</v>
      </c>
      <c r="H22" s="707"/>
      <c r="I22" s="707"/>
      <c r="J22" s="707"/>
      <c r="K22" s="707"/>
      <c r="L22" s="707"/>
      <c r="M22" s="12"/>
      <c r="N22" s="667"/>
      <c r="O22" s="570"/>
      <c r="P22" s="710"/>
      <c r="S22" s="711"/>
      <c r="T22" s="712"/>
    </row>
    <row r="23" spans="1:20" x14ac:dyDescent="0.2">
      <c r="B23" s="613"/>
      <c r="C23" s="613"/>
      <c r="D23" s="637"/>
      <c r="E23" s="637"/>
      <c r="F23" s="637"/>
      <c r="G23" s="638"/>
      <c r="H23" s="707"/>
      <c r="I23" s="707"/>
      <c r="J23" s="707"/>
      <c r="K23" s="707"/>
      <c r="L23" s="707"/>
      <c r="M23" s="658" t="s">
        <v>705</v>
      </c>
      <c r="N23" s="734" t="s">
        <v>706</v>
      </c>
      <c r="O23" s="800">
        <v>18288.36</v>
      </c>
      <c r="P23" s="710"/>
      <c r="S23" s="711"/>
      <c r="T23" s="712"/>
    </row>
    <row r="24" spans="1:20" ht="16" thickBot="1" x14ac:dyDescent="0.25">
      <c r="B24" s="614" t="s">
        <v>707</v>
      </c>
      <c r="C24" s="632">
        <f>P3</f>
        <v>56620</v>
      </c>
      <c r="D24" s="632">
        <f>D20+D22</f>
        <v>38360</v>
      </c>
      <c r="E24" s="716">
        <f>E20+E22</f>
        <v>36740</v>
      </c>
      <c r="F24" s="632">
        <f>F20+F22</f>
        <v>39280</v>
      </c>
      <c r="G24" s="639">
        <f>G20+G22</f>
        <v>43484</v>
      </c>
      <c r="H24" s="707"/>
      <c r="I24" s="707"/>
      <c r="J24" s="707"/>
      <c r="K24" s="707"/>
      <c r="L24" s="707"/>
      <c r="M24" s="660"/>
      <c r="N24" s="732">
        <v>2</v>
      </c>
      <c r="O24" s="626"/>
      <c r="P24" s="710"/>
      <c r="S24" s="711"/>
      <c r="T24" s="712"/>
    </row>
    <row r="25" spans="1:20" x14ac:dyDescent="0.2">
      <c r="E25" s="707"/>
      <c r="F25" s="708"/>
      <c r="G25" s="617" t="s">
        <v>708</v>
      </c>
      <c r="H25" s="707"/>
      <c r="I25" s="707"/>
      <c r="J25" s="707"/>
      <c r="K25" s="707"/>
      <c r="L25" s="707"/>
      <c r="M25" s="12"/>
      <c r="N25" s="667"/>
      <c r="O25" s="570"/>
      <c r="P25" s="710"/>
      <c r="S25" s="711"/>
      <c r="T25" s="712"/>
    </row>
    <row r="26" spans="1:20" ht="17" thickBot="1" x14ac:dyDescent="0.25">
      <c r="E26" s="707"/>
      <c r="F26" s="708"/>
      <c r="G26" s="911">
        <f>E24*3</f>
        <v>110220</v>
      </c>
      <c r="H26" s="707"/>
      <c r="I26" s="707"/>
      <c r="J26" s="707"/>
      <c r="K26" s="707"/>
      <c r="L26" s="707"/>
      <c r="M26" s="663" t="s">
        <v>709</v>
      </c>
      <c r="N26" s="671" t="s">
        <v>710</v>
      </c>
      <c r="O26" s="797">
        <v>36576</v>
      </c>
      <c r="P26" s="710"/>
      <c r="S26" s="711"/>
      <c r="T26" s="712"/>
    </row>
    <row r="27" spans="1:20" ht="16" thickBot="1" x14ac:dyDescent="0.25">
      <c r="H27" s="707"/>
      <c r="I27" s="707"/>
      <c r="J27" s="707"/>
      <c r="K27" s="707"/>
      <c r="L27" s="707"/>
      <c r="M27" s="709"/>
      <c r="N27" s="709"/>
      <c r="P27" s="710"/>
      <c r="S27" s="711"/>
      <c r="T27" s="712"/>
    </row>
    <row r="28" spans="1:20" ht="20" thickBot="1" x14ac:dyDescent="0.3">
      <c r="A28" s="714" t="s">
        <v>155</v>
      </c>
      <c r="B28" s="654" t="s">
        <v>687</v>
      </c>
      <c r="C28" s="654" t="s">
        <v>688</v>
      </c>
      <c r="D28" s="654" t="s">
        <v>689</v>
      </c>
      <c r="E28" s="654" t="s">
        <v>690</v>
      </c>
      <c r="F28" s="654" t="s">
        <v>691</v>
      </c>
      <c r="G28" s="655" t="s">
        <v>692</v>
      </c>
      <c r="H28" s="707"/>
      <c r="I28" s="707"/>
      <c r="J28" s="707"/>
      <c r="K28" s="707"/>
      <c r="L28" s="729" t="s">
        <v>155</v>
      </c>
      <c r="M28" s="1262" t="s">
        <v>693</v>
      </c>
      <c r="N28" s="1263"/>
      <c r="O28" s="315"/>
      <c r="P28" s="710"/>
      <c r="S28" s="711"/>
      <c r="T28" s="712"/>
    </row>
    <row r="29" spans="1:20" x14ac:dyDescent="0.2">
      <c r="B29" s="612" t="s">
        <v>694</v>
      </c>
      <c r="C29" s="629">
        <f>C4</f>
        <v>416000</v>
      </c>
      <c r="D29" s="635">
        <f>C29/2</f>
        <v>208000</v>
      </c>
      <c r="E29" s="635">
        <f>C29/3</f>
        <v>138666.66666666666</v>
      </c>
      <c r="F29" s="635">
        <f>C29/4</f>
        <v>104000</v>
      </c>
      <c r="G29" s="636">
        <f>C29/5</f>
        <v>83200</v>
      </c>
      <c r="H29" s="707"/>
      <c r="I29" s="707"/>
      <c r="J29" s="707"/>
      <c r="K29" s="707"/>
      <c r="L29" s="707"/>
      <c r="M29" s="656"/>
      <c r="N29" s="664"/>
      <c r="O29" s="570"/>
      <c r="P29" s="710"/>
      <c r="S29" s="711"/>
      <c r="T29" s="712"/>
    </row>
    <row r="30" spans="1:20" x14ac:dyDescent="0.2">
      <c r="B30" s="613" t="s">
        <v>695</v>
      </c>
      <c r="C30" s="630">
        <f>H4</f>
        <v>208000</v>
      </c>
      <c r="D30" s="637">
        <f>C30/2</f>
        <v>104000</v>
      </c>
      <c r="E30" s="637">
        <f>C30/3</f>
        <v>69333.333333333328</v>
      </c>
      <c r="F30" s="637">
        <f>C30/4</f>
        <v>52000</v>
      </c>
      <c r="G30" s="638">
        <f>C30/5</f>
        <v>41600</v>
      </c>
      <c r="H30" s="707"/>
      <c r="I30" s="707"/>
      <c r="J30" s="707"/>
      <c r="K30" s="707"/>
      <c r="L30" s="707"/>
      <c r="M30" s="113" t="s">
        <v>696</v>
      </c>
      <c r="N30" s="665" t="s">
        <v>697</v>
      </c>
      <c r="O30" s="798">
        <v>152402.97</v>
      </c>
      <c r="P30" s="710"/>
      <c r="S30" s="711"/>
      <c r="T30" s="712"/>
    </row>
    <row r="31" spans="1:20" ht="16" thickBot="1" x14ac:dyDescent="0.25">
      <c r="B31" s="615" t="s">
        <v>698</v>
      </c>
      <c r="C31" s="645">
        <f>J4</f>
        <v>249600</v>
      </c>
      <c r="D31" s="632">
        <f>C31/2</f>
        <v>124800</v>
      </c>
      <c r="E31" s="632">
        <f>C31/3</f>
        <v>83200</v>
      </c>
      <c r="F31" s="632">
        <f>C31/4</f>
        <v>62400</v>
      </c>
      <c r="G31" s="639">
        <f>C31/5</f>
        <v>49920</v>
      </c>
      <c r="H31" s="707"/>
      <c r="I31" s="707"/>
      <c r="J31" s="707"/>
      <c r="K31" s="707"/>
      <c r="L31" s="707"/>
      <c r="M31" s="113"/>
      <c r="N31" s="666" t="s">
        <v>699</v>
      </c>
      <c r="O31" s="115"/>
      <c r="P31" s="710"/>
      <c r="S31" s="711"/>
      <c r="T31" s="712"/>
    </row>
    <row r="32" spans="1:20" x14ac:dyDescent="0.2">
      <c r="B32" s="644" t="s">
        <v>679</v>
      </c>
      <c r="C32" s="617"/>
      <c r="D32" s="641"/>
      <c r="E32" s="640"/>
      <c r="F32" s="640"/>
      <c r="G32" s="641"/>
      <c r="H32" s="707"/>
      <c r="I32" s="707"/>
      <c r="J32" s="707"/>
      <c r="K32" s="707"/>
      <c r="L32" s="707"/>
      <c r="M32" s="12"/>
      <c r="N32" s="667"/>
      <c r="O32" s="570"/>
      <c r="P32" s="710"/>
      <c r="S32" s="711"/>
      <c r="T32" s="712"/>
    </row>
    <row r="33" spans="1:20" x14ac:dyDescent="0.2">
      <c r="B33" s="12" t="s">
        <v>700</v>
      </c>
      <c r="C33" s="633">
        <f>L4</f>
        <v>49920</v>
      </c>
      <c r="D33" s="643">
        <f>C33/2</f>
        <v>24960</v>
      </c>
      <c r="E33" s="642">
        <f>C33/3</f>
        <v>16640</v>
      </c>
      <c r="F33" s="642">
        <f>C33/4</f>
        <v>12480</v>
      </c>
      <c r="G33" s="643">
        <f>C33/5</f>
        <v>9984</v>
      </c>
      <c r="H33" s="707"/>
      <c r="I33" s="707"/>
      <c r="J33" s="707"/>
      <c r="K33" s="707"/>
      <c r="L33" s="707"/>
      <c r="M33" s="658" t="s">
        <v>701</v>
      </c>
      <c r="N33" s="733" t="s">
        <v>702</v>
      </c>
      <c r="O33" s="799">
        <v>18288.349999999999</v>
      </c>
      <c r="P33" s="710"/>
      <c r="S33" s="711"/>
      <c r="T33" s="712"/>
    </row>
    <row r="34" spans="1:20" x14ac:dyDescent="0.2">
      <c r="B34" s="113" t="s">
        <v>703</v>
      </c>
      <c r="C34" s="613"/>
      <c r="D34" s="638"/>
      <c r="E34" s="637"/>
      <c r="F34" s="637"/>
      <c r="G34" s="638"/>
      <c r="H34" s="707"/>
      <c r="J34" s="707"/>
      <c r="K34" s="707"/>
      <c r="L34" s="707"/>
      <c r="M34" s="660"/>
      <c r="N34" s="731">
        <v>152403</v>
      </c>
      <c r="O34" s="626"/>
      <c r="P34" s="710"/>
      <c r="S34" s="711"/>
      <c r="T34" s="712"/>
    </row>
    <row r="35" spans="1:20" ht="16" thickBot="1" x14ac:dyDescent="0.25">
      <c r="B35" s="13" t="s">
        <v>704</v>
      </c>
      <c r="C35" s="634">
        <f>O4</f>
        <v>6700</v>
      </c>
      <c r="D35" s="639">
        <f>C35*2</f>
        <v>13400</v>
      </c>
      <c r="E35" s="632">
        <f>C35*3</f>
        <v>20100</v>
      </c>
      <c r="F35" s="632">
        <f>C35*4</f>
        <v>26800</v>
      </c>
      <c r="G35" s="639">
        <f>C35*5</f>
        <v>33500</v>
      </c>
      <c r="H35" s="707"/>
      <c r="I35" s="707"/>
      <c r="J35" s="707"/>
      <c r="K35" s="707"/>
      <c r="L35" s="707"/>
      <c r="M35" s="12"/>
      <c r="N35" s="667"/>
      <c r="O35" s="570"/>
      <c r="P35" s="710"/>
      <c r="S35" s="711"/>
      <c r="T35" s="712"/>
    </row>
    <row r="36" spans="1:20" x14ac:dyDescent="0.2">
      <c r="B36" s="613"/>
      <c r="C36" s="613"/>
      <c r="D36" s="637"/>
      <c r="E36" s="637"/>
      <c r="F36" s="637"/>
      <c r="G36" s="638"/>
      <c r="H36" s="707"/>
      <c r="I36" s="707"/>
      <c r="J36" s="707"/>
      <c r="K36" s="707"/>
      <c r="L36" s="707"/>
      <c r="M36" s="658" t="s">
        <v>705</v>
      </c>
      <c r="N36" s="734" t="s">
        <v>706</v>
      </c>
      <c r="O36" s="800">
        <v>18288.36</v>
      </c>
      <c r="P36" s="710"/>
      <c r="S36" s="711"/>
      <c r="T36" s="712"/>
    </row>
    <row r="37" spans="1:20" ht="16" thickBot="1" x14ac:dyDescent="0.25">
      <c r="B37" s="614" t="s">
        <v>707</v>
      </c>
      <c r="C37" s="632">
        <f>P4</f>
        <v>56620</v>
      </c>
      <c r="D37" s="632">
        <f>D33+D35</f>
        <v>38360</v>
      </c>
      <c r="E37" s="716">
        <f>E33+E35</f>
        <v>36740</v>
      </c>
      <c r="F37" s="632">
        <f>F33+F35</f>
        <v>39280</v>
      </c>
      <c r="G37" s="639">
        <f>G33+G35</f>
        <v>43484</v>
      </c>
      <c r="M37" s="660"/>
      <c r="N37" s="732">
        <v>2</v>
      </c>
      <c r="O37" s="626"/>
    </row>
    <row r="38" spans="1:20" x14ac:dyDescent="0.2">
      <c r="G38" s="617" t="s">
        <v>708</v>
      </c>
      <c r="H38" s="707"/>
      <c r="I38" s="707"/>
      <c r="J38" s="707"/>
      <c r="K38" s="707"/>
      <c r="L38" s="707"/>
      <c r="M38" s="12"/>
      <c r="N38" s="667"/>
      <c r="O38" s="570"/>
      <c r="P38" s="710"/>
      <c r="S38" s="711"/>
      <c r="T38" s="712"/>
    </row>
    <row r="39" spans="1:20" ht="17" thickBot="1" x14ac:dyDescent="0.25">
      <c r="G39" s="911">
        <f>E37*3</f>
        <v>110220</v>
      </c>
      <c r="H39" s="707"/>
      <c r="I39" s="707"/>
      <c r="J39" s="707"/>
      <c r="K39" s="707"/>
      <c r="L39" s="707"/>
      <c r="M39" s="663" t="s">
        <v>709</v>
      </c>
      <c r="N39" s="671" t="s">
        <v>710</v>
      </c>
      <c r="O39" s="797">
        <v>36576</v>
      </c>
      <c r="P39" s="710"/>
      <c r="S39" s="711"/>
      <c r="T39" s="712"/>
    </row>
    <row r="40" spans="1:20" ht="16" thickBot="1" x14ac:dyDescent="0.25">
      <c r="E40" s="707"/>
      <c r="F40" s="708"/>
      <c r="H40" s="707"/>
      <c r="I40" s="707"/>
      <c r="J40" s="707"/>
      <c r="K40" s="707"/>
      <c r="L40" s="707"/>
      <c r="M40" s="709"/>
      <c r="N40" s="709"/>
      <c r="P40" s="710"/>
      <c r="S40" s="711"/>
      <c r="T40" s="712"/>
    </row>
    <row r="41" spans="1:20" ht="20" thickBot="1" x14ac:dyDescent="0.3">
      <c r="A41" s="714" t="s">
        <v>153</v>
      </c>
      <c r="B41" s="654" t="s">
        <v>687</v>
      </c>
      <c r="C41" s="654" t="s">
        <v>688</v>
      </c>
      <c r="D41" s="654" t="s">
        <v>689</v>
      </c>
      <c r="E41" s="654" t="s">
        <v>690</v>
      </c>
      <c r="F41" s="654" t="s">
        <v>691</v>
      </c>
      <c r="G41" s="655" t="s">
        <v>692</v>
      </c>
      <c r="H41" s="707"/>
      <c r="I41" s="707"/>
      <c r="J41" s="707"/>
      <c r="K41" s="707"/>
      <c r="L41" s="729" t="s">
        <v>153</v>
      </c>
      <c r="M41" s="1262" t="s">
        <v>693</v>
      </c>
      <c r="N41" s="1263"/>
      <c r="O41" s="315"/>
      <c r="P41" s="710"/>
      <c r="S41" s="711"/>
      <c r="T41" s="712"/>
    </row>
    <row r="42" spans="1:20" x14ac:dyDescent="0.2">
      <c r="B42" s="612" t="s">
        <v>694</v>
      </c>
      <c r="C42" s="629">
        <f>C5</f>
        <v>832000</v>
      </c>
      <c r="D42" s="635">
        <f>C42/2</f>
        <v>416000</v>
      </c>
      <c r="E42" s="635">
        <f>C42/3</f>
        <v>277333.33333333331</v>
      </c>
      <c r="F42" s="635">
        <f>C42/4</f>
        <v>208000</v>
      </c>
      <c r="G42" s="636">
        <f>C42/5</f>
        <v>166400</v>
      </c>
      <c r="H42" s="707"/>
      <c r="I42" s="707"/>
      <c r="J42" s="707"/>
      <c r="K42" s="707"/>
      <c r="L42" s="707"/>
      <c r="M42" s="656"/>
      <c r="N42" s="664"/>
      <c r="O42" s="570"/>
      <c r="P42" s="710"/>
      <c r="S42" s="711"/>
      <c r="T42" s="712"/>
    </row>
    <row r="43" spans="1:20" x14ac:dyDescent="0.2">
      <c r="B43" s="613" t="s">
        <v>695</v>
      </c>
      <c r="C43" s="630">
        <f>H5</f>
        <v>416000</v>
      </c>
      <c r="D43" s="637">
        <f>C43/2</f>
        <v>208000</v>
      </c>
      <c r="E43" s="637">
        <f>C43/3</f>
        <v>138666.66666666666</v>
      </c>
      <c r="F43" s="637">
        <f>C43/4</f>
        <v>104000</v>
      </c>
      <c r="G43" s="638">
        <f>C43/5</f>
        <v>83200</v>
      </c>
      <c r="H43" s="707"/>
      <c r="I43" s="707"/>
      <c r="J43" s="707"/>
      <c r="K43" s="707"/>
      <c r="L43" s="707"/>
      <c r="M43" s="113" t="s">
        <v>696</v>
      </c>
      <c r="N43" s="665" t="s">
        <v>711</v>
      </c>
      <c r="O43" s="736">
        <v>229550</v>
      </c>
      <c r="P43" s="710"/>
      <c r="S43" s="711"/>
      <c r="T43" s="712"/>
    </row>
    <row r="44" spans="1:20" ht="16" thickBot="1" x14ac:dyDescent="0.25">
      <c r="B44" s="615" t="s">
        <v>698</v>
      </c>
      <c r="C44" s="645">
        <f>J5</f>
        <v>624000</v>
      </c>
      <c r="D44" s="632">
        <f>C44/2</f>
        <v>312000</v>
      </c>
      <c r="E44" s="632">
        <f>C44/3</f>
        <v>208000</v>
      </c>
      <c r="F44" s="632">
        <f>C44/4</f>
        <v>156000</v>
      </c>
      <c r="G44" s="639">
        <f>C44/5</f>
        <v>124800</v>
      </c>
      <c r="H44" s="707"/>
      <c r="I44" s="707"/>
      <c r="J44" s="707"/>
      <c r="K44" s="707"/>
      <c r="L44" s="707"/>
      <c r="M44" s="113"/>
      <c r="N44" s="666" t="s">
        <v>712</v>
      </c>
      <c r="O44" s="115"/>
      <c r="P44" s="710"/>
      <c r="S44" s="711"/>
      <c r="T44" s="712"/>
    </row>
    <row r="45" spans="1:20" x14ac:dyDescent="0.2">
      <c r="B45" s="644" t="s">
        <v>679</v>
      </c>
      <c r="C45" s="617"/>
      <c r="D45" s="641"/>
      <c r="E45" s="640"/>
      <c r="F45" s="640"/>
      <c r="G45" s="641"/>
      <c r="H45" s="707"/>
      <c r="I45" s="707"/>
      <c r="J45" s="707"/>
      <c r="K45" s="707"/>
      <c r="L45" s="707"/>
      <c r="M45" s="12"/>
      <c r="N45" s="667"/>
      <c r="O45" s="570"/>
      <c r="P45" s="710"/>
      <c r="S45" s="711"/>
      <c r="T45" s="712"/>
    </row>
    <row r="46" spans="1:20" x14ac:dyDescent="0.2">
      <c r="B46" s="12" t="s">
        <v>700</v>
      </c>
      <c r="C46" s="633">
        <f>L5</f>
        <v>124800</v>
      </c>
      <c r="D46" s="643">
        <f>C46/2</f>
        <v>62400</v>
      </c>
      <c r="E46" s="642">
        <f>C46/3</f>
        <v>41600</v>
      </c>
      <c r="F46" s="642">
        <f>C46/4</f>
        <v>31200</v>
      </c>
      <c r="G46" s="643">
        <f>C46/5</f>
        <v>24960</v>
      </c>
      <c r="H46" s="707"/>
      <c r="I46" s="707"/>
      <c r="J46" s="707"/>
      <c r="K46" s="707"/>
      <c r="L46" s="707"/>
      <c r="M46" s="658" t="s">
        <v>701</v>
      </c>
      <c r="N46" s="668" t="s">
        <v>713</v>
      </c>
      <c r="O46" s="782">
        <v>26386.2</v>
      </c>
      <c r="P46" s="710"/>
      <c r="S46" s="711"/>
      <c r="T46" s="712"/>
    </row>
    <row r="47" spans="1:20" x14ac:dyDescent="0.2">
      <c r="B47" s="113" t="s">
        <v>703</v>
      </c>
      <c r="C47" s="613"/>
      <c r="D47" s="638"/>
      <c r="E47" s="637"/>
      <c r="F47" s="637"/>
      <c r="G47" s="638"/>
      <c r="H47" s="707"/>
      <c r="I47" s="707"/>
      <c r="J47" s="707"/>
      <c r="K47" s="707"/>
      <c r="L47" s="707"/>
      <c r="M47" s="660"/>
      <c r="N47" s="730">
        <v>229550.3</v>
      </c>
      <c r="O47" s="661"/>
      <c r="P47" s="710"/>
      <c r="S47" s="711"/>
      <c r="T47" s="712"/>
    </row>
    <row r="48" spans="1:20" ht="16" thickBot="1" x14ac:dyDescent="0.25">
      <c r="B48" s="13" t="s">
        <v>704</v>
      </c>
      <c r="C48" s="634">
        <f>O5</f>
        <v>9500</v>
      </c>
      <c r="D48" s="639">
        <f>C48*2</f>
        <v>19000</v>
      </c>
      <c r="E48" s="632">
        <f>C48*3</f>
        <v>28500</v>
      </c>
      <c r="F48" s="632">
        <f>C48*4</f>
        <v>38000</v>
      </c>
      <c r="G48" s="639">
        <f>C48*5</f>
        <v>47500</v>
      </c>
      <c r="H48" s="707"/>
      <c r="I48" s="707"/>
      <c r="J48" s="707"/>
      <c r="K48" s="707"/>
      <c r="L48" s="707"/>
      <c r="M48" s="12"/>
      <c r="N48" s="667"/>
      <c r="O48" s="570"/>
      <c r="P48" s="710"/>
      <c r="S48" s="711"/>
      <c r="T48" s="712"/>
    </row>
    <row r="49" spans="1:20" x14ac:dyDescent="0.2">
      <c r="B49" s="613"/>
      <c r="C49" s="613"/>
      <c r="D49" s="637"/>
      <c r="E49" s="637"/>
      <c r="F49" s="637"/>
      <c r="G49" s="638"/>
      <c r="H49" s="707"/>
      <c r="I49" s="707"/>
      <c r="J49" s="707"/>
      <c r="K49" s="707"/>
      <c r="L49" s="707"/>
      <c r="M49" s="658" t="s">
        <v>705</v>
      </c>
      <c r="N49" s="670" t="s">
        <v>714</v>
      </c>
      <c r="O49" s="783">
        <v>44925</v>
      </c>
      <c r="P49" s="710"/>
      <c r="S49" s="711"/>
      <c r="T49" s="712"/>
    </row>
    <row r="50" spans="1:20" ht="16" thickBot="1" x14ac:dyDescent="0.25">
      <c r="B50" s="614" t="s">
        <v>707</v>
      </c>
      <c r="C50" s="632">
        <f>C46+C48</f>
        <v>134300</v>
      </c>
      <c r="D50" s="632">
        <f>D46+D48</f>
        <v>81400</v>
      </c>
      <c r="E50" s="632">
        <f>E46+E48</f>
        <v>70100</v>
      </c>
      <c r="F50" s="716">
        <f>F46+F48</f>
        <v>69200</v>
      </c>
      <c r="G50" s="643">
        <f>G46+G48</f>
        <v>72460</v>
      </c>
      <c r="H50" s="707"/>
      <c r="I50" s="707"/>
      <c r="J50" s="707"/>
      <c r="K50" s="707"/>
      <c r="L50" s="707"/>
      <c r="M50" s="660"/>
      <c r="N50" s="669">
        <v>2</v>
      </c>
      <c r="O50" s="661"/>
      <c r="P50" s="710"/>
      <c r="S50" s="711"/>
      <c r="T50" s="712"/>
    </row>
    <row r="51" spans="1:20" x14ac:dyDescent="0.2">
      <c r="E51" s="707"/>
      <c r="F51" s="708"/>
      <c r="G51" s="617" t="s">
        <v>708</v>
      </c>
      <c r="H51" s="707"/>
      <c r="I51" s="707"/>
      <c r="J51" s="707"/>
      <c r="K51" s="707"/>
      <c r="L51" s="707"/>
      <c r="M51" s="12"/>
      <c r="N51" s="667"/>
      <c r="O51" s="570"/>
      <c r="P51" s="710"/>
      <c r="S51" s="711"/>
      <c r="T51" s="712"/>
    </row>
    <row r="52" spans="1:20" ht="17" thickBot="1" x14ac:dyDescent="0.25">
      <c r="E52" s="707"/>
      <c r="F52" s="708"/>
      <c r="G52" s="911">
        <f>F50*4</f>
        <v>276800</v>
      </c>
      <c r="H52" s="707"/>
      <c r="I52" s="707"/>
      <c r="J52" s="707"/>
      <c r="K52" s="707"/>
      <c r="L52" s="707"/>
      <c r="M52" s="663" t="s">
        <v>709</v>
      </c>
      <c r="N52" s="671" t="s">
        <v>715</v>
      </c>
      <c r="O52" s="797">
        <v>71311.199999999997</v>
      </c>
      <c r="P52" s="710"/>
      <c r="S52" s="711"/>
      <c r="T52" s="712"/>
    </row>
    <row r="53" spans="1:20" ht="16" thickBot="1" x14ac:dyDescent="0.25">
      <c r="E53" s="707"/>
      <c r="F53" s="708"/>
      <c r="H53" s="707"/>
      <c r="I53" s="707"/>
      <c r="J53" s="707"/>
      <c r="K53" s="707"/>
      <c r="L53" s="707"/>
      <c r="M53" s="709"/>
      <c r="N53" s="709"/>
      <c r="P53" s="710"/>
      <c r="S53" s="711"/>
      <c r="T53" s="712"/>
    </row>
    <row r="54" spans="1:20" ht="18.75" customHeight="1" thickBot="1" x14ac:dyDescent="0.3">
      <c r="A54" s="714" t="s">
        <v>160</v>
      </c>
      <c r="B54" s="654" t="s">
        <v>687</v>
      </c>
      <c r="C54" s="654" t="s">
        <v>688</v>
      </c>
      <c r="D54" s="654" t="s">
        <v>689</v>
      </c>
      <c r="E54" s="654" t="s">
        <v>690</v>
      </c>
      <c r="F54" s="654" t="s">
        <v>691</v>
      </c>
      <c r="G54" s="655" t="s">
        <v>692</v>
      </c>
      <c r="H54" s="707"/>
      <c r="I54" s="707"/>
      <c r="J54" s="707"/>
      <c r="K54" s="707"/>
      <c r="L54" s="729" t="s">
        <v>160</v>
      </c>
      <c r="M54" s="1262" t="s">
        <v>693</v>
      </c>
      <c r="N54" s="1263"/>
      <c r="O54" s="315"/>
      <c r="P54" s="710"/>
      <c r="S54" s="711"/>
      <c r="T54" s="712"/>
    </row>
    <row r="55" spans="1:20" x14ac:dyDescent="0.2">
      <c r="B55" s="612" t="s">
        <v>694</v>
      </c>
      <c r="C55" s="629">
        <f>C6</f>
        <v>416000</v>
      </c>
      <c r="D55" s="635">
        <f>C55/2</f>
        <v>208000</v>
      </c>
      <c r="E55" s="635">
        <f>C55/3</f>
        <v>138666.66666666666</v>
      </c>
      <c r="F55" s="635">
        <f>C55/4</f>
        <v>104000</v>
      </c>
      <c r="G55" s="636">
        <f>C55/5</f>
        <v>83200</v>
      </c>
      <c r="H55" s="707"/>
      <c r="I55" s="707"/>
      <c r="J55" s="707"/>
      <c r="K55" s="707"/>
      <c r="L55" s="707"/>
      <c r="M55" s="656"/>
      <c r="N55" s="664"/>
      <c r="O55" s="570"/>
      <c r="P55" s="710"/>
      <c r="S55" s="711"/>
      <c r="T55" s="712"/>
    </row>
    <row r="56" spans="1:20" x14ac:dyDescent="0.2">
      <c r="B56" s="613" t="s">
        <v>695</v>
      </c>
      <c r="C56" s="630">
        <f>H6</f>
        <v>208000</v>
      </c>
      <c r="D56" s="637">
        <f>C56/2</f>
        <v>104000</v>
      </c>
      <c r="E56" s="637">
        <f>C56/3</f>
        <v>69333.333333333328</v>
      </c>
      <c r="F56" s="637">
        <f>C56/4</f>
        <v>52000</v>
      </c>
      <c r="G56" s="638">
        <f>C56/5</f>
        <v>41600</v>
      </c>
      <c r="H56" s="707"/>
      <c r="I56" s="707"/>
      <c r="J56" s="707"/>
      <c r="K56" s="707"/>
      <c r="L56" s="707"/>
      <c r="M56" s="113" t="s">
        <v>696</v>
      </c>
      <c r="N56" s="665" t="s">
        <v>697</v>
      </c>
      <c r="O56" s="657">
        <v>236101.67</v>
      </c>
      <c r="P56" s="710"/>
      <c r="S56" s="711"/>
      <c r="T56" s="712"/>
    </row>
    <row r="57" spans="1:20" ht="16" thickBot="1" x14ac:dyDescent="0.25">
      <c r="B57" s="615" t="s">
        <v>698</v>
      </c>
      <c r="C57" s="645">
        <f>J6</f>
        <v>104000</v>
      </c>
      <c r="D57" s="632">
        <f>C57/2</f>
        <v>52000</v>
      </c>
      <c r="E57" s="632">
        <f>C57/3</f>
        <v>34666.666666666664</v>
      </c>
      <c r="F57" s="632">
        <f>C57/4</f>
        <v>26000</v>
      </c>
      <c r="G57" s="639">
        <f>C57/5</f>
        <v>20800</v>
      </c>
      <c r="H57" s="707"/>
      <c r="I57" s="707"/>
      <c r="J57" s="707"/>
      <c r="K57" s="707"/>
      <c r="L57" s="707"/>
      <c r="M57" s="113"/>
      <c r="N57" s="666" t="s">
        <v>716</v>
      </c>
      <c r="O57" s="115"/>
      <c r="P57" s="710"/>
      <c r="S57" s="711"/>
      <c r="T57" s="712"/>
    </row>
    <row r="58" spans="1:20" x14ac:dyDescent="0.2">
      <c r="B58" s="644" t="s">
        <v>679</v>
      </c>
      <c r="C58" s="617"/>
      <c r="D58" s="641"/>
      <c r="E58" s="640"/>
      <c r="F58" s="640"/>
      <c r="G58" s="641"/>
      <c r="H58" s="707"/>
      <c r="I58" s="707"/>
      <c r="J58" s="707"/>
      <c r="K58" s="707"/>
      <c r="L58" s="707"/>
      <c r="M58" s="12"/>
      <c r="N58" s="667"/>
      <c r="O58" s="570"/>
      <c r="P58" s="710"/>
      <c r="S58" s="711"/>
      <c r="T58" s="712"/>
    </row>
    <row r="59" spans="1:20" x14ac:dyDescent="0.2">
      <c r="B59" s="12" t="s">
        <v>700</v>
      </c>
      <c r="C59" s="633">
        <f>L6</f>
        <v>20800</v>
      </c>
      <c r="D59" s="643">
        <f>C59/2</f>
        <v>10400</v>
      </c>
      <c r="E59" s="642">
        <f>C59/3</f>
        <v>6933.333333333333</v>
      </c>
      <c r="F59" s="642">
        <f>C59/4</f>
        <v>5200</v>
      </c>
      <c r="G59" s="643">
        <f>C59/5</f>
        <v>4160</v>
      </c>
      <c r="H59" s="707"/>
      <c r="I59" s="707"/>
      <c r="J59" s="707"/>
      <c r="K59" s="707"/>
      <c r="L59" s="707"/>
      <c r="M59" s="658" t="s">
        <v>701</v>
      </c>
      <c r="N59" s="668" t="s">
        <v>717</v>
      </c>
      <c r="O59" s="659">
        <v>11805.06</v>
      </c>
      <c r="P59" s="710"/>
      <c r="S59" s="711"/>
      <c r="T59" s="712"/>
    </row>
    <row r="60" spans="1:20" x14ac:dyDescent="0.2">
      <c r="B60" s="113" t="s">
        <v>703</v>
      </c>
      <c r="C60" s="613"/>
      <c r="D60" s="638"/>
      <c r="E60" s="637"/>
      <c r="F60" s="637"/>
      <c r="G60" s="638"/>
      <c r="H60" s="707"/>
      <c r="I60" s="707"/>
      <c r="J60" s="707"/>
      <c r="K60" s="707"/>
      <c r="L60" s="707"/>
      <c r="M60" s="660"/>
      <c r="N60" s="730">
        <v>236102</v>
      </c>
      <c r="O60" s="661"/>
      <c r="P60" s="710"/>
      <c r="S60" s="711"/>
      <c r="T60" s="712"/>
    </row>
    <row r="61" spans="1:20" ht="16" thickBot="1" x14ac:dyDescent="0.25">
      <c r="B61" s="13" t="s">
        <v>704</v>
      </c>
      <c r="C61" s="717">
        <f>M6</f>
        <v>6700</v>
      </c>
      <c r="D61" s="639">
        <f>C61*2</f>
        <v>13400</v>
      </c>
      <c r="E61" s="632">
        <f>C61*3</f>
        <v>20100</v>
      </c>
      <c r="F61" s="632">
        <f>C61*4</f>
        <v>26800</v>
      </c>
      <c r="G61" s="639">
        <f>C61*5</f>
        <v>33500</v>
      </c>
      <c r="H61" s="707"/>
      <c r="I61" s="707"/>
      <c r="J61" s="707"/>
      <c r="K61" s="707"/>
      <c r="L61" s="707"/>
      <c r="M61" s="12"/>
      <c r="N61" s="667"/>
      <c r="O61" s="570"/>
      <c r="P61" s="710"/>
      <c r="S61" s="711"/>
      <c r="T61" s="712"/>
    </row>
    <row r="62" spans="1:20" x14ac:dyDescent="0.2">
      <c r="B62" s="613"/>
      <c r="C62" s="613"/>
      <c r="D62" s="637"/>
      <c r="E62" s="637"/>
      <c r="F62" s="637"/>
      <c r="G62" s="638"/>
      <c r="H62" s="707"/>
      <c r="I62" s="707"/>
      <c r="J62" s="707"/>
      <c r="K62" s="707"/>
      <c r="L62" s="707"/>
      <c r="M62" s="658" t="s">
        <v>705</v>
      </c>
      <c r="N62" s="670" t="s">
        <v>718</v>
      </c>
      <c r="O62" s="659">
        <v>11805</v>
      </c>
      <c r="P62" s="710"/>
      <c r="S62" s="711"/>
      <c r="T62" s="712"/>
    </row>
    <row r="63" spans="1:20" ht="16" thickBot="1" x14ac:dyDescent="0.25">
      <c r="B63" s="614" t="s">
        <v>707</v>
      </c>
      <c r="C63" s="632">
        <f>C59+C61</f>
        <v>27500</v>
      </c>
      <c r="D63" s="716">
        <f>D59+D61</f>
        <v>23800</v>
      </c>
      <c r="E63" s="632">
        <f>E59+E61</f>
        <v>27033.333333333332</v>
      </c>
      <c r="F63" s="632">
        <f>F59+F61</f>
        <v>32000</v>
      </c>
      <c r="G63" s="639">
        <f>G59+G61</f>
        <v>37660</v>
      </c>
      <c r="H63" s="707"/>
      <c r="I63" s="707"/>
      <c r="J63" s="707"/>
      <c r="K63" s="707"/>
      <c r="L63" s="707"/>
      <c r="M63" s="660"/>
      <c r="N63" s="669">
        <v>2</v>
      </c>
      <c r="O63" s="661"/>
      <c r="P63" s="710"/>
      <c r="S63" s="711"/>
      <c r="T63" s="712"/>
    </row>
    <row r="64" spans="1:20" x14ac:dyDescent="0.2">
      <c r="E64" s="707"/>
      <c r="F64" s="708"/>
      <c r="G64" s="617" t="s">
        <v>708</v>
      </c>
      <c r="H64" s="707"/>
      <c r="I64" s="707"/>
      <c r="J64" s="707"/>
      <c r="K64" s="707"/>
      <c r="L64" s="707"/>
      <c r="M64" s="12"/>
      <c r="N64" s="667"/>
      <c r="O64" s="570"/>
      <c r="P64" s="710"/>
      <c r="S64" s="711"/>
      <c r="T64" s="712"/>
    </row>
    <row r="65" spans="1:20" ht="17" thickBot="1" x14ac:dyDescent="0.25">
      <c r="E65" s="707"/>
      <c r="F65" s="708"/>
      <c r="G65" s="911">
        <f>D63*2</f>
        <v>47600</v>
      </c>
      <c r="H65" s="707"/>
      <c r="I65" s="707"/>
      <c r="J65" s="707"/>
      <c r="K65" s="707"/>
      <c r="L65" s="707"/>
      <c r="M65" s="663" t="s">
        <v>709</v>
      </c>
      <c r="N65" s="671" t="s">
        <v>719</v>
      </c>
      <c r="O65" s="797">
        <v>23610</v>
      </c>
      <c r="P65" s="710"/>
      <c r="S65" s="711"/>
      <c r="T65" s="712"/>
    </row>
    <row r="66" spans="1:20" ht="16" thickBot="1" x14ac:dyDescent="0.25">
      <c r="E66" s="707"/>
      <c r="F66" s="708"/>
      <c r="H66" s="707"/>
      <c r="I66" s="707"/>
      <c r="J66" s="707"/>
      <c r="K66" s="707"/>
      <c r="L66" s="707"/>
      <c r="M66" s="709"/>
      <c r="N66" s="709"/>
      <c r="P66" s="710"/>
      <c r="S66" s="711"/>
      <c r="T66" s="712"/>
    </row>
    <row r="67" spans="1:20" ht="18.75" customHeight="1" thickBot="1" x14ac:dyDescent="0.3">
      <c r="A67" s="714" t="s">
        <v>157</v>
      </c>
      <c r="B67" s="654" t="s">
        <v>687</v>
      </c>
      <c r="C67" s="654" t="s">
        <v>688</v>
      </c>
      <c r="D67" s="654" t="s">
        <v>689</v>
      </c>
      <c r="E67" s="654" t="s">
        <v>690</v>
      </c>
      <c r="F67" s="654" t="s">
        <v>691</v>
      </c>
      <c r="G67" s="655" t="s">
        <v>692</v>
      </c>
      <c r="H67" s="720" t="s">
        <v>720</v>
      </c>
      <c r="I67" s="725"/>
      <c r="J67" s="724"/>
      <c r="K67" s="724"/>
      <c r="L67" s="729" t="s">
        <v>157</v>
      </c>
      <c r="M67" s="1262" t="s">
        <v>693</v>
      </c>
      <c r="N67" s="1263"/>
      <c r="O67" s="315"/>
      <c r="P67" s="710"/>
      <c r="S67" s="711"/>
      <c r="T67" s="712"/>
    </row>
    <row r="68" spans="1:20" x14ac:dyDescent="0.2">
      <c r="B68" s="612" t="s">
        <v>694</v>
      </c>
      <c r="C68" s="629">
        <f>C7</f>
        <v>416000</v>
      </c>
      <c r="D68" s="635">
        <f>C68/2</f>
        <v>208000</v>
      </c>
      <c r="E68" s="635">
        <f>C68/3</f>
        <v>138666.66666666666</v>
      </c>
      <c r="F68" s="635">
        <f>C68/4</f>
        <v>104000</v>
      </c>
      <c r="G68" s="636">
        <f>C68/5</f>
        <v>83200</v>
      </c>
      <c r="H68" s="629">
        <f>C68/6</f>
        <v>69333.333333333328</v>
      </c>
      <c r="I68" s="723"/>
      <c r="J68" s="707"/>
      <c r="K68" s="707"/>
      <c r="L68" s="707"/>
      <c r="M68" s="656"/>
      <c r="N68" s="664"/>
      <c r="O68" s="570"/>
      <c r="P68" s="710"/>
      <c r="S68" s="711"/>
      <c r="T68" s="712"/>
    </row>
    <row r="69" spans="1:20" x14ac:dyDescent="0.2">
      <c r="B69" s="613" t="s">
        <v>695</v>
      </c>
      <c r="C69" s="630">
        <f>H7</f>
        <v>208000</v>
      </c>
      <c r="D69" s="637">
        <f>C69/2</f>
        <v>104000</v>
      </c>
      <c r="E69" s="637">
        <f>C69/3</f>
        <v>69333.333333333328</v>
      </c>
      <c r="F69" s="637">
        <f>C69/4</f>
        <v>52000</v>
      </c>
      <c r="G69" s="638">
        <f>C69/5</f>
        <v>41600</v>
      </c>
      <c r="H69" s="630">
        <f>C69/6</f>
        <v>34666.666666666664</v>
      </c>
      <c r="I69" s="723"/>
      <c r="J69" s="707"/>
      <c r="K69" s="707"/>
      <c r="L69" s="707"/>
      <c r="M69" s="113" t="s">
        <v>696</v>
      </c>
      <c r="N69" s="665" t="s">
        <v>721</v>
      </c>
      <c r="O69" s="657">
        <v>78701</v>
      </c>
      <c r="P69" s="710"/>
      <c r="S69" s="711"/>
      <c r="T69" s="712"/>
    </row>
    <row r="70" spans="1:20" ht="16" thickBot="1" x14ac:dyDescent="0.25">
      <c r="B70" s="615" t="s">
        <v>698</v>
      </c>
      <c r="C70" s="645">
        <f>J7</f>
        <v>936000</v>
      </c>
      <c r="D70" s="632">
        <f>C70/2</f>
        <v>468000</v>
      </c>
      <c r="E70" s="632">
        <f>C70/3</f>
        <v>312000</v>
      </c>
      <c r="F70" s="632">
        <f>C70/4</f>
        <v>234000</v>
      </c>
      <c r="G70" s="639">
        <f>C70/5</f>
        <v>187200</v>
      </c>
      <c r="H70" s="719">
        <f>C70/6</f>
        <v>156000</v>
      </c>
      <c r="I70" s="723"/>
      <c r="J70" s="707"/>
      <c r="K70" s="707"/>
      <c r="L70" s="707"/>
      <c r="M70" s="113"/>
      <c r="N70" s="666" t="s">
        <v>722</v>
      </c>
      <c r="O70" s="115"/>
      <c r="P70" s="710"/>
      <c r="S70" s="711"/>
      <c r="T70" s="712"/>
    </row>
    <row r="71" spans="1:20" x14ac:dyDescent="0.2">
      <c r="B71" s="644" t="s">
        <v>679</v>
      </c>
      <c r="C71" s="617"/>
      <c r="D71" s="641"/>
      <c r="E71" s="640"/>
      <c r="F71" s="640"/>
      <c r="G71" s="641"/>
      <c r="H71" s="721"/>
      <c r="I71" s="723"/>
      <c r="J71" s="707"/>
      <c r="K71" s="707"/>
      <c r="L71" s="707"/>
      <c r="M71" s="12"/>
      <c r="N71" s="667"/>
      <c r="O71" s="570"/>
      <c r="P71" s="710"/>
      <c r="S71" s="711"/>
      <c r="T71" s="712"/>
    </row>
    <row r="72" spans="1:20" x14ac:dyDescent="0.2">
      <c r="B72" s="12" t="s">
        <v>700</v>
      </c>
      <c r="C72" s="633">
        <f>L7</f>
        <v>187200</v>
      </c>
      <c r="D72" s="643">
        <f>C72/2</f>
        <v>93600</v>
      </c>
      <c r="E72" s="642">
        <f>C72/3</f>
        <v>62400</v>
      </c>
      <c r="F72" s="642">
        <f>C72/4</f>
        <v>46800</v>
      </c>
      <c r="G72" s="643">
        <f>C72/5</f>
        <v>37440</v>
      </c>
      <c r="H72" s="718">
        <f>C72/6</f>
        <v>31200</v>
      </c>
      <c r="I72" s="723"/>
      <c r="J72" s="707"/>
      <c r="K72" s="707"/>
      <c r="L72" s="707"/>
      <c r="M72" s="658" t="s">
        <v>701</v>
      </c>
      <c r="N72" s="668" t="s">
        <v>717</v>
      </c>
      <c r="O72" s="659">
        <v>35505.279999999999</v>
      </c>
      <c r="P72" s="710"/>
      <c r="S72" s="711"/>
      <c r="T72" s="712"/>
    </row>
    <row r="73" spans="1:20" x14ac:dyDescent="0.2">
      <c r="B73" s="113" t="s">
        <v>703</v>
      </c>
      <c r="C73" s="613"/>
      <c r="D73" s="638"/>
      <c r="E73" s="637"/>
      <c r="F73" s="637"/>
      <c r="G73" s="638"/>
      <c r="H73" s="630"/>
      <c r="I73" s="723"/>
      <c r="J73" s="707"/>
      <c r="K73" s="707"/>
      <c r="L73" s="707"/>
      <c r="M73" s="660"/>
      <c r="N73" s="730">
        <v>78501</v>
      </c>
      <c r="O73" s="661"/>
      <c r="P73" s="710"/>
      <c r="S73" s="711"/>
      <c r="T73" s="712"/>
    </row>
    <row r="74" spans="1:20" ht="16" thickBot="1" x14ac:dyDescent="0.25">
      <c r="B74" s="13" t="s">
        <v>704</v>
      </c>
      <c r="C74" s="634">
        <f>O7</f>
        <v>6700</v>
      </c>
      <c r="D74" s="639">
        <f>C74*2</f>
        <v>13400</v>
      </c>
      <c r="E74" s="632">
        <f>C74*3</f>
        <v>20100</v>
      </c>
      <c r="F74" s="632">
        <f>C74*4</f>
        <v>26800</v>
      </c>
      <c r="G74" s="639">
        <f>C74*5</f>
        <v>33500</v>
      </c>
      <c r="H74" s="719">
        <f>C74*6</f>
        <v>40200</v>
      </c>
      <c r="I74" s="723"/>
      <c r="J74" s="707"/>
      <c r="K74" s="707"/>
      <c r="L74" s="707"/>
      <c r="M74" s="12"/>
      <c r="N74" s="667"/>
      <c r="O74" s="570"/>
      <c r="P74" s="710"/>
      <c r="S74" s="711"/>
      <c r="T74" s="712"/>
    </row>
    <row r="75" spans="1:20" x14ac:dyDescent="0.2">
      <c r="B75" s="613"/>
      <c r="C75" s="613"/>
      <c r="D75" s="637"/>
      <c r="E75" s="637"/>
      <c r="F75" s="637"/>
      <c r="G75" s="638"/>
      <c r="H75" s="630"/>
      <c r="I75" s="723"/>
      <c r="J75" s="707"/>
      <c r="K75" s="707"/>
      <c r="L75" s="707"/>
      <c r="M75" s="658" t="s">
        <v>705</v>
      </c>
      <c r="N75" s="670" t="s">
        <v>723</v>
      </c>
      <c r="O75" s="662">
        <v>35415.449999999997</v>
      </c>
      <c r="P75" s="710"/>
      <c r="S75" s="711"/>
      <c r="T75" s="712"/>
    </row>
    <row r="76" spans="1:20" ht="16" thickBot="1" x14ac:dyDescent="0.25">
      <c r="B76" s="614" t="s">
        <v>707</v>
      </c>
      <c r="C76" s="632">
        <f t="shared" ref="C76:H76" si="7">C72+C74</f>
        <v>193900</v>
      </c>
      <c r="D76" s="632">
        <f t="shared" si="7"/>
        <v>107000</v>
      </c>
      <c r="E76" s="632">
        <f t="shared" si="7"/>
        <v>82500</v>
      </c>
      <c r="F76" s="632">
        <f t="shared" si="7"/>
        <v>73600</v>
      </c>
      <c r="G76" s="722">
        <f t="shared" si="7"/>
        <v>70940</v>
      </c>
      <c r="H76" s="718">
        <f t="shared" si="7"/>
        <v>71400</v>
      </c>
      <c r="I76" s="723"/>
      <c r="J76" s="707"/>
      <c r="K76" s="707"/>
      <c r="L76" s="707"/>
      <c r="M76" s="660"/>
      <c r="N76" s="669">
        <v>2</v>
      </c>
      <c r="O76" s="661"/>
      <c r="P76" s="710"/>
      <c r="S76" s="711"/>
      <c r="T76" s="712"/>
    </row>
    <row r="77" spans="1:20" x14ac:dyDescent="0.2">
      <c r="E77" s="707"/>
      <c r="F77" s="708"/>
      <c r="H77" s="617" t="s">
        <v>708</v>
      </c>
      <c r="M77" s="12"/>
      <c r="N77" s="667"/>
      <c r="O77" s="570"/>
      <c r="P77" s="710"/>
      <c r="S77" s="711"/>
      <c r="T77" s="712"/>
    </row>
    <row r="78" spans="1:20" ht="17" thickBot="1" x14ac:dyDescent="0.25">
      <c r="E78" s="707"/>
      <c r="F78" s="708"/>
      <c r="H78" s="909">
        <f>G76*5</f>
        <v>354700</v>
      </c>
      <c r="I78" s="707"/>
      <c r="J78" s="707"/>
      <c r="K78" s="707"/>
      <c r="L78" s="707"/>
      <c r="M78" s="663" t="s">
        <v>709</v>
      </c>
      <c r="N78" s="671" t="s">
        <v>724</v>
      </c>
      <c r="O78" s="797">
        <v>70920.45</v>
      </c>
      <c r="P78" s="710"/>
      <c r="S78" s="711"/>
      <c r="T78" s="712"/>
    </row>
    <row r="79" spans="1:20" ht="16" thickBot="1" x14ac:dyDescent="0.25">
      <c r="E79" s="707"/>
      <c r="F79" s="708"/>
      <c r="H79" s="707"/>
      <c r="I79" s="707"/>
      <c r="J79" s="707"/>
      <c r="K79" s="707"/>
      <c r="L79" s="707"/>
      <c r="M79" s="709"/>
      <c r="N79" s="709"/>
      <c r="P79" s="710"/>
      <c r="S79" s="711"/>
      <c r="T79" s="712"/>
    </row>
    <row r="80" spans="1:20" ht="15" customHeight="1" thickBot="1" x14ac:dyDescent="0.3">
      <c r="A80" s="714" t="s">
        <v>206</v>
      </c>
      <c r="B80" s="654" t="s">
        <v>687</v>
      </c>
      <c r="C80" s="654" t="s">
        <v>688</v>
      </c>
      <c r="D80" s="654" t="s">
        <v>689</v>
      </c>
      <c r="E80" s="654" t="s">
        <v>690</v>
      </c>
      <c r="F80" s="654" t="s">
        <v>691</v>
      </c>
      <c r="G80" s="655" t="s">
        <v>692</v>
      </c>
      <c r="H80" s="720" t="s">
        <v>720</v>
      </c>
      <c r="I80" s="720" t="s">
        <v>725</v>
      </c>
      <c r="J80" s="720" t="s">
        <v>726</v>
      </c>
      <c r="K80" s="720" t="s">
        <v>726</v>
      </c>
      <c r="L80" s="729" t="s">
        <v>206</v>
      </c>
      <c r="M80" s="1262" t="s">
        <v>693</v>
      </c>
      <c r="N80" s="1263"/>
      <c r="O80" s="315"/>
      <c r="P80" s="710"/>
      <c r="S80" s="711"/>
      <c r="T80" s="712"/>
    </row>
    <row r="81" spans="1:20" x14ac:dyDescent="0.2">
      <c r="B81" s="612" t="s">
        <v>694</v>
      </c>
      <c r="C81" s="629">
        <f>C8</f>
        <v>104000</v>
      </c>
      <c r="D81" s="635">
        <f>C81/2</f>
        <v>52000</v>
      </c>
      <c r="E81" s="635">
        <f>C81/3</f>
        <v>34666.666666666664</v>
      </c>
      <c r="F81" s="635">
        <f>C81/4</f>
        <v>26000</v>
      </c>
      <c r="G81" s="636">
        <f>C81/5</f>
        <v>20800</v>
      </c>
      <c r="H81" s="629">
        <f>C81/6</f>
        <v>17333.333333333332</v>
      </c>
      <c r="I81" s="629">
        <f>C81/7</f>
        <v>14857.142857142857</v>
      </c>
      <c r="J81" s="629">
        <f>C81/8</f>
        <v>13000</v>
      </c>
      <c r="K81" s="629">
        <f>D81/9</f>
        <v>5777.7777777777774</v>
      </c>
      <c r="L81" s="707"/>
      <c r="M81" s="656"/>
      <c r="N81" s="664"/>
      <c r="O81" s="570"/>
      <c r="P81" s="710"/>
      <c r="S81" s="711"/>
      <c r="T81" s="712"/>
    </row>
    <row r="82" spans="1:20" x14ac:dyDescent="0.2">
      <c r="B82" s="613" t="s">
        <v>695</v>
      </c>
      <c r="C82" s="630">
        <f>H8</f>
        <v>52000</v>
      </c>
      <c r="D82" s="637">
        <f>C82/2</f>
        <v>26000</v>
      </c>
      <c r="E82" s="637">
        <f>C82/3</f>
        <v>17333.333333333332</v>
      </c>
      <c r="F82" s="637">
        <f>C82/4</f>
        <v>13000</v>
      </c>
      <c r="G82" s="638">
        <f>C82/5</f>
        <v>10400</v>
      </c>
      <c r="H82" s="630">
        <f>C82/6</f>
        <v>8666.6666666666661</v>
      </c>
      <c r="I82" s="630">
        <f>C82/7</f>
        <v>7428.5714285714284</v>
      </c>
      <c r="J82" s="630">
        <f>C82/8</f>
        <v>6500</v>
      </c>
      <c r="K82" s="630">
        <f>D82/9</f>
        <v>2888.8888888888887</v>
      </c>
      <c r="L82" s="707"/>
      <c r="M82" s="113" t="s">
        <v>696</v>
      </c>
      <c r="N82" s="665" t="s">
        <v>727</v>
      </c>
      <c r="O82" s="657">
        <v>8702.26</v>
      </c>
      <c r="P82" s="710"/>
      <c r="S82" s="711"/>
      <c r="T82" s="712"/>
    </row>
    <row r="83" spans="1:20" ht="16" thickBot="1" x14ac:dyDescent="0.25">
      <c r="B83" s="615" t="s">
        <v>698</v>
      </c>
      <c r="C83" s="645">
        <f>J8</f>
        <v>10569000</v>
      </c>
      <c r="D83" s="632">
        <f>C83/2</f>
        <v>5284500</v>
      </c>
      <c r="E83" s="632">
        <f>C83/3</f>
        <v>3523000</v>
      </c>
      <c r="F83" s="632">
        <f>C83/4</f>
        <v>2642250</v>
      </c>
      <c r="G83" s="639">
        <f>C83/5</f>
        <v>2113800</v>
      </c>
      <c r="H83" s="719">
        <f>C83/6</f>
        <v>1761500</v>
      </c>
      <c r="I83" s="719">
        <f>C83/7</f>
        <v>1509857.142857143</v>
      </c>
      <c r="J83" s="719">
        <f>C83/8</f>
        <v>1321125</v>
      </c>
      <c r="K83" s="719">
        <f>D83/9</f>
        <v>587166.66666666663</v>
      </c>
      <c r="L83" s="707"/>
      <c r="M83" s="113"/>
      <c r="N83" s="666" t="s">
        <v>728</v>
      </c>
      <c r="O83" s="115"/>
      <c r="P83" s="710"/>
      <c r="S83" s="711"/>
      <c r="T83" s="712"/>
    </row>
    <row r="84" spans="1:20" x14ac:dyDescent="0.2">
      <c r="B84" s="644" t="s">
        <v>679</v>
      </c>
      <c r="C84" s="617"/>
      <c r="D84" s="641"/>
      <c r="E84" s="640"/>
      <c r="F84" s="640"/>
      <c r="G84" s="641"/>
      <c r="H84" s="721"/>
      <c r="I84" s="721"/>
      <c r="J84" s="721"/>
      <c r="K84" s="721"/>
      <c r="L84" s="707"/>
      <c r="M84" s="12"/>
      <c r="N84" s="667"/>
      <c r="O84" s="570"/>
      <c r="P84" s="710"/>
      <c r="S84" s="711"/>
      <c r="T84" s="712"/>
    </row>
    <row r="85" spans="1:20" x14ac:dyDescent="0.2">
      <c r="B85" s="12" t="s">
        <v>700</v>
      </c>
      <c r="C85" s="633">
        <f>L8</f>
        <v>2113800</v>
      </c>
      <c r="D85" s="643">
        <f>C85/2</f>
        <v>1056900</v>
      </c>
      <c r="E85" s="642">
        <f>C85/3</f>
        <v>704600</v>
      </c>
      <c r="F85" s="642">
        <f>C85/4</f>
        <v>528450</v>
      </c>
      <c r="G85" s="643">
        <f>C85/5</f>
        <v>422760</v>
      </c>
      <c r="H85" s="718">
        <f>C85/6</f>
        <v>352300</v>
      </c>
      <c r="I85" s="718">
        <f>C85/7</f>
        <v>301971.42857142858</v>
      </c>
      <c r="J85" s="718">
        <f>C85/8</f>
        <v>264225</v>
      </c>
      <c r="K85" s="718">
        <f>D85/9</f>
        <v>117433.33333333333</v>
      </c>
      <c r="L85" s="707"/>
      <c r="M85" s="658" t="s">
        <v>701</v>
      </c>
      <c r="N85" s="668" t="s">
        <v>729</v>
      </c>
      <c r="O85" s="659">
        <v>176878.87</v>
      </c>
      <c r="P85" s="710"/>
      <c r="S85" s="711"/>
      <c r="T85" s="712"/>
    </row>
    <row r="86" spans="1:20" x14ac:dyDescent="0.2">
      <c r="B86" s="113" t="s">
        <v>703</v>
      </c>
      <c r="C86" s="613"/>
      <c r="D86" s="638"/>
      <c r="E86" s="637"/>
      <c r="F86" s="637"/>
      <c r="G86" s="638"/>
      <c r="H86" s="630"/>
      <c r="I86" s="630"/>
      <c r="J86" s="630"/>
      <c r="K86" s="630"/>
      <c r="L86" s="707"/>
      <c r="M86" s="660"/>
      <c r="N86" s="730">
        <v>8702</v>
      </c>
      <c r="O86" s="661"/>
      <c r="P86" s="710"/>
      <c r="S86" s="711"/>
      <c r="T86" s="712"/>
    </row>
    <row r="87" spans="1:20" ht="16" thickBot="1" x14ac:dyDescent="0.25">
      <c r="B87" s="13" t="s">
        <v>704</v>
      </c>
      <c r="C87" s="634">
        <f>O8</f>
        <v>14800</v>
      </c>
      <c r="D87" s="639">
        <f>C87*2</f>
        <v>29600</v>
      </c>
      <c r="E87" s="632">
        <f>C87*3</f>
        <v>44400</v>
      </c>
      <c r="F87" s="632">
        <f>C87*4</f>
        <v>59200</v>
      </c>
      <c r="G87" s="639">
        <f>C87*5</f>
        <v>74000</v>
      </c>
      <c r="H87" s="719">
        <f>C87*6</f>
        <v>88800</v>
      </c>
      <c r="I87" s="719">
        <f>C87*7</f>
        <v>103600</v>
      </c>
      <c r="J87" s="719">
        <f>C87*8</f>
        <v>118400</v>
      </c>
      <c r="K87" s="719">
        <f>D87*9</f>
        <v>266400</v>
      </c>
      <c r="L87" s="707"/>
      <c r="M87" s="12"/>
      <c r="N87" s="667"/>
      <c r="O87" s="570"/>
      <c r="P87" s="710"/>
      <c r="S87" s="711"/>
      <c r="T87" s="712"/>
    </row>
    <row r="88" spans="1:20" x14ac:dyDescent="0.2">
      <c r="B88" s="613"/>
      <c r="C88" s="613"/>
      <c r="D88" s="637"/>
      <c r="E88" s="637"/>
      <c r="F88" s="637"/>
      <c r="G88" s="638"/>
      <c r="H88" s="630"/>
      <c r="I88" s="630"/>
      <c r="J88" s="630"/>
      <c r="K88" s="630"/>
      <c r="L88" s="707"/>
      <c r="M88" s="658" t="s">
        <v>705</v>
      </c>
      <c r="N88" s="670" t="s">
        <v>730</v>
      </c>
      <c r="O88" s="659">
        <v>176868.15</v>
      </c>
      <c r="P88" s="710"/>
      <c r="S88" s="711"/>
      <c r="T88" s="712"/>
    </row>
    <row r="89" spans="1:20" ht="16" thickBot="1" x14ac:dyDescent="0.25">
      <c r="B89" s="614" t="s">
        <v>707</v>
      </c>
      <c r="C89" s="632">
        <f>C85+C87</f>
        <v>2128600</v>
      </c>
      <c r="D89" s="632">
        <f>D87+D85</f>
        <v>1086500</v>
      </c>
      <c r="E89" s="632">
        <f>E87+E85</f>
        <v>749000</v>
      </c>
      <c r="F89" s="632">
        <f>F85+F87</f>
        <v>587650</v>
      </c>
      <c r="G89" s="639">
        <f>G85+G87</f>
        <v>496760</v>
      </c>
      <c r="H89" s="728">
        <f>H87+H85</f>
        <v>441100</v>
      </c>
      <c r="I89" s="719">
        <f>I85+I87</f>
        <v>405571.42857142858</v>
      </c>
      <c r="J89" s="726">
        <f>J85+J87</f>
        <v>382625</v>
      </c>
      <c r="K89" s="719">
        <f>K85+K87</f>
        <v>383833.33333333331</v>
      </c>
      <c r="L89" s="707"/>
      <c r="M89" s="660"/>
      <c r="N89" s="669">
        <v>2</v>
      </c>
      <c r="O89" s="661"/>
      <c r="P89" s="710"/>
      <c r="S89" s="711"/>
      <c r="T89" s="712"/>
    </row>
    <row r="90" spans="1:20" x14ac:dyDescent="0.2">
      <c r="E90" s="707"/>
      <c r="F90" s="708"/>
      <c r="H90" s="707"/>
      <c r="I90" s="707"/>
      <c r="J90" s="707"/>
      <c r="K90" s="721" t="s">
        <v>708</v>
      </c>
      <c r="L90" s="707"/>
      <c r="M90" s="12"/>
      <c r="N90" s="667"/>
      <c r="O90" s="570"/>
      <c r="P90" s="710"/>
      <c r="S90" s="711"/>
      <c r="T90" s="712"/>
    </row>
    <row r="91" spans="1:20" ht="17" thickBot="1" x14ac:dyDescent="0.25">
      <c r="E91" s="707"/>
      <c r="F91" s="708"/>
      <c r="H91" s="707"/>
      <c r="I91" s="707"/>
      <c r="J91" s="707"/>
      <c r="K91" s="909">
        <f>J89*8</f>
        <v>3061000</v>
      </c>
      <c r="L91" s="707"/>
      <c r="M91" s="663" t="s">
        <v>709</v>
      </c>
      <c r="N91" s="671" t="s">
        <v>731</v>
      </c>
      <c r="O91" s="797">
        <v>353747.15</v>
      </c>
      <c r="P91" s="710"/>
      <c r="S91" s="711"/>
      <c r="T91" s="712"/>
    </row>
    <row r="92" spans="1:20" ht="16" thickBot="1" x14ac:dyDescent="0.25">
      <c r="E92" s="707"/>
      <c r="F92" s="708"/>
      <c r="H92" s="707"/>
      <c r="I92" s="707"/>
      <c r="J92" s="707"/>
      <c r="K92" s="707"/>
      <c r="L92" s="707"/>
      <c r="M92" s="709"/>
      <c r="N92" s="709"/>
      <c r="P92" s="710"/>
      <c r="S92" s="711"/>
      <c r="T92" s="712"/>
    </row>
    <row r="93" spans="1:20" ht="18.75" customHeight="1" thickBot="1" x14ac:dyDescent="0.3">
      <c r="A93" s="714" t="s">
        <v>205</v>
      </c>
      <c r="B93" s="654" t="s">
        <v>687</v>
      </c>
      <c r="C93" s="654" t="s">
        <v>688</v>
      </c>
      <c r="D93" s="654" t="s">
        <v>689</v>
      </c>
      <c r="E93" s="654" t="s">
        <v>690</v>
      </c>
      <c r="F93" s="654" t="s">
        <v>691</v>
      </c>
      <c r="G93" s="655" t="s">
        <v>692</v>
      </c>
      <c r="H93" s="720" t="s">
        <v>720</v>
      </c>
      <c r="I93" s="707"/>
      <c r="J93" s="707"/>
      <c r="K93" s="707"/>
      <c r="L93" s="729" t="s">
        <v>205</v>
      </c>
      <c r="M93" s="1262" t="s">
        <v>693</v>
      </c>
      <c r="N93" s="1263"/>
      <c r="O93" s="315"/>
      <c r="P93" s="710"/>
      <c r="S93" s="711"/>
      <c r="T93" s="712"/>
    </row>
    <row r="94" spans="1:20" x14ac:dyDescent="0.2">
      <c r="B94" s="612" t="s">
        <v>694</v>
      </c>
      <c r="C94" s="629">
        <f>C9</f>
        <v>11556</v>
      </c>
      <c r="D94" s="635">
        <f>C94/2</f>
        <v>5778</v>
      </c>
      <c r="E94" s="635">
        <f>C94/3</f>
        <v>3852</v>
      </c>
      <c r="F94" s="635">
        <f>C94/4</f>
        <v>2889</v>
      </c>
      <c r="G94" s="636">
        <f>C94/5</f>
        <v>2311.1999999999998</v>
      </c>
      <c r="H94" s="629">
        <f>C94/6</f>
        <v>1926</v>
      </c>
      <c r="I94" s="707"/>
      <c r="J94" s="707"/>
      <c r="K94" s="707"/>
      <c r="L94" s="707"/>
      <c r="M94" s="656"/>
      <c r="N94" s="664"/>
      <c r="O94" s="570"/>
      <c r="P94" s="710"/>
      <c r="S94" s="711"/>
      <c r="T94" s="712"/>
    </row>
    <row r="95" spans="1:20" x14ac:dyDescent="0.2">
      <c r="B95" s="613" t="s">
        <v>695</v>
      </c>
      <c r="C95" s="630">
        <f>H9</f>
        <v>5778</v>
      </c>
      <c r="D95" s="637">
        <f>C95/2</f>
        <v>2889</v>
      </c>
      <c r="E95" s="637">
        <f>C95/3</f>
        <v>1926</v>
      </c>
      <c r="F95" s="637">
        <f>C95/4</f>
        <v>1444.5</v>
      </c>
      <c r="G95" s="638">
        <f>C95/5</f>
        <v>1155.5999999999999</v>
      </c>
      <c r="H95" s="630">
        <f>C95/6</f>
        <v>963</v>
      </c>
      <c r="I95" s="707"/>
      <c r="J95" s="707"/>
      <c r="K95" s="707"/>
      <c r="L95" s="707"/>
      <c r="M95" s="113" t="s">
        <v>696</v>
      </c>
      <c r="N95" s="665" t="s">
        <v>732</v>
      </c>
      <c r="O95" s="657">
        <v>2146.35</v>
      </c>
      <c r="P95" s="710"/>
      <c r="S95" s="711"/>
      <c r="T95" s="712"/>
    </row>
    <row r="96" spans="1:20" ht="16" thickBot="1" x14ac:dyDescent="0.25">
      <c r="B96" s="615" t="s">
        <v>698</v>
      </c>
      <c r="C96" s="645">
        <f>J9</f>
        <v>2145082.5</v>
      </c>
      <c r="D96" s="632">
        <f>C96/2</f>
        <v>1072541.25</v>
      </c>
      <c r="E96" s="632">
        <f>C96/3</f>
        <v>715027.5</v>
      </c>
      <c r="F96" s="632">
        <f>C96/4</f>
        <v>536270.625</v>
      </c>
      <c r="G96" s="639">
        <f>C96/5</f>
        <v>429016.5</v>
      </c>
      <c r="H96" s="719">
        <f>C96/6</f>
        <v>357513.75</v>
      </c>
      <c r="I96" s="707"/>
      <c r="J96" s="707"/>
      <c r="K96" s="707"/>
      <c r="L96" s="707"/>
      <c r="M96" s="113"/>
      <c r="N96" s="666" t="s">
        <v>733</v>
      </c>
      <c r="O96" s="115"/>
      <c r="P96" s="710"/>
      <c r="S96" s="711"/>
      <c r="T96" s="712"/>
    </row>
    <row r="97" spans="1:20" x14ac:dyDescent="0.2">
      <c r="B97" s="644" t="s">
        <v>679</v>
      </c>
      <c r="C97" s="617"/>
      <c r="D97" s="641"/>
      <c r="E97" s="640"/>
      <c r="F97" s="640"/>
      <c r="G97" s="641"/>
      <c r="H97" s="721"/>
      <c r="I97" s="707"/>
      <c r="J97" s="707"/>
      <c r="K97" s="707"/>
      <c r="L97" s="707"/>
      <c r="M97" s="12"/>
      <c r="N97" s="667"/>
      <c r="O97" s="570"/>
      <c r="P97" s="710"/>
      <c r="S97" s="711"/>
      <c r="T97" s="712"/>
    </row>
    <row r="98" spans="1:20" x14ac:dyDescent="0.2">
      <c r="B98" s="12" t="s">
        <v>700</v>
      </c>
      <c r="C98" s="633">
        <f>L9</f>
        <v>429016.5</v>
      </c>
      <c r="D98" s="643">
        <f>C98/2</f>
        <v>214508.25</v>
      </c>
      <c r="E98" s="642">
        <f>C98/3</f>
        <v>143005.5</v>
      </c>
      <c r="F98" s="642">
        <f>C98/4</f>
        <v>107254.125</v>
      </c>
      <c r="G98" s="643">
        <f>C98/5</f>
        <v>85803.3</v>
      </c>
      <c r="H98" s="718">
        <f>C98/6</f>
        <v>71502.75</v>
      </c>
      <c r="I98" s="707"/>
      <c r="J98" s="707"/>
      <c r="K98" s="707"/>
      <c r="L98" s="707"/>
      <c r="M98" s="658" t="s">
        <v>701</v>
      </c>
      <c r="N98" s="668" t="s">
        <v>734</v>
      </c>
      <c r="O98" s="783">
        <v>79696.55</v>
      </c>
      <c r="P98" s="710"/>
      <c r="S98" s="711"/>
      <c r="T98" s="712"/>
    </row>
    <row r="99" spans="1:20" x14ac:dyDescent="0.2">
      <c r="B99" s="113" t="s">
        <v>703</v>
      </c>
      <c r="C99" s="613"/>
      <c r="D99" s="638"/>
      <c r="E99" s="637"/>
      <c r="F99" s="637"/>
      <c r="G99" s="638"/>
      <c r="H99" s="630"/>
      <c r="I99" s="707"/>
      <c r="J99" s="707"/>
      <c r="K99" s="707"/>
      <c r="L99" s="707"/>
      <c r="M99" s="660"/>
      <c r="N99" s="730">
        <v>2146</v>
      </c>
      <c r="O99" s="661"/>
      <c r="P99" s="710"/>
      <c r="S99" s="711"/>
      <c r="T99" s="712"/>
    </row>
    <row r="100" spans="1:20" ht="16" thickBot="1" x14ac:dyDescent="0.25">
      <c r="B100" s="13" t="s">
        <v>704</v>
      </c>
      <c r="C100" s="634">
        <f>O9</f>
        <v>14800</v>
      </c>
      <c r="D100" s="639">
        <f>C100*2</f>
        <v>29600</v>
      </c>
      <c r="E100" s="632">
        <f>C100*3</f>
        <v>44400</v>
      </c>
      <c r="F100" s="632">
        <f>C100*4</f>
        <v>59200</v>
      </c>
      <c r="G100" s="639">
        <f>C100*5</f>
        <v>74000</v>
      </c>
      <c r="H100" s="719">
        <f>C100*6</f>
        <v>88800</v>
      </c>
      <c r="I100" s="707"/>
      <c r="J100" s="707"/>
      <c r="K100" s="707"/>
      <c r="L100" s="707"/>
      <c r="M100" s="12"/>
      <c r="N100" s="667"/>
      <c r="O100" s="570"/>
      <c r="P100" s="710"/>
      <c r="S100" s="711"/>
      <c r="T100" s="712"/>
    </row>
    <row r="101" spans="1:20" x14ac:dyDescent="0.2">
      <c r="B101" s="613"/>
      <c r="C101" s="613"/>
      <c r="D101" s="637"/>
      <c r="E101" s="637"/>
      <c r="F101" s="637"/>
      <c r="G101" s="638"/>
      <c r="H101" s="630"/>
      <c r="I101" s="707"/>
      <c r="J101" s="707"/>
      <c r="K101" s="707"/>
      <c r="L101" s="707"/>
      <c r="M101" s="658" t="s">
        <v>705</v>
      </c>
      <c r="N101" s="670" t="s">
        <v>735</v>
      </c>
      <c r="O101" s="784">
        <v>79670.25</v>
      </c>
      <c r="P101" s="710"/>
      <c r="S101" s="711"/>
      <c r="T101" s="712"/>
    </row>
    <row r="102" spans="1:20" ht="16" thickBot="1" x14ac:dyDescent="0.25">
      <c r="B102" s="614" t="s">
        <v>707</v>
      </c>
      <c r="C102" s="632">
        <f>C98+C100</f>
        <v>443816.5</v>
      </c>
      <c r="D102" s="632">
        <f>D98+D100</f>
        <v>244108.25</v>
      </c>
      <c r="E102" s="727">
        <f>E98+E100</f>
        <v>187405.5</v>
      </c>
      <c r="F102" s="632">
        <f>F98+F100</f>
        <v>166454.125</v>
      </c>
      <c r="G102" s="722">
        <f>G98+G100</f>
        <v>159803.29999999999</v>
      </c>
      <c r="H102" s="910">
        <f>H100+H98</f>
        <v>160302.75</v>
      </c>
      <c r="I102" s="707"/>
      <c r="J102" s="707"/>
      <c r="K102" s="707"/>
      <c r="L102" s="707"/>
      <c r="M102" s="660"/>
      <c r="N102" s="669">
        <v>2</v>
      </c>
      <c r="O102" s="661"/>
      <c r="P102" s="710"/>
      <c r="S102" s="711"/>
      <c r="T102" s="712"/>
    </row>
    <row r="103" spans="1:20" x14ac:dyDescent="0.2">
      <c r="E103" s="707"/>
      <c r="F103" s="708"/>
      <c r="H103" s="721" t="s">
        <v>708</v>
      </c>
      <c r="I103" s="707"/>
      <c r="J103" s="707"/>
      <c r="K103" s="707"/>
      <c r="L103" s="707"/>
      <c r="M103" s="12"/>
      <c r="N103" s="667"/>
      <c r="O103" s="570"/>
      <c r="P103" s="710"/>
      <c r="S103" s="711"/>
      <c r="T103" s="712"/>
    </row>
    <row r="104" spans="1:20" ht="17" thickBot="1" x14ac:dyDescent="0.25">
      <c r="E104" s="707"/>
      <c r="F104" s="708"/>
      <c r="H104" s="909">
        <f>G102*5</f>
        <v>799016.5</v>
      </c>
      <c r="I104" s="707"/>
      <c r="J104" s="707"/>
      <c r="K104" s="707"/>
      <c r="L104" s="707"/>
      <c r="M104" s="663" t="s">
        <v>709</v>
      </c>
      <c r="N104" s="671" t="s">
        <v>736</v>
      </c>
      <c r="O104" s="797">
        <v>159367.25</v>
      </c>
      <c r="P104" s="710"/>
      <c r="S104" s="711"/>
      <c r="T104" s="712"/>
    </row>
    <row r="105" spans="1:20" ht="16" thickBot="1" x14ac:dyDescent="0.25">
      <c r="E105" s="707"/>
      <c r="F105" s="708"/>
      <c r="H105" s="707"/>
      <c r="I105" s="707"/>
      <c r="J105" s="707"/>
      <c r="K105" s="707"/>
      <c r="L105" s="707"/>
      <c r="M105" s="709"/>
      <c r="N105" s="709"/>
      <c r="P105" s="710"/>
      <c r="S105" s="711"/>
      <c r="T105" s="712"/>
    </row>
    <row r="106" spans="1:20" ht="20" thickBot="1" x14ac:dyDescent="0.3">
      <c r="A106" s="714" t="s">
        <v>187</v>
      </c>
      <c r="B106" s="654" t="s">
        <v>687</v>
      </c>
      <c r="C106" s="654" t="s">
        <v>688</v>
      </c>
      <c r="D106" s="654" t="s">
        <v>689</v>
      </c>
      <c r="E106" s="654" t="s">
        <v>690</v>
      </c>
      <c r="F106" s="654" t="s">
        <v>691</v>
      </c>
      <c r="G106" s="655" t="s">
        <v>692</v>
      </c>
      <c r="H106" s="720" t="s">
        <v>720</v>
      </c>
      <c r="I106" s="720" t="s">
        <v>725</v>
      </c>
      <c r="J106" s="707"/>
      <c r="K106" s="707"/>
      <c r="L106" s="729" t="s">
        <v>187</v>
      </c>
      <c r="M106" s="1262" t="s">
        <v>693</v>
      </c>
      <c r="N106" s="1263"/>
      <c r="O106" s="315"/>
      <c r="P106" s="710"/>
      <c r="S106" s="711"/>
      <c r="T106" s="712"/>
    </row>
    <row r="107" spans="1:20" x14ac:dyDescent="0.2">
      <c r="B107" s="612" t="s">
        <v>694</v>
      </c>
      <c r="C107" s="629">
        <f>C10</f>
        <v>1158</v>
      </c>
      <c r="D107" s="635">
        <f>C107/2</f>
        <v>579</v>
      </c>
      <c r="E107" s="635">
        <f>C107/3</f>
        <v>386</v>
      </c>
      <c r="F107" s="635">
        <f>C107/4</f>
        <v>289.5</v>
      </c>
      <c r="G107" s="636">
        <f>C107/5</f>
        <v>231.6</v>
      </c>
      <c r="H107" s="629">
        <f>C107/6</f>
        <v>193</v>
      </c>
      <c r="I107" s="629">
        <f>C107/7</f>
        <v>165.42857142857142</v>
      </c>
      <c r="J107" s="707"/>
      <c r="K107" s="707"/>
      <c r="L107" s="707"/>
      <c r="M107" s="656"/>
      <c r="N107" s="664"/>
      <c r="O107" s="570"/>
      <c r="P107" s="710"/>
      <c r="S107" s="711"/>
      <c r="T107" s="712"/>
    </row>
    <row r="108" spans="1:20" x14ac:dyDescent="0.2">
      <c r="B108" s="613" t="s">
        <v>695</v>
      </c>
      <c r="C108" s="630">
        <f>H10</f>
        <v>579</v>
      </c>
      <c r="D108" s="637">
        <f>C108/2</f>
        <v>289.5</v>
      </c>
      <c r="E108" s="637">
        <f>C108/3</f>
        <v>193</v>
      </c>
      <c r="F108" s="637">
        <f>C108/4</f>
        <v>144.75</v>
      </c>
      <c r="G108" s="638">
        <f>C108/5</f>
        <v>115.8</v>
      </c>
      <c r="H108" s="630">
        <f>C108/6</f>
        <v>96.5</v>
      </c>
      <c r="I108" s="630">
        <f>C108/7</f>
        <v>82.714285714285708</v>
      </c>
      <c r="J108" s="707"/>
      <c r="K108" s="707"/>
      <c r="L108" s="707"/>
      <c r="M108" s="113" t="s">
        <v>696</v>
      </c>
      <c r="N108" s="665" t="s">
        <v>737</v>
      </c>
      <c r="O108" s="657">
        <v>194.54</v>
      </c>
      <c r="P108" s="710"/>
      <c r="S108" s="711"/>
      <c r="T108" s="712"/>
    </row>
    <row r="109" spans="1:20" ht="16" thickBot="1" x14ac:dyDescent="0.25">
      <c r="B109" s="615" t="s">
        <v>698</v>
      </c>
      <c r="C109" s="645">
        <f>J10</f>
        <v>1186950</v>
      </c>
      <c r="D109" s="632">
        <f>C109/2</f>
        <v>593475</v>
      </c>
      <c r="E109" s="632">
        <f>C109/3</f>
        <v>395650</v>
      </c>
      <c r="F109" s="632">
        <f>C109/4</f>
        <v>296737.5</v>
      </c>
      <c r="G109" s="639">
        <f>C109/5</f>
        <v>237390</v>
      </c>
      <c r="H109" s="719">
        <f>C109/6</f>
        <v>197825</v>
      </c>
      <c r="I109" s="719">
        <f>C109/7</f>
        <v>169564.28571428571</v>
      </c>
      <c r="J109" s="707"/>
      <c r="K109" s="707"/>
      <c r="L109" s="707"/>
      <c r="M109" s="113"/>
      <c r="N109" s="666" t="s">
        <v>738</v>
      </c>
      <c r="O109" s="115"/>
      <c r="P109" s="710"/>
      <c r="S109" s="711"/>
      <c r="T109" s="712"/>
    </row>
    <row r="110" spans="1:20" x14ac:dyDescent="0.2">
      <c r="B110" s="644" t="s">
        <v>679</v>
      </c>
      <c r="C110" s="617"/>
      <c r="D110" s="641"/>
      <c r="E110" s="640"/>
      <c r="F110" s="640"/>
      <c r="G110" s="641"/>
      <c r="H110" s="721"/>
      <c r="I110" s="721"/>
      <c r="J110" s="707"/>
      <c r="K110" s="707"/>
      <c r="L110" s="707"/>
      <c r="M110" s="12"/>
      <c r="N110" s="667"/>
      <c r="O110" s="570"/>
      <c r="P110" s="710"/>
      <c r="S110" s="711"/>
      <c r="T110" s="712"/>
    </row>
    <row r="111" spans="1:20" x14ac:dyDescent="0.2">
      <c r="B111" s="12" t="s">
        <v>700</v>
      </c>
      <c r="C111" s="633">
        <f>L10</f>
        <v>237390</v>
      </c>
      <c r="D111" s="643">
        <f>C111/2</f>
        <v>118695</v>
      </c>
      <c r="E111" s="642">
        <f>C111/3</f>
        <v>79130</v>
      </c>
      <c r="F111" s="642">
        <f>C111/4</f>
        <v>59347.5</v>
      </c>
      <c r="G111" s="643">
        <f>C111/5</f>
        <v>47478</v>
      </c>
      <c r="H111" s="718">
        <f>C111/6</f>
        <v>39565</v>
      </c>
      <c r="I111" s="718">
        <f>C111/7</f>
        <v>33912.857142857145</v>
      </c>
      <c r="J111" s="707"/>
      <c r="K111" s="707"/>
      <c r="L111" s="707"/>
      <c r="M111" s="658" t="s">
        <v>701</v>
      </c>
      <c r="N111" s="668" t="s">
        <v>739</v>
      </c>
      <c r="O111" s="659">
        <v>39787.69</v>
      </c>
      <c r="P111" s="710"/>
      <c r="S111" s="711"/>
      <c r="T111" s="712"/>
    </row>
    <row r="112" spans="1:20" x14ac:dyDescent="0.2">
      <c r="B112" s="113" t="s">
        <v>703</v>
      </c>
      <c r="C112" s="613"/>
      <c r="D112" s="638"/>
      <c r="E112" s="637"/>
      <c r="F112" s="637"/>
      <c r="G112" s="638"/>
      <c r="H112" s="630"/>
      <c r="I112" s="630"/>
      <c r="J112" s="707"/>
      <c r="K112" s="707"/>
      <c r="L112" s="707"/>
      <c r="M112" s="660"/>
      <c r="N112" s="669">
        <v>195</v>
      </c>
      <c r="O112" s="661"/>
      <c r="P112" s="710"/>
      <c r="S112" s="711"/>
      <c r="T112" s="712"/>
    </row>
    <row r="113" spans="1:20" ht="16" thickBot="1" x14ac:dyDescent="0.25">
      <c r="B113" s="13" t="s">
        <v>704</v>
      </c>
      <c r="C113" s="634">
        <f>O10</f>
        <v>6700</v>
      </c>
      <c r="D113" s="639">
        <f>C113*2</f>
        <v>13400</v>
      </c>
      <c r="E113" s="632">
        <f>C113*3</f>
        <v>20100</v>
      </c>
      <c r="F113" s="632">
        <f>C113*4</f>
        <v>26800</v>
      </c>
      <c r="G113" s="639">
        <f>C113*5</f>
        <v>33500</v>
      </c>
      <c r="H113" s="719">
        <f>C113*6</f>
        <v>40200</v>
      </c>
      <c r="I113" s="719">
        <f>C113*7</f>
        <v>46900</v>
      </c>
      <c r="J113" s="707"/>
      <c r="K113" s="707"/>
      <c r="L113" s="707"/>
      <c r="M113" s="12"/>
      <c r="N113" s="667"/>
      <c r="O113" s="570"/>
      <c r="P113" s="710"/>
      <c r="S113" s="711"/>
      <c r="T113" s="712"/>
    </row>
    <row r="114" spans="1:20" x14ac:dyDescent="0.2">
      <c r="B114" s="613"/>
      <c r="C114" s="613"/>
      <c r="D114" s="637"/>
      <c r="E114" s="637"/>
      <c r="F114" s="637"/>
      <c r="G114" s="638"/>
      <c r="H114" s="630"/>
      <c r="I114" s="630"/>
      <c r="J114" s="707"/>
      <c r="K114" s="707"/>
      <c r="L114" s="707"/>
      <c r="M114" s="658" t="s">
        <v>705</v>
      </c>
      <c r="N114" s="670" t="s">
        <v>740</v>
      </c>
      <c r="O114" s="659">
        <v>39975</v>
      </c>
      <c r="P114" s="710"/>
      <c r="S114" s="711"/>
      <c r="T114" s="712"/>
    </row>
    <row r="115" spans="1:20" ht="16" thickBot="1" x14ac:dyDescent="0.25">
      <c r="B115" s="614" t="s">
        <v>707</v>
      </c>
      <c r="C115" s="632">
        <f>C111+C113</f>
        <v>244090</v>
      </c>
      <c r="D115" s="632">
        <f>D111+D113</f>
        <v>132095</v>
      </c>
      <c r="E115" s="727">
        <f>E111+E113</f>
        <v>99230</v>
      </c>
      <c r="F115" s="632">
        <f>F111+F113</f>
        <v>86147.5</v>
      </c>
      <c r="G115" s="639">
        <f>G113+G111</f>
        <v>80978</v>
      </c>
      <c r="H115" s="726">
        <f>H111+H113</f>
        <v>79765</v>
      </c>
      <c r="I115" s="719">
        <f>I113+I111</f>
        <v>80812.857142857145</v>
      </c>
      <c r="J115" s="707"/>
      <c r="K115" s="707"/>
      <c r="L115" s="707"/>
      <c r="M115" s="660"/>
      <c r="N115" s="669">
        <v>2</v>
      </c>
      <c r="O115" s="661"/>
      <c r="P115" s="710"/>
      <c r="S115" s="711"/>
      <c r="T115" s="712"/>
    </row>
    <row r="116" spans="1:20" x14ac:dyDescent="0.2">
      <c r="E116" s="707"/>
      <c r="F116" s="708"/>
      <c r="H116" s="707"/>
      <c r="I116" s="721" t="s">
        <v>708</v>
      </c>
      <c r="J116" s="707"/>
      <c r="K116" s="707"/>
      <c r="L116" s="707"/>
      <c r="M116" s="12"/>
      <c r="N116" s="667"/>
      <c r="O116" s="570"/>
      <c r="P116" s="710"/>
      <c r="S116" s="711"/>
      <c r="T116" s="712"/>
    </row>
    <row r="117" spans="1:20" ht="17" thickBot="1" x14ac:dyDescent="0.25">
      <c r="E117" s="707"/>
      <c r="F117" s="708"/>
      <c r="H117" s="707"/>
      <c r="I117" s="909">
        <f>H115*6</f>
        <v>478590</v>
      </c>
      <c r="J117" s="707"/>
      <c r="K117" s="707"/>
      <c r="L117" s="707"/>
      <c r="M117" s="663" t="s">
        <v>709</v>
      </c>
      <c r="N117" s="671" t="s">
        <v>741</v>
      </c>
      <c r="O117" s="797">
        <v>79763</v>
      </c>
      <c r="P117" s="710"/>
      <c r="S117" s="711"/>
      <c r="T117" s="712"/>
    </row>
    <row r="118" spans="1:20" ht="16" thickBot="1" x14ac:dyDescent="0.25">
      <c r="E118" s="707"/>
      <c r="F118" s="708"/>
      <c r="H118" s="707"/>
      <c r="I118" s="707"/>
      <c r="J118" s="707"/>
      <c r="K118" s="707"/>
      <c r="L118" s="707"/>
      <c r="M118" s="709"/>
      <c r="N118" s="709"/>
      <c r="P118" s="710"/>
      <c r="S118" s="711"/>
      <c r="T118" s="712"/>
    </row>
    <row r="119" spans="1:20" ht="15" customHeight="1" thickBot="1" x14ac:dyDescent="0.3">
      <c r="A119" s="714" t="s">
        <v>190</v>
      </c>
      <c r="B119" s="654" t="s">
        <v>687</v>
      </c>
      <c r="C119" s="654" t="s">
        <v>688</v>
      </c>
      <c r="D119" s="654" t="s">
        <v>689</v>
      </c>
      <c r="E119" s="654" t="s">
        <v>690</v>
      </c>
      <c r="F119" s="654" t="s">
        <v>691</v>
      </c>
      <c r="G119" s="655" t="s">
        <v>692</v>
      </c>
      <c r="H119" s="720" t="s">
        <v>720</v>
      </c>
      <c r="I119" s="720" t="s">
        <v>725</v>
      </c>
      <c r="J119" s="720" t="s">
        <v>726</v>
      </c>
      <c r="K119" s="854"/>
      <c r="L119" s="729" t="s">
        <v>190</v>
      </c>
      <c r="M119" s="1262" t="s">
        <v>693</v>
      </c>
      <c r="N119" s="1263"/>
      <c r="O119" s="315"/>
      <c r="P119" s="710"/>
      <c r="S119" s="711"/>
      <c r="T119" s="712"/>
    </row>
    <row r="120" spans="1:20" x14ac:dyDescent="0.2">
      <c r="B120" s="612" t="s">
        <v>694</v>
      </c>
      <c r="C120" s="629">
        <f>C11</f>
        <v>5896.7999999999993</v>
      </c>
      <c r="D120" s="635">
        <f>C120/2</f>
        <v>2948.3999999999996</v>
      </c>
      <c r="E120" s="635">
        <f>C120/3</f>
        <v>1965.5999999999997</v>
      </c>
      <c r="F120" s="635">
        <f>C120/4</f>
        <v>1474.1999999999998</v>
      </c>
      <c r="G120" s="636">
        <f>C120/5</f>
        <v>1179.3599999999999</v>
      </c>
      <c r="H120" s="629">
        <f>C120/6</f>
        <v>982.79999999999984</v>
      </c>
      <c r="I120" s="629">
        <f>C120/7</f>
        <v>842.39999999999986</v>
      </c>
      <c r="J120" s="855">
        <f>C120/8</f>
        <v>737.09999999999991</v>
      </c>
      <c r="K120" s="723"/>
      <c r="L120" s="707"/>
      <c r="M120" s="656"/>
      <c r="N120" s="664"/>
      <c r="O120" s="570"/>
      <c r="P120" s="710"/>
      <c r="S120" s="711"/>
      <c r="T120" s="712"/>
    </row>
    <row r="121" spans="1:20" x14ac:dyDescent="0.2">
      <c r="B121" s="613" t="s">
        <v>695</v>
      </c>
      <c r="C121" s="630">
        <f>H11</f>
        <v>2948.3999999999996</v>
      </c>
      <c r="D121" s="637">
        <f>C121/2</f>
        <v>1474.1999999999998</v>
      </c>
      <c r="E121" s="637">
        <f>C121/3</f>
        <v>982.79999999999984</v>
      </c>
      <c r="F121" s="637">
        <f>C121/4</f>
        <v>737.09999999999991</v>
      </c>
      <c r="G121" s="638">
        <f>C121/5</f>
        <v>589.67999999999995</v>
      </c>
      <c r="H121" s="630">
        <f>C121/6</f>
        <v>491.39999999999992</v>
      </c>
      <c r="I121" s="630">
        <f>C121/7</f>
        <v>421.19999999999993</v>
      </c>
      <c r="J121" s="630">
        <f>C121/8</f>
        <v>368.54999999999995</v>
      </c>
      <c r="K121" s="707"/>
      <c r="L121" s="707"/>
      <c r="M121" s="113" t="s">
        <v>696</v>
      </c>
      <c r="N121" s="665" t="s">
        <v>742</v>
      </c>
      <c r="O121" s="657">
        <v>894.08</v>
      </c>
      <c r="P121" s="710"/>
      <c r="S121" s="711"/>
      <c r="T121" s="712"/>
    </row>
    <row r="122" spans="1:20" ht="16" thickBot="1" x14ac:dyDescent="0.25">
      <c r="B122" s="615" t="s">
        <v>698</v>
      </c>
      <c r="C122" s="645">
        <f>J11</f>
        <v>1457246.6999999997</v>
      </c>
      <c r="D122" s="632">
        <f>C122/2</f>
        <v>728623.34999999986</v>
      </c>
      <c r="E122" s="632">
        <f>C122/3</f>
        <v>485748.89999999991</v>
      </c>
      <c r="F122" s="632">
        <f>C122/4</f>
        <v>364311.67499999993</v>
      </c>
      <c r="G122" s="639">
        <f>C122/5</f>
        <v>291449.33999999997</v>
      </c>
      <c r="H122" s="719">
        <f>C122/6</f>
        <v>242874.44999999995</v>
      </c>
      <c r="I122" s="719">
        <f>C122/7</f>
        <v>208178.09999999995</v>
      </c>
      <c r="J122" s="719">
        <f>C122/8</f>
        <v>182155.83749999997</v>
      </c>
      <c r="K122" s="707"/>
      <c r="L122" s="707"/>
      <c r="M122" s="113"/>
      <c r="N122" s="666" t="s">
        <v>743</v>
      </c>
      <c r="O122" s="115"/>
      <c r="P122" s="710"/>
      <c r="S122" s="711"/>
      <c r="T122" s="712"/>
    </row>
    <row r="123" spans="1:20" x14ac:dyDescent="0.2">
      <c r="B123" s="644" t="s">
        <v>679</v>
      </c>
      <c r="C123" s="617"/>
      <c r="D123" s="641"/>
      <c r="E123" s="640"/>
      <c r="F123" s="640"/>
      <c r="G123" s="641"/>
      <c r="H123" s="721"/>
      <c r="I123" s="721"/>
      <c r="J123" s="721"/>
      <c r="K123" s="707"/>
      <c r="L123" s="707"/>
      <c r="M123" s="12"/>
      <c r="N123" s="667"/>
      <c r="O123" s="570"/>
      <c r="P123" s="710"/>
      <c r="S123" s="711"/>
      <c r="T123" s="712"/>
    </row>
    <row r="124" spans="1:20" x14ac:dyDescent="0.2">
      <c r="B124" s="12" t="s">
        <v>700</v>
      </c>
      <c r="C124" s="633">
        <f>L11</f>
        <v>291449.33999999997</v>
      </c>
      <c r="D124" s="643">
        <f>C124/2</f>
        <v>145724.66999999998</v>
      </c>
      <c r="E124" s="642">
        <f>C124/3</f>
        <v>97149.779999999984</v>
      </c>
      <c r="F124" s="642">
        <f>C124/4</f>
        <v>72862.334999999992</v>
      </c>
      <c r="G124" s="643">
        <f>C124/5</f>
        <v>58289.867999999995</v>
      </c>
      <c r="H124" s="718">
        <f>C124/6</f>
        <v>48574.889999999992</v>
      </c>
      <c r="I124" s="718">
        <f>C124/7</f>
        <v>41635.619999999995</v>
      </c>
      <c r="J124" s="718">
        <f>C124/8</f>
        <v>36431.167499999996</v>
      </c>
      <c r="K124" s="707"/>
      <c r="L124" s="707"/>
      <c r="M124" s="658" t="s">
        <v>701</v>
      </c>
      <c r="N124" s="668" t="s">
        <v>744</v>
      </c>
      <c r="O124" s="659">
        <v>44194.51</v>
      </c>
      <c r="P124" s="710"/>
      <c r="S124" s="711"/>
      <c r="T124" s="712"/>
    </row>
    <row r="125" spans="1:20" x14ac:dyDescent="0.2">
      <c r="B125" s="113" t="s">
        <v>703</v>
      </c>
      <c r="C125" s="613"/>
      <c r="D125" s="638"/>
      <c r="E125" s="637"/>
      <c r="F125" s="637"/>
      <c r="G125" s="638"/>
      <c r="H125" s="630"/>
      <c r="I125" s="630"/>
      <c r="J125" s="630"/>
      <c r="K125" s="707"/>
      <c r="L125" s="707"/>
      <c r="M125" s="660"/>
      <c r="N125" s="669">
        <v>894</v>
      </c>
      <c r="O125" s="661"/>
      <c r="P125" s="710"/>
      <c r="S125" s="711"/>
      <c r="T125" s="712"/>
    </row>
    <row r="126" spans="1:20" ht="16" thickBot="1" x14ac:dyDescent="0.25">
      <c r="B126" s="13" t="s">
        <v>704</v>
      </c>
      <c r="C126" s="634">
        <f>O11</f>
        <v>6700</v>
      </c>
      <c r="D126" s="639">
        <f>C126*2</f>
        <v>13400</v>
      </c>
      <c r="E126" s="632">
        <f>C126*3</f>
        <v>20100</v>
      </c>
      <c r="F126" s="632">
        <f>C126*4</f>
        <v>26800</v>
      </c>
      <c r="G126" s="639">
        <f>C126*5</f>
        <v>33500</v>
      </c>
      <c r="H126" s="719">
        <f>C126*6</f>
        <v>40200</v>
      </c>
      <c r="I126" s="719">
        <f>C126*7</f>
        <v>46900</v>
      </c>
      <c r="J126" s="719">
        <f>C126*8</f>
        <v>53600</v>
      </c>
      <c r="K126" s="707"/>
      <c r="L126" s="707"/>
      <c r="M126" s="12"/>
      <c r="N126" s="667"/>
      <c r="O126" s="570"/>
      <c r="P126" s="710"/>
      <c r="S126" s="711"/>
      <c r="T126" s="712"/>
    </row>
    <row r="127" spans="1:20" x14ac:dyDescent="0.2">
      <c r="B127" s="613"/>
      <c r="C127" s="613"/>
      <c r="D127" s="637"/>
      <c r="E127" s="637"/>
      <c r="F127" s="637"/>
      <c r="G127" s="638"/>
      <c r="H127" s="630"/>
      <c r="I127" s="630"/>
      <c r="J127" s="630"/>
      <c r="K127" s="707"/>
      <c r="L127" s="707"/>
      <c r="M127" s="658" t="s">
        <v>679</v>
      </c>
      <c r="N127" s="670" t="s">
        <v>745</v>
      </c>
      <c r="O127" s="785">
        <v>44185.95</v>
      </c>
      <c r="P127" s="710"/>
      <c r="S127" s="711"/>
      <c r="T127" s="712"/>
    </row>
    <row r="128" spans="1:20" ht="16" thickBot="1" x14ac:dyDescent="0.25">
      <c r="B128" s="614" t="s">
        <v>707</v>
      </c>
      <c r="C128" s="632">
        <f>C124+C126</f>
        <v>298149.33999999997</v>
      </c>
      <c r="D128" s="632">
        <f>D124+D126</f>
        <v>159124.66999999998</v>
      </c>
      <c r="E128" s="632">
        <f>E124+E126</f>
        <v>117249.77999999998</v>
      </c>
      <c r="F128" s="632">
        <f>F124+F126</f>
        <v>99662.334999999992</v>
      </c>
      <c r="G128" s="639">
        <f>G124+G126</f>
        <v>91789.867999999988</v>
      </c>
      <c r="H128" s="728">
        <f>H126+H124</f>
        <v>88774.889999999985</v>
      </c>
      <c r="I128" s="726">
        <f>I126+I124</f>
        <v>88535.62</v>
      </c>
      <c r="J128" s="719">
        <f>J126+J124</f>
        <v>90031.167499999996</v>
      </c>
      <c r="K128" s="707"/>
      <c r="L128" s="707"/>
      <c r="M128" s="660"/>
      <c r="N128" s="669">
        <v>2</v>
      </c>
      <c r="O128" s="661"/>
      <c r="P128" s="710"/>
      <c r="S128" s="711"/>
      <c r="T128" s="712"/>
    </row>
    <row r="129" spans="1:24" x14ac:dyDescent="0.2">
      <c r="E129" s="707"/>
      <c r="F129" s="708"/>
      <c r="H129" s="707"/>
      <c r="I129" s="707"/>
      <c r="J129" s="721" t="s">
        <v>708</v>
      </c>
      <c r="K129" s="707"/>
      <c r="L129" s="707"/>
      <c r="M129" s="12"/>
      <c r="N129" s="667"/>
      <c r="O129" s="570"/>
      <c r="P129" s="710"/>
      <c r="S129" s="711"/>
      <c r="T129" s="712"/>
    </row>
    <row r="130" spans="1:24" ht="17" thickBot="1" x14ac:dyDescent="0.25">
      <c r="E130" s="707"/>
      <c r="F130" s="708"/>
      <c r="H130" s="707"/>
      <c r="I130" s="707"/>
      <c r="J130" s="909">
        <f>I128*7</f>
        <v>619749.34</v>
      </c>
      <c r="K130" s="707"/>
      <c r="L130" s="707"/>
      <c r="M130" s="663" t="s">
        <v>709</v>
      </c>
      <c r="N130" s="671" t="s">
        <v>746</v>
      </c>
      <c r="O130" s="797">
        <v>88381</v>
      </c>
      <c r="P130" s="710"/>
      <c r="S130" s="711"/>
      <c r="T130" s="712"/>
    </row>
    <row r="131" spans="1:24" ht="16" thickBot="1" x14ac:dyDescent="0.25"/>
    <row r="132" spans="1:24" ht="48" customHeight="1" thickBot="1" x14ac:dyDescent="0.4">
      <c r="A132" s="715" t="s">
        <v>685</v>
      </c>
      <c r="B132" s="654" t="s">
        <v>687</v>
      </c>
      <c r="C132" s="654" t="s">
        <v>688</v>
      </c>
      <c r="D132" s="654" t="s">
        <v>689</v>
      </c>
      <c r="E132" s="654" t="s">
        <v>690</v>
      </c>
      <c r="F132" s="654" t="s">
        <v>691</v>
      </c>
      <c r="G132" s="655" t="s">
        <v>692</v>
      </c>
      <c r="L132" s="715" t="s">
        <v>685</v>
      </c>
      <c r="M132" s="1262" t="s">
        <v>693</v>
      </c>
      <c r="N132" s="1263"/>
      <c r="O132" s="315"/>
      <c r="Q132" s="31"/>
    </row>
    <row r="133" spans="1:24" ht="17.75" customHeight="1" x14ac:dyDescent="0.2">
      <c r="B133" s="612" t="s">
        <v>694</v>
      </c>
      <c r="C133" s="629">
        <f>C12</f>
        <v>112</v>
      </c>
      <c r="D133" s="635">
        <f>C133/2</f>
        <v>56</v>
      </c>
      <c r="E133" s="635">
        <f>C133/3</f>
        <v>37.333333333333336</v>
      </c>
      <c r="F133" s="635">
        <f>C133/4</f>
        <v>28</v>
      </c>
      <c r="G133" s="636">
        <f>C133/5</f>
        <v>22.4</v>
      </c>
      <c r="M133" s="656"/>
      <c r="N133" s="664"/>
      <c r="O133" s="570"/>
    </row>
    <row r="134" spans="1:24" ht="19.25" customHeight="1" x14ac:dyDescent="0.2">
      <c r="B134" s="613" t="s">
        <v>695</v>
      </c>
      <c r="C134" s="630">
        <f>H12</f>
        <v>56</v>
      </c>
      <c r="D134" s="637">
        <f>C134/2</f>
        <v>28</v>
      </c>
      <c r="E134" s="637">
        <f>C134/3</f>
        <v>18.666666666666668</v>
      </c>
      <c r="F134" s="637">
        <f>C134/4</f>
        <v>14</v>
      </c>
      <c r="G134" s="638">
        <f>C134/5</f>
        <v>11.2</v>
      </c>
      <c r="M134" s="113" t="s">
        <v>696</v>
      </c>
      <c r="N134" s="665" t="s">
        <v>747</v>
      </c>
      <c r="O134" s="657">
        <v>131.9</v>
      </c>
      <c r="R134" s="757"/>
      <c r="V134" s="154"/>
      <c r="W134" s="92"/>
    </row>
    <row r="135" spans="1:24" ht="16" thickBot="1" x14ac:dyDescent="0.25">
      <c r="B135" s="615" t="s">
        <v>698</v>
      </c>
      <c r="C135" s="645">
        <f>J12</f>
        <v>24150</v>
      </c>
      <c r="D135" s="632">
        <f>C135/2</f>
        <v>12075</v>
      </c>
      <c r="E135" s="632">
        <f>C135/3</f>
        <v>8050</v>
      </c>
      <c r="F135" s="632">
        <f>C135/4</f>
        <v>6037.5</v>
      </c>
      <c r="G135" s="639">
        <f>C135/5</f>
        <v>4830</v>
      </c>
      <c r="M135" s="113"/>
      <c r="N135" s="666" t="s">
        <v>748</v>
      </c>
      <c r="O135" s="115"/>
      <c r="R135" s="757"/>
      <c r="V135" s="154"/>
      <c r="W135" s="92"/>
    </row>
    <row r="136" spans="1:24" x14ac:dyDescent="0.2">
      <c r="B136" s="644" t="s">
        <v>679</v>
      </c>
      <c r="C136" s="617"/>
      <c r="D136" s="641"/>
      <c r="E136" s="640"/>
      <c r="F136" s="640"/>
      <c r="G136" s="641"/>
      <c r="M136" s="12"/>
      <c r="N136" s="667"/>
      <c r="O136" s="570"/>
      <c r="R136" s="757"/>
      <c r="V136" s="154"/>
      <c r="W136" s="92"/>
    </row>
    <row r="137" spans="1:24" ht="18.75" customHeight="1" x14ac:dyDescent="0.2">
      <c r="B137" s="12" t="s">
        <v>700</v>
      </c>
      <c r="C137" s="633">
        <f>L12</f>
        <v>4830</v>
      </c>
      <c r="D137" s="643">
        <f>C137/2</f>
        <v>2415</v>
      </c>
      <c r="E137" s="642">
        <f>C137/3</f>
        <v>1610</v>
      </c>
      <c r="F137" s="642">
        <f>C137/4</f>
        <v>1207.5</v>
      </c>
      <c r="G137" s="643">
        <f>C137/5</f>
        <v>966</v>
      </c>
      <c r="M137" s="658" t="s">
        <v>701</v>
      </c>
      <c r="N137" s="668" t="s">
        <v>749</v>
      </c>
      <c r="O137" s="659">
        <v>5684.84</v>
      </c>
      <c r="R137" s="757"/>
      <c r="V137" s="154"/>
      <c r="W137" s="92"/>
    </row>
    <row r="138" spans="1:24" x14ac:dyDescent="0.2">
      <c r="B138" s="113" t="s">
        <v>703</v>
      </c>
      <c r="C138" s="613"/>
      <c r="D138" s="638"/>
      <c r="E138" s="637"/>
      <c r="F138" s="637"/>
      <c r="G138" s="638"/>
      <c r="M138" s="660"/>
      <c r="N138" s="730">
        <v>132</v>
      </c>
      <c r="O138" s="661"/>
      <c r="R138" s="757"/>
      <c r="V138" s="154"/>
      <c r="W138" s="92"/>
    </row>
    <row r="139" spans="1:24" ht="16" thickBot="1" x14ac:dyDescent="0.25">
      <c r="B139" s="13" t="s">
        <v>704</v>
      </c>
      <c r="C139" s="634">
        <f>O12</f>
        <v>6700</v>
      </c>
      <c r="D139" s="639">
        <f>C139*2</f>
        <v>13400</v>
      </c>
      <c r="E139" s="632">
        <f>C139*3</f>
        <v>20100</v>
      </c>
      <c r="F139" s="632">
        <f>C139*4</f>
        <v>26800</v>
      </c>
      <c r="G139" s="639">
        <f>C139*5</f>
        <v>33500</v>
      </c>
      <c r="M139" s="12"/>
      <c r="N139" s="667"/>
      <c r="O139" s="570"/>
      <c r="R139" s="757"/>
      <c r="V139" s="154"/>
      <c r="W139" s="92"/>
    </row>
    <row r="140" spans="1:24" ht="16.25" customHeight="1" x14ac:dyDescent="0.2">
      <c r="B140" s="613"/>
      <c r="C140" s="613"/>
      <c r="D140" s="637"/>
      <c r="E140" s="637"/>
      <c r="F140" s="637"/>
      <c r="G140" s="638"/>
      <c r="J140" s="712"/>
      <c r="M140" s="658" t="s">
        <v>705</v>
      </c>
      <c r="N140" s="670" t="s">
        <v>750</v>
      </c>
      <c r="O140" s="785">
        <v>5692.5</v>
      </c>
      <c r="R140" s="757"/>
      <c r="V140" s="154"/>
      <c r="W140" s="92"/>
    </row>
    <row r="141" spans="1:24" ht="18" customHeight="1" thickBot="1" x14ac:dyDescent="0.25">
      <c r="B141" s="614" t="s">
        <v>707</v>
      </c>
      <c r="C141" s="716">
        <f>C137+C139</f>
        <v>11530</v>
      </c>
      <c r="D141" s="632">
        <f>D139+D137</f>
        <v>15815</v>
      </c>
      <c r="E141" s="632">
        <f>E139+E137</f>
        <v>21710</v>
      </c>
      <c r="F141" s="632">
        <f>F139+F137</f>
        <v>28007.5</v>
      </c>
      <c r="G141" s="639">
        <f>G137+G139</f>
        <v>34466</v>
      </c>
      <c r="M141" s="660"/>
      <c r="N141" s="669">
        <v>2</v>
      </c>
      <c r="O141" s="661"/>
      <c r="R141" s="757"/>
      <c r="V141" s="154"/>
      <c r="W141" s="92"/>
    </row>
    <row r="142" spans="1:24" x14ac:dyDescent="0.2">
      <c r="G142" s="617" t="s">
        <v>751</v>
      </c>
      <c r="H142" s="712"/>
      <c r="M142" s="12"/>
      <c r="N142" s="667"/>
      <c r="O142" s="570"/>
      <c r="R142" s="757"/>
      <c r="V142" s="154"/>
      <c r="W142" s="92"/>
    </row>
    <row r="143" spans="1:24" ht="27" thickBot="1" x14ac:dyDescent="0.35">
      <c r="A143" s="572"/>
      <c r="B143" s="572"/>
      <c r="C143" s="572"/>
      <c r="D143" s="572"/>
      <c r="E143" s="572"/>
      <c r="F143" s="572"/>
      <c r="G143" s="908">
        <f>C141*1</f>
        <v>11530</v>
      </c>
      <c r="H143" s="175"/>
      <c r="I143" s="175"/>
      <c r="J143" s="175"/>
      <c r="K143" s="175"/>
      <c r="L143" s="175"/>
      <c r="M143" s="663" t="s">
        <v>709</v>
      </c>
      <c r="N143" s="671" t="s">
        <v>752</v>
      </c>
      <c r="O143" s="797">
        <f>O137+O140</f>
        <v>11377.34</v>
      </c>
      <c r="P143" s="176"/>
      <c r="Q143" s="758"/>
      <c r="R143" s="759"/>
      <c r="S143" s="760"/>
      <c r="T143" s="761"/>
      <c r="U143" s="761"/>
      <c r="V143" s="762"/>
      <c r="W143" s="92"/>
      <c r="X143" s="175"/>
    </row>
    <row r="144" spans="1:24" ht="32" thickBot="1" x14ac:dyDescent="0.4">
      <c r="B144" s="672" t="s">
        <v>753</v>
      </c>
      <c r="C144" s="314"/>
      <c r="D144" s="314"/>
      <c r="E144" s="314"/>
      <c r="F144" s="314"/>
      <c r="G144" s="907"/>
      <c r="H144" s="315"/>
      <c r="O144" s="912" t="s">
        <v>754</v>
      </c>
    </row>
    <row r="145" spans="2:15" ht="16" thickBot="1" x14ac:dyDescent="0.25">
      <c r="B145" s="618" t="s">
        <v>670</v>
      </c>
      <c r="C145" s="618" t="s">
        <v>755</v>
      </c>
      <c r="D145" s="618" t="s">
        <v>756</v>
      </c>
      <c r="E145" s="618" t="s">
        <v>757</v>
      </c>
      <c r="F145" s="618" t="s">
        <v>758</v>
      </c>
      <c r="G145" s="618" t="s">
        <v>759</v>
      </c>
      <c r="H145" s="618" t="s">
        <v>760</v>
      </c>
      <c r="O145" s="727">
        <f>(O143+O130+O117+O104+O91)</f>
        <v>692635.74</v>
      </c>
    </row>
    <row r="146" spans="2:15" x14ac:dyDescent="0.2">
      <c r="B146" s="691" t="s">
        <v>187</v>
      </c>
      <c r="C146" s="692">
        <v>1158</v>
      </c>
      <c r="D146" s="902">
        <v>2050</v>
      </c>
      <c r="E146" s="569">
        <f t="shared" ref="E146:E155" si="8">D146*C146</f>
        <v>2373900</v>
      </c>
      <c r="F146" s="902">
        <f>E146</f>
        <v>2373900</v>
      </c>
      <c r="G146" s="693">
        <f>F146/F155</f>
        <v>6.6700276236894271E-2</v>
      </c>
      <c r="H146" s="694" t="s">
        <v>761</v>
      </c>
      <c r="O146" s="617" t="s">
        <v>762</v>
      </c>
    </row>
    <row r="147" spans="2:15" ht="16" thickBot="1" x14ac:dyDescent="0.25">
      <c r="B147" s="606" t="s">
        <v>190</v>
      </c>
      <c r="C147" s="622">
        <v>5897</v>
      </c>
      <c r="D147" s="339">
        <v>494.25</v>
      </c>
      <c r="E147" s="149">
        <f t="shared" si="8"/>
        <v>2914592.25</v>
      </c>
      <c r="F147" s="339">
        <f>E146+E147</f>
        <v>5288492.25</v>
      </c>
      <c r="G147" s="695">
        <f>F147/F155</f>
        <v>0.14859256664209719</v>
      </c>
      <c r="H147" s="696" t="s">
        <v>761</v>
      </c>
      <c r="O147" s="911">
        <f>(O78+O65+O52+O39+O26)</f>
        <v>238993.65</v>
      </c>
    </row>
    <row r="148" spans="2:15" x14ac:dyDescent="0.2">
      <c r="B148" s="606" t="s">
        <v>685</v>
      </c>
      <c r="C148" s="622">
        <v>112</v>
      </c>
      <c r="D148" s="339">
        <v>431.25</v>
      </c>
      <c r="E148" s="149">
        <f t="shared" si="8"/>
        <v>48300</v>
      </c>
      <c r="F148" s="339">
        <f t="shared" ref="F148:F155" si="9">F147+E148</f>
        <v>5336792.25</v>
      </c>
      <c r="G148" s="695">
        <f>F148/F155</f>
        <v>0.14994966818059585</v>
      </c>
      <c r="H148" s="696" t="s">
        <v>761</v>
      </c>
      <c r="O148" s="912" t="s">
        <v>763</v>
      </c>
    </row>
    <row r="149" spans="2:15" ht="16" thickBot="1" x14ac:dyDescent="0.25">
      <c r="B149" s="606" t="s">
        <v>205</v>
      </c>
      <c r="C149" s="622">
        <v>11556</v>
      </c>
      <c r="D149" s="339">
        <v>371.25</v>
      </c>
      <c r="E149" s="149">
        <f t="shared" si="8"/>
        <v>4290165</v>
      </c>
      <c r="F149" s="339">
        <f t="shared" si="9"/>
        <v>9626957.25</v>
      </c>
      <c r="G149" s="695">
        <f>F149/F155</f>
        <v>0.27049189430716203</v>
      </c>
      <c r="H149" s="696" t="s">
        <v>761</v>
      </c>
      <c r="O149" s="727">
        <f>G143+J130+I117+H104+K91</f>
        <v>4969885.84</v>
      </c>
    </row>
    <row r="150" spans="2:15" x14ac:dyDescent="0.2">
      <c r="B150" s="606" t="s">
        <v>206</v>
      </c>
      <c r="C150" s="622">
        <v>104000</v>
      </c>
      <c r="D150" s="339">
        <v>203.25</v>
      </c>
      <c r="E150" s="149">
        <f t="shared" si="8"/>
        <v>21138000</v>
      </c>
      <c r="F150" s="339">
        <f t="shared" si="9"/>
        <v>30764957.25</v>
      </c>
      <c r="G150" s="695">
        <f>F150/F155</f>
        <v>0.86441347444763594</v>
      </c>
      <c r="H150" s="696" t="s">
        <v>761</v>
      </c>
      <c r="O150" s="617" t="s">
        <v>764</v>
      </c>
    </row>
    <row r="151" spans="2:15" ht="16" thickBot="1" x14ac:dyDescent="0.25">
      <c r="B151" s="697" t="s">
        <v>157</v>
      </c>
      <c r="C151" s="698">
        <v>416000</v>
      </c>
      <c r="D151" s="903">
        <v>4.5</v>
      </c>
      <c r="E151" s="699">
        <f t="shared" si="8"/>
        <v>1872000</v>
      </c>
      <c r="F151" s="903">
        <f t="shared" si="9"/>
        <v>32636957.25</v>
      </c>
      <c r="G151" s="700">
        <f>F151/F155</f>
        <v>0.9170116955670875</v>
      </c>
      <c r="H151" s="701" t="s">
        <v>765</v>
      </c>
      <c r="O151" s="911">
        <f>H78+G65+G52+G39+G26</f>
        <v>899540</v>
      </c>
    </row>
    <row r="152" spans="2:15" x14ac:dyDescent="0.2">
      <c r="B152" s="697" t="s">
        <v>153</v>
      </c>
      <c r="C152" s="698">
        <v>832000</v>
      </c>
      <c r="D152" s="903">
        <v>1.5</v>
      </c>
      <c r="E152" s="699">
        <f t="shared" si="8"/>
        <v>1248000</v>
      </c>
      <c r="F152" s="903">
        <f t="shared" si="9"/>
        <v>33884957.25</v>
      </c>
      <c r="G152" s="700">
        <f>F152/F155</f>
        <v>0.95207717631338862</v>
      </c>
      <c r="H152" s="701" t="s">
        <v>765</v>
      </c>
    </row>
    <row r="153" spans="2:15" x14ac:dyDescent="0.2">
      <c r="B153" s="697" t="s">
        <v>159</v>
      </c>
      <c r="C153" s="698">
        <v>416000</v>
      </c>
      <c r="D153" s="903">
        <v>1.2</v>
      </c>
      <c r="E153" s="699">
        <f t="shared" si="8"/>
        <v>499200</v>
      </c>
      <c r="F153" s="903">
        <f t="shared" si="9"/>
        <v>34384157.25</v>
      </c>
      <c r="G153" s="700">
        <f>F153/F155</f>
        <v>0.96610336861190904</v>
      </c>
      <c r="H153" s="701" t="s">
        <v>765</v>
      </c>
    </row>
    <row r="154" spans="2:15" x14ac:dyDescent="0.2">
      <c r="B154" s="697" t="s">
        <v>155</v>
      </c>
      <c r="C154" s="698">
        <v>832000</v>
      </c>
      <c r="D154" s="903">
        <v>1.2</v>
      </c>
      <c r="E154" s="699">
        <f t="shared" si="8"/>
        <v>998400</v>
      </c>
      <c r="F154" s="903">
        <f t="shared" si="9"/>
        <v>35382557.25</v>
      </c>
      <c r="G154" s="700">
        <f>F154/F155</f>
        <v>0.99415575320894978</v>
      </c>
      <c r="H154" s="701" t="s">
        <v>765</v>
      </c>
    </row>
    <row r="155" spans="2:15" ht="17" thickBot="1" x14ac:dyDescent="0.25">
      <c r="B155" s="702" t="s">
        <v>160</v>
      </c>
      <c r="C155" s="703">
        <v>416000</v>
      </c>
      <c r="D155" s="905">
        <v>0.5</v>
      </c>
      <c r="E155" s="704">
        <f t="shared" si="8"/>
        <v>208000</v>
      </c>
      <c r="F155" s="904">
        <f t="shared" si="9"/>
        <v>35590557.25</v>
      </c>
      <c r="G155" s="705">
        <f>F155/F155</f>
        <v>1</v>
      </c>
      <c r="H155" s="706" t="s">
        <v>765</v>
      </c>
    </row>
  </sheetData>
  <mergeCells count="10">
    <mergeCell ref="M132:N132"/>
    <mergeCell ref="M15:N15"/>
    <mergeCell ref="M28:N28"/>
    <mergeCell ref="M41:N41"/>
    <mergeCell ref="M54:N54"/>
    <mergeCell ref="M67:N67"/>
    <mergeCell ref="M80:N80"/>
    <mergeCell ref="M93:N93"/>
    <mergeCell ref="M106:N106"/>
    <mergeCell ref="M119:N119"/>
  </mergeCells>
  <phoneticPr fontId="39"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978B-E0C1-4990-9124-CDB0A0D59AC1}">
  <dimension ref="C4:H22"/>
  <sheetViews>
    <sheetView topLeftCell="A4" zoomScale="48" zoomScaleNormal="85" workbookViewId="0">
      <selection activeCell="H17" sqref="H17"/>
    </sheetView>
  </sheetViews>
  <sheetFormatPr baseColWidth="10" defaultColWidth="8.83203125" defaultRowHeight="15" x14ac:dyDescent="0.2"/>
  <cols>
    <col min="3" max="3" width="16.33203125" bestFit="1" customWidth="1"/>
    <col min="4" max="4" width="23.5" bestFit="1" customWidth="1"/>
    <col min="6" max="6" width="10.6640625" bestFit="1" customWidth="1"/>
    <col min="8" max="8" width="45.1640625" customWidth="1"/>
  </cols>
  <sheetData>
    <row r="4" spans="3:8" ht="16" thickBot="1" x14ac:dyDescent="0.25"/>
    <row r="5" spans="3:8" ht="19" x14ac:dyDescent="0.25">
      <c r="C5" s="946" t="s">
        <v>766</v>
      </c>
      <c r="D5" s="943" t="s">
        <v>141</v>
      </c>
      <c r="E5" s="941" t="s">
        <v>767</v>
      </c>
      <c r="F5" s="941" t="s">
        <v>768</v>
      </c>
      <c r="G5" s="941" t="s">
        <v>769</v>
      </c>
      <c r="H5" s="942" t="s">
        <v>770</v>
      </c>
    </row>
    <row r="6" spans="3:8" ht="20" thickBot="1" x14ac:dyDescent="0.3">
      <c r="C6" s="962" t="s">
        <v>771</v>
      </c>
      <c r="D6" s="963" t="s">
        <v>772</v>
      </c>
      <c r="E6" s="964" t="s">
        <v>773</v>
      </c>
      <c r="F6" s="965"/>
      <c r="G6" s="965"/>
      <c r="H6" s="966" t="s">
        <v>774</v>
      </c>
    </row>
    <row r="7" spans="3:8" ht="19" x14ac:dyDescent="0.25">
      <c r="C7" s="967" t="s">
        <v>144</v>
      </c>
      <c r="D7" s="968" t="s">
        <v>145</v>
      </c>
      <c r="E7" s="23" t="s">
        <v>775</v>
      </c>
      <c r="F7" s="960">
        <v>1</v>
      </c>
      <c r="G7" s="960" t="s">
        <v>776</v>
      </c>
      <c r="H7" s="961" t="s">
        <v>146</v>
      </c>
    </row>
    <row r="8" spans="3:8" ht="19" x14ac:dyDescent="0.25">
      <c r="C8" s="947">
        <v>810</v>
      </c>
      <c r="D8" s="944" t="s">
        <v>187</v>
      </c>
      <c r="E8" s="23" t="s">
        <v>775</v>
      </c>
      <c r="F8" s="23">
        <v>167</v>
      </c>
      <c r="G8" s="23" t="s">
        <v>777</v>
      </c>
      <c r="H8" s="186" t="s">
        <v>774</v>
      </c>
    </row>
    <row r="9" spans="3:8" ht="19" x14ac:dyDescent="0.25">
      <c r="C9" s="947">
        <v>820</v>
      </c>
      <c r="D9" s="944" t="s">
        <v>778</v>
      </c>
      <c r="E9" s="23" t="s">
        <v>775</v>
      </c>
      <c r="F9" s="23">
        <v>170.7</v>
      </c>
      <c r="G9" s="23" t="s">
        <v>777</v>
      </c>
      <c r="H9" s="186" t="s">
        <v>774</v>
      </c>
    </row>
    <row r="10" spans="3:8" ht="19" x14ac:dyDescent="0.25">
      <c r="C10" s="947">
        <v>1003</v>
      </c>
      <c r="D10" s="944" t="s">
        <v>153</v>
      </c>
      <c r="E10" s="23" t="s">
        <v>775</v>
      </c>
      <c r="F10" s="23">
        <v>8</v>
      </c>
      <c r="G10" s="23" t="s">
        <v>776</v>
      </c>
      <c r="H10" s="186" t="s">
        <v>154</v>
      </c>
    </row>
    <row r="11" spans="3:8" ht="19" x14ac:dyDescent="0.25">
      <c r="C11" s="947">
        <v>1001</v>
      </c>
      <c r="D11" s="944" t="s">
        <v>151</v>
      </c>
      <c r="E11" s="23" t="s">
        <v>775</v>
      </c>
      <c r="F11" s="23">
        <v>4</v>
      </c>
      <c r="G11" s="23" t="s">
        <v>776</v>
      </c>
      <c r="H11" s="186" t="s">
        <v>779</v>
      </c>
    </row>
    <row r="12" spans="3:8" ht="20" thickBot="1" x14ac:dyDescent="0.3">
      <c r="C12" s="949">
        <v>1002</v>
      </c>
      <c r="D12" s="951" t="s">
        <v>160</v>
      </c>
      <c r="E12" s="187" t="s">
        <v>775</v>
      </c>
      <c r="F12" s="187">
        <v>4</v>
      </c>
      <c r="G12" s="187" t="s">
        <v>776</v>
      </c>
      <c r="H12" s="952" t="s">
        <v>774</v>
      </c>
    </row>
    <row r="13" spans="3:8" ht="20" thickBot="1" x14ac:dyDescent="0.3">
      <c r="C13" s="956" t="s">
        <v>147</v>
      </c>
      <c r="D13" s="959" t="s">
        <v>148</v>
      </c>
      <c r="E13" s="958" t="s">
        <v>773</v>
      </c>
      <c r="F13" s="78"/>
      <c r="G13" s="78"/>
      <c r="H13" s="79" t="s">
        <v>774</v>
      </c>
    </row>
    <row r="14" spans="3:8" ht="19" x14ac:dyDescent="0.25">
      <c r="C14" s="953" t="s">
        <v>780</v>
      </c>
      <c r="D14" s="954" t="s">
        <v>781</v>
      </c>
      <c r="E14" s="28" t="s">
        <v>775</v>
      </c>
      <c r="F14" s="28">
        <v>1</v>
      </c>
      <c r="G14" s="28" t="s">
        <v>776</v>
      </c>
      <c r="H14" s="955" t="s">
        <v>782</v>
      </c>
    </row>
    <row r="15" spans="3:8" ht="19" x14ac:dyDescent="0.25">
      <c r="C15" s="538" t="s">
        <v>783</v>
      </c>
      <c r="D15" s="944" t="s">
        <v>784</v>
      </c>
      <c r="E15" s="23" t="s">
        <v>775</v>
      </c>
      <c r="F15" s="23">
        <v>2</v>
      </c>
      <c r="G15" s="23" t="s">
        <v>776</v>
      </c>
      <c r="H15" s="186" t="s">
        <v>782</v>
      </c>
    </row>
    <row r="16" spans="3:8" ht="19" x14ac:dyDescent="0.25">
      <c r="C16" s="538" t="s">
        <v>785</v>
      </c>
      <c r="D16" s="944" t="s">
        <v>786</v>
      </c>
      <c r="E16" s="23" t="s">
        <v>775</v>
      </c>
      <c r="F16" s="23">
        <v>1</v>
      </c>
      <c r="G16" s="23" t="s">
        <v>776</v>
      </c>
      <c r="H16" s="186" t="s">
        <v>782</v>
      </c>
    </row>
    <row r="17" spans="3:8" ht="19" x14ac:dyDescent="0.25">
      <c r="C17" s="538" t="s">
        <v>787</v>
      </c>
      <c r="D17" s="944" t="s">
        <v>788</v>
      </c>
      <c r="E17" s="23" t="s">
        <v>775</v>
      </c>
      <c r="F17" s="23">
        <v>1</v>
      </c>
      <c r="G17" s="23" t="s">
        <v>776</v>
      </c>
      <c r="H17" s="186" t="s">
        <v>782</v>
      </c>
    </row>
    <row r="18" spans="3:8" ht="20" thickBot="1" x14ac:dyDescent="0.3">
      <c r="C18" s="950" t="s">
        <v>789</v>
      </c>
      <c r="D18" s="951" t="s">
        <v>790</v>
      </c>
      <c r="E18" s="187" t="s">
        <v>775</v>
      </c>
      <c r="F18" s="187">
        <v>2</v>
      </c>
      <c r="G18" s="187" t="s">
        <v>776</v>
      </c>
      <c r="H18" s="952" t="s">
        <v>782</v>
      </c>
    </row>
    <row r="19" spans="3:8" ht="20" thickBot="1" x14ac:dyDescent="0.3">
      <c r="C19" s="956" t="s">
        <v>791</v>
      </c>
      <c r="D19" s="959" t="s">
        <v>159</v>
      </c>
      <c r="E19" s="958" t="s">
        <v>773</v>
      </c>
      <c r="F19" s="78"/>
      <c r="G19" s="78"/>
      <c r="H19" s="79" t="s">
        <v>774</v>
      </c>
    </row>
    <row r="20" spans="3:8" ht="19" x14ac:dyDescent="0.25">
      <c r="C20" s="957">
        <v>1005</v>
      </c>
      <c r="D20" s="954" t="s">
        <v>155</v>
      </c>
      <c r="E20" s="28" t="s">
        <v>775</v>
      </c>
      <c r="F20" s="28">
        <v>4</v>
      </c>
      <c r="G20" s="28" t="s">
        <v>776</v>
      </c>
      <c r="H20" s="955" t="s">
        <v>156</v>
      </c>
    </row>
    <row r="21" spans="3:8" ht="19" x14ac:dyDescent="0.25">
      <c r="C21" s="947">
        <v>1004</v>
      </c>
      <c r="D21" s="944" t="s">
        <v>159</v>
      </c>
      <c r="E21" s="23" t="s">
        <v>775</v>
      </c>
      <c r="F21" s="23">
        <v>4</v>
      </c>
      <c r="G21" s="23" t="s">
        <v>776</v>
      </c>
      <c r="H21" s="186" t="s">
        <v>156</v>
      </c>
    </row>
    <row r="22" spans="3:8" ht="20" thickBot="1" x14ac:dyDescent="0.3">
      <c r="C22" s="948">
        <v>1006</v>
      </c>
      <c r="D22" s="945" t="s">
        <v>792</v>
      </c>
      <c r="E22" s="188" t="s">
        <v>775</v>
      </c>
      <c r="F22" s="188">
        <v>4</v>
      </c>
      <c r="G22" s="188" t="s">
        <v>776</v>
      </c>
      <c r="H22" s="189" t="s">
        <v>793</v>
      </c>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6179-0513-44F4-8D21-D96D5E2281E2}">
  <dimension ref="A1:O49"/>
  <sheetViews>
    <sheetView topLeftCell="A19" zoomScale="73" workbookViewId="0">
      <selection activeCell="D49" sqref="D49"/>
    </sheetView>
  </sheetViews>
  <sheetFormatPr baseColWidth="10" defaultColWidth="8.83203125" defaultRowHeight="15" x14ac:dyDescent="0.2"/>
  <cols>
    <col min="1" max="1" width="28.33203125" bestFit="1" customWidth="1"/>
    <col min="2" max="2" width="16.6640625" customWidth="1"/>
    <col min="4" max="4" width="28.5" customWidth="1"/>
    <col min="7" max="7" width="12.33203125" customWidth="1"/>
    <col min="12" max="12" width="30.5" customWidth="1"/>
    <col min="15" max="15" width="13.33203125" bestFit="1" customWidth="1"/>
  </cols>
  <sheetData>
    <row r="1" spans="1:15" ht="22.25" customHeight="1" x14ac:dyDescent="0.3">
      <c r="A1" s="10"/>
      <c r="B1" s="131"/>
      <c r="C1" s="131"/>
      <c r="D1" s="1102" t="s">
        <v>44</v>
      </c>
      <c r="E1" s="1276"/>
      <c r="F1" s="1276"/>
      <c r="G1" s="1276"/>
      <c r="H1" s="1276"/>
      <c r="I1" s="1276"/>
      <c r="J1" s="1276"/>
      <c r="K1" s="1276"/>
      <c r="L1" s="1277"/>
    </row>
    <row r="2" spans="1:15" x14ac:dyDescent="0.2">
      <c r="A2" s="11" t="s">
        <v>251</v>
      </c>
      <c r="B2" s="132"/>
      <c r="C2" s="132"/>
      <c r="D2" s="1103" t="s">
        <v>794</v>
      </c>
      <c r="E2" s="1278"/>
      <c r="F2" s="1278"/>
      <c r="G2" s="1278"/>
      <c r="H2" s="1278"/>
      <c r="I2" s="1278"/>
      <c r="J2" s="1278"/>
      <c r="K2" s="1278"/>
      <c r="L2" s="1279"/>
      <c r="O2" t="s">
        <v>795</v>
      </c>
    </row>
    <row r="3" spans="1:15" x14ac:dyDescent="0.2">
      <c r="A3" s="11" t="s">
        <v>252</v>
      </c>
      <c r="B3" s="132"/>
      <c r="C3" s="132"/>
      <c r="D3" s="562" t="s">
        <v>253</v>
      </c>
      <c r="E3" s="1280"/>
      <c r="F3" s="1281"/>
      <c r="G3" s="11" t="s">
        <v>256</v>
      </c>
      <c r="H3" s="1101" t="s">
        <v>257</v>
      </c>
      <c r="I3" s="1280"/>
      <c r="J3" s="1280"/>
      <c r="K3" s="1280"/>
      <c r="L3" s="1281"/>
      <c r="O3" t="s">
        <v>796</v>
      </c>
    </row>
    <row r="4" spans="1:15" x14ac:dyDescent="0.2">
      <c r="A4" s="11" t="s">
        <v>258</v>
      </c>
      <c r="B4" s="132"/>
      <c r="C4" s="132"/>
      <c r="D4" s="562" t="s">
        <v>253</v>
      </c>
      <c r="E4" s="1280"/>
      <c r="F4" s="1281"/>
      <c r="G4" s="11" t="s">
        <v>260</v>
      </c>
      <c r="H4" s="1101" t="s">
        <v>255</v>
      </c>
      <c r="I4" s="1280"/>
      <c r="J4" s="1280"/>
      <c r="K4" s="1280"/>
      <c r="L4" s="1281"/>
    </row>
    <row r="5" spans="1:15" ht="20.75" customHeight="1" x14ac:dyDescent="0.3">
      <c r="A5" s="1264" t="s">
        <v>797</v>
      </c>
      <c r="B5" s="1265"/>
      <c r="C5" s="1265"/>
      <c r="D5" s="1265"/>
      <c r="E5" s="1265"/>
      <c r="F5" s="1265"/>
      <c r="G5" s="1265"/>
      <c r="H5" s="1265"/>
      <c r="I5" s="1265"/>
      <c r="J5" s="1265"/>
      <c r="K5" s="1265"/>
      <c r="L5" s="1266"/>
    </row>
    <row r="6" spans="1:15" x14ac:dyDescent="0.2">
      <c r="A6" s="133"/>
      <c r="B6" s="134" t="s">
        <v>677</v>
      </c>
      <c r="C6" s="134" t="s">
        <v>168</v>
      </c>
      <c r="D6" s="568" t="s">
        <v>798</v>
      </c>
      <c r="E6" s="1267" t="s">
        <v>799</v>
      </c>
      <c r="F6" s="1268"/>
      <c r="G6" s="1268"/>
      <c r="H6" s="1268"/>
      <c r="I6" s="1268"/>
      <c r="J6" s="1268"/>
      <c r="K6" s="1268"/>
      <c r="L6" s="1269"/>
    </row>
    <row r="7" spans="1:15" x14ac:dyDescent="0.2">
      <c r="A7" s="194" t="s">
        <v>800</v>
      </c>
      <c r="B7" s="195"/>
      <c r="C7" s="195"/>
      <c r="D7" s="563">
        <f>SUM(D8:D13)</f>
        <v>760549</v>
      </c>
      <c r="E7" s="1270"/>
      <c r="F7" s="1271"/>
      <c r="G7" s="1271"/>
      <c r="H7" s="1271"/>
      <c r="I7" s="1271"/>
      <c r="J7" s="1271"/>
      <c r="K7" s="1271"/>
      <c r="L7" s="1272"/>
    </row>
    <row r="8" spans="1:15" x14ac:dyDescent="0.2">
      <c r="A8" s="118" t="s">
        <v>801</v>
      </c>
      <c r="B8" s="143">
        <v>40187</v>
      </c>
      <c r="C8" s="140">
        <v>1</v>
      </c>
      <c r="D8" s="143">
        <f>B8*C8</f>
        <v>40187</v>
      </c>
      <c r="E8" s="1273" t="s">
        <v>802</v>
      </c>
      <c r="F8" s="1274"/>
      <c r="G8" s="1274"/>
      <c r="H8" s="1274"/>
      <c r="I8" s="1274"/>
      <c r="J8" s="1274"/>
      <c r="K8" s="1274"/>
      <c r="L8" s="1275"/>
    </row>
    <row r="9" spans="1:15" x14ac:dyDescent="0.2">
      <c r="A9" s="139" t="s">
        <v>803</v>
      </c>
      <c r="B9" s="143">
        <v>120562</v>
      </c>
      <c r="C9" s="140">
        <v>1</v>
      </c>
      <c r="D9" s="143">
        <f>B9*C9</f>
        <v>120562</v>
      </c>
      <c r="E9" s="581"/>
      <c r="F9" s="582"/>
      <c r="G9" s="582"/>
      <c r="H9" s="582"/>
      <c r="I9" s="582"/>
      <c r="J9" s="582"/>
      <c r="K9" s="582"/>
      <c r="L9" s="928"/>
    </row>
    <row r="10" spans="1:15" x14ac:dyDescent="0.2">
      <c r="A10" s="141" t="s">
        <v>804</v>
      </c>
      <c r="B10" s="144">
        <v>300000</v>
      </c>
      <c r="C10" s="142">
        <v>1</v>
      </c>
      <c r="D10" s="144">
        <f>B10*C10</f>
        <v>300000</v>
      </c>
      <c r="E10" s="1283"/>
      <c r="F10" s="1274"/>
      <c r="G10" s="1274"/>
      <c r="H10" s="1274"/>
      <c r="I10" s="1274"/>
      <c r="J10" s="1274"/>
      <c r="K10" s="1274"/>
      <c r="L10" s="1275"/>
    </row>
    <row r="11" spans="1:15" x14ac:dyDescent="0.2">
      <c r="A11" s="141" t="s">
        <v>805</v>
      </c>
      <c r="B11" s="144">
        <v>50000</v>
      </c>
      <c r="C11" s="142">
        <v>1</v>
      </c>
      <c r="D11" s="144">
        <f>B11*C11</f>
        <v>50000</v>
      </c>
      <c r="E11" s="1283"/>
      <c r="F11" s="1274"/>
      <c r="G11" s="1274"/>
      <c r="H11" s="1274"/>
      <c r="I11" s="1274"/>
      <c r="J11" s="1274"/>
      <c r="K11" s="1274"/>
      <c r="L11" s="1275"/>
    </row>
    <row r="12" spans="1:15" x14ac:dyDescent="0.2">
      <c r="A12" s="141" t="s">
        <v>806</v>
      </c>
      <c r="B12" s="144">
        <v>100000</v>
      </c>
      <c r="C12" s="142">
        <v>1</v>
      </c>
      <c r="D12" s="567">
        <v>100000</v>
      </c>
      <c r="E12" s="1284"/>
      <c r="F12" s="1285"/>
      <c r="G12" s="1285"/>
      <c r="H12" s="1285"/>
      <c r="I12" s="1285"/>
      <c r="J12" s="1285"/>
      <c r="K12" s="1285"/>
      <c r="L12" s="1286"/>
    </row>
    <row r="13" spans="1:15" x14ac:dyDescent="0.2">
      <c r="A13" s="139" t="s">
        <v>807</v>
      </c>
      <c r="B13" s="143">
        <v>149800</v>
      </c>
      <c r="C13" s="140">
        <v>1</v>
      </c>
      <c r="D13" s="143">
        <f>B13*C13</f>
        <v>149800</v>
      </c>
      <c r="E13" s="1282" t="s">
        <v>808</v>
      </c>
      <c r="F13" s="1274"/>
      <c r="G13" s="1274"/>
      <c r="H13" s="1274"/>
      <c r="I13" s="1274"/>
      <c r="J13" s="1274"/>
      <c r="K13" s="1274"/>
      <c r="L13" s="1275"/>
    </row>
    <row r="14" spans="1:15" x14ac:dyDescent="0.2">
      <c r="A14" s="135"/>
      <c r="B14" s="145"/>
      <c r="C14" s="136"/>
      <c r="D14" s="145"/>
      <c r="E14" s="1283"/>
      <c r="F14" s="1274"/>
      <c r="G14" s="1274"/>
      <c r="H14" s="1274"/>
      <c r="I14" s="1274"/>
      <c r="J14" s="1274"/>
      <c r="K14" s="1274"/>
      <c r="L14" s="1275"/>
    </row>
    <row r="15" spans="1:15" x14ac:dyDescent="0.2">
      <c r="A15" s="194" t="s">
        <v>809</v>
      </c>
      <c r="B15" s="196"/>
      <c r="C15" s="195"/>
      <c r="D15" s="563">
        <f>SUM(D16:D19)</f>
        <v>6028877</v>
      </c>
      <c r="E15" s="1270"/>
      <c r="F15" s="1271"/>
      <c r="G15" s="1271"/>
      <c r="H15" s="1271"/>
      <c r="I15" s="1271"/>
      <c r="J15" s="1271"/>
      <c r="K15" s="1271"/>
      <c r="L15" s="1272"/>
    </row>
    <row r="16" spans="1:15" x14ac:dyDescent="0.2">
      <c r="A16" s="139" t="s">
        <v>810</v>
      </c>
      <c r="B16" s="143"/>
      <c r="C16" s="140"/>
      <c r="D16" s="143">
        <f>'7 Maskinliste &amp; fremstil.valg'!O19</f>
        <v>5498416</v>
      </c>
      <c r="E16" s="1283"/>
      <c r="F16" s="1274"/>
      <c r="G16" s="1274"/>
      <c r="H16" s="1274"/>
      <c r="I16" s="1274"/>
      <c r="J16" s="1274"/>
      <c r="K16" s="1274"/>
      <c r="L16" s="1275"/>
    </row>
    <row r="17" spans="1:12" x14ac:dyDescent="0.2">
      <c r="A17" s="139" t="s">
        <v>580</v>
      </c>
      <c r="B17" s="143"/>
      <c r="C17" s="140"/>
      <c r="D17" s="143">
        <f>'Budget lister'!E58</f>
        <v>5861</v>
      </c>
      <c r="E17" s="1283"/>
      <c r="F17" s="1274"/>
      <c r="G17" s="1274"/>
      <c r="H17" s="1274"/>
      <c r="I17" s="1274"/>
      <c r="J17" s="1274"/>
      <c r="K17" s="1274"/>
      <c r="L17" s="1275"/>
    </row>
    <row r="18" spans="1:12" x14ac:dyDescent="0.2">
      <c r="A18" s="139" t="s">
        <v>811</v>
      </c>
      <c r="B18" s="143"/>
      <c r="C18" s="140"/>
      <c r="D18" s="143">
        <f>'Budget lister'!E18</f>
        <v>440000</v>
      </c>
      <c r="E18" s="1283" t="s">
        <v>812</v>
      </c>
      <c r="F18" s="1274"/>
      <c r="G18" s="1274"/>
      <c r="H18" s="1274"/>
      <c r="I18" s="1274"/>
      <c r="J18" s="1274"/>
      <c r="K18" s="1274"/>
      <c r="L18" s="1275"/>
    </row>
    <row r="19" spans="1:12" x14ac:dyDescent="0.2">
      <c r="A19" s="139" t="s">
        <v>813</v>
      </c>
      <c r="B19" s="143">
        <v>84600</v>
      </c>
      <c r="C19" s="140">
        <v>2</v>
      </c>
      <c r="D19" s="143">
        <f>SUM(B19)</f>
        <v>84600</v>
      </c>
      <c r="E19" s="564" t="s">
        <v>814</v>
      </c>
      <c r="F19" s="137"/>
      <c r="G19" s="137"/>
      <c r="H19" s="137"/>
      <c r="I19" s="137"/>
      <c r="J19" s="137"/>
      <c r="K19" s="585" t="s">
        <v>815</v>
      </c>
      <c r="L19" s="927"/>
    </row>
    <row r="20" spans="1:12" x14ac:dyDescent="0.2">
      <c r="A20" s="194" t="s">
        <v>816</v>
      </c>
      <c r="B20" s="196"/>
      <c r="C20" s="195"/>
      <c r="D20" s="563">
        <f>D21</f>
        <v>1235000</v>
      </c>
      <c r="E20" s="1270"/>
      <c r="F20" s="1271"/>
      <c r="G20" s="1271"/>
      <c r="H20" s="1271"/>
      <c r="I20" s="1271"/>
      <c r="J20" s="1271"/>
      <c r="K20" s="1271"/>
      <c r="L20" s="1272"/>
    </row>
    <row r="21" spans="1:12" x14ac:dyDescent="0.2">
      <c r="A21" s="871" t="s">
        <v>817</v>
      </c>
      <c r="B21" s="901">
        <f>'3 Organisation &amp; arbejdsopg.'!J47</f>
        <v>1235000</v>
      </c>
      <c r="C21" s="900">
        <v>1</v>
      </c>
      <c r="D21" s="901">
        <f>B21*C21</f>
        <v>1235000</v>
      </c>
      <c r="E21" s="1283"/>
      <c r="F21" s="1274"/>
      <c r="G21" s="1274"/>
      <c r="H21" s="1274"/>
      <c r="I21" s="1274"/>
      <c r="J21" s="1274"/>
      <c r="K21" s="1274"/>
      <c r="L21" s="1275"/>
    </row>
    <row r="22" spans="1:12" x14ac:dyDescent="0.2">
      <c r="A22" s="135"/>
      <c r="B22" s="145"/>
      <c r="C22" s="136"/>
      <c r="D22" s="145"/>
      <c r="E22" s="1283"/>
      <c r="F22" s="1274"/>
      <c r="G22" s="1274"/>
      <c r="H22" s="1274"/>
      <c r="I22" s="1274"/>
      <c r="J22" s="1274"/>
      <c r="K22" s="1274"/>
      <c r="L22" s="1275"/>
    </row>
    <row r="23" spans="1:12" x14ac:dyDescent="0.2">
      <c r="A23" s="135"/>
      <c r="B23" s="145"/>
      <c r="C23" s="136"/>
      <c r="D23" s="566"/>
      <c r="E23" s="1290"/>
      <c r="F23" s="1291"/>
      <c r="G23" s="1291"/>
      <c r="H23" s="1291"/>
      <c r="I23" s="1291"/>
      <c r="J23" s="1291"/>
      <c r="K23" s="1291"/>
      <c r="L23" s="1292"/>
    </row>
    <row r="24" spans="1:12" x14ac:dyDescent="0.2">
      <c r="A24" s="929"/>
      <c r="B24" s="145"/>
      <c r="C24" s="135"/>
      <c r="D24" s="565"/>
      <c r="E24" s="1283"/>
      <c r="F24" s="1274"/>
      <c r="G24" s="1274"/>
      <c r="H24" s="1274"/>
      <c r="I24" s="1274"/>
      <c r="J24" s="1274"/>
      <c r="K24" s="1274"/>
      <c r="L24" s="1275"/>
    </row>
    <row r="25" spans="1:12" x14ac:dyDescent="0.2">
      <c r="A25" s="135"/>
      <c r="B25" s="145"/>
      <c r="C25" s="136"/>
      <c r="D25" s="145"/>
      <c r="E25" s="1283"/>
      <c r="F25" s="1274"/>
      <c r="G25" s="1274"/>
      <c r="H25" s="1274"/>
      <c r="I25" s="1274"/>
      <c r="J25" s="1274"/>
      <c r="K25" s="1274"/>
      <c r="L25" s="1275"/>
    </row>
    <row r="26" spans="1:12" x14ac:dyDescent="0.2">
      <c r="A26" s="194" t="s">
        <v>818</v>
      </c>
      <c r="B26" s="196"/>
      <c r="C26" s="195"/>
      <c r="D26" s="563">
        <f>SUM(D27:D30)</f>
        <v>49025</v>
      </c>
      <c r="E26" s="1270"/>
      <c r="F26" s="1271"/>
      <c r="G26" s="1271"/>
      <c r="H26" s="1271"/>
      <c r="I26" s="1271"/>
      <c r="J26" s="1271"/>
      <c r="K26" s="1271"/>
      <c r="L26" s="1272"/>
    </row>
    <row r="27" spans="1:12" x14ac:dyDescent="0.2">
      <c r="A27" s="139" t="s">
        <v>819</v>
      </c>
      <c r="B27" s="143">
        <v>499</v>
      </c>
      <c r="C27" s="140">
        <v>25</v>
      </c>
      <c r="D27" s="143">
        <f>B27*C27</f>
        <v>12475</v>
      </c>
      <c r="E27" s="969" t="s">
        <v>820</v>
      </c>
      <c r="F27" s="147"/>
      <c r="G27" s="147"/>
      <c r="H27" s="147"/>
      <c r="I27" s="147"/>
      <c r="J27" s="147"/>
      <c r="K27" s="147"/>
      <c r="L27" s="930"/>
    </row>
    <row r="28" spans="1:12" x14ac:dyDescent="0.2">
      <c r="A28" s="139" t="s">
        <v>821</v>
      </c>
      <c r="B28" s="143">
        <f>'Budget lister'!N9</f>
        <v>335</v>
      </c>
      <c r="C28" s="140">
        <v>100</v>
      </c>
      <c r="D28" s="143">
        <f>B28*C28</f>
        <v>33500</v>
      </c>
      <c r="E28" s="1287" t="s">
        <v>822</v>
      </c>
      <c r="F28" s="1288"/>
      <c r="G28" s="1288"/>
      <c r="H28" s="1288"/>
      <c r="I28" s="1288"/>
      <c r="J28" s="1288"/>
      <c r="K28" s="1288"/>
      <c r="L28" s="1289"/>
    </row>
    <row r="29" spans="1:12" x14ac:dyDescent="0.2">
      <c r="A29" s="139" t="s">
        <v>823</v>
      </c>
      <c r="B29" s="143">
        <v>29</v>
      </c>
      <c r="C29" s="140">
        <v>50</v>
      </c>
      <c r="D29" s="143">
        <f>B29*C29</f>
        <v>1450</v>
      </c>
      <c r="E29" s="969" t="s">
        <v>824</v>
      </c>
      <c r="F29" s="147"/>
      <c r="G29" s="147"/>
      <c r="H29" s="147"/>
      <c r="I29" s="147"/>
      <c r="J29" s="147"/>
      <c r="K29" s="147"/>
      <c r="L29" s="930"/>
    </row>
    <row r="30" spans="1:12" x14ac:dyDescent="0.2">
      <c r="A30" s="139" t="s">
        <v>825</v>
      </c>
      <c r="B30" s="143">
        <v>160</v>
      </c>
      <c r="C30" s="140">
        <v>10</v>
      </c>
      <c r="D30" s="143">
        <f>B30*C30</f>
        <v>1600</v>
      </c>
      <c r="E30" s="969" t="s">
        <v>826</v>
      </c>
      <c r="F30" s="147"/>
      <c r="G30" s="147"/>
      <c r="H30" s="147"/>
      <c r="I30" s="147"/>
      <c r="J30" s="147"/>
      <c r="K30" s="147"/>
      <c r="L30" s="930"/>
    </row>
    <row r="31" spans="1:12" x14ac:dyDescent="0.2">
      <c r="A31" s="929"/>
      <c r="B31" s="145"/>
      <c r="C31" s="136"/>
      <c r="D31" s="145"/>
      <c r="E31" s="1293"/>
      <c r="F31" s="1294"/>
      <c r="G31" s="1294"/>
      <c r="H31" s="1294"/>
      <c r="I31" s="1294"/>
      <c r="J31" s="1294"/>
      <c r="K31" s="1294"/>
      <c r="L31" s="1295"/>
    </row>
    <row r="32" spans="1:12" x14ac:dyDescent="0.2">
      <c r="A32" s="135"/>
      <c r="B32" s="145"/>
      <c r="C32" s="136"/>
      <c r="D32" s="145"/>
      <c r="E32" s="1293"/>
      <c r="F32" s="1294"/>
      <c r="G32" s="1294"/>
      <c r="H32" s="1294"/>
      <c r="I32" s="1294"/>
      <c r="J32" s="1294"/>
      <c r="K32" s="1294"/>
      <c r="L32" s="1295"/>
    </row>
    <row r="33" spans="1:12" x14ac:dyDescent="0.2">
      <c r="A33" s="194" t="s">
        <v>827</v>
      </c>
      <c r="B33" s="196"/>
      <c r="C33" s="195"/>
      <c r="D33" s="563">
        <f>SUM(D34:D36)</f>
        <v>126006.75</v>
      </c>
      <c r="E33" s="1270"/>
      <c r="F33" s="1271"/>
      <c r="G33" s="1271"/>
      <c r="H33" s="1271"/>
      <c r="I33" s="1271"/>
      <c r="J33" s="1271"/>
      <c r="K33" s="1271"/>
      <c r="L33" s="1272"/>
    </row>
    <row r="34" spans="1:12" x14ac:dyDescent="0.2">
      <c r="A34" s="139" t="s">
        <v>828</v>
      </c>
      <c r="B34" s="143">
        <f>'Budget lister'!E42</f>
        <v>36572.25</v>
      </c>
      <c r="C34" s="140">
        <v>3</v>
      </c>
      <c r="D34" s="143">
        <f>B34*C34</f>
        <v>109716.75</v>
      </c>
      <c r="E34" s="1283"/>
      <c r="F34" s="1274"/>
      <c r="G34" s="1274"/>
      <c r="H34" s="1274"/>
      <c r="I34" s="1274"/>
      <c r="J34" s="1274"/>
      <c r="K34" s="1274"/>
      <c r="L34" s="1275"/>
    </row>
    <row r="35" spans="1:12" x14ac:dyDescent="0.2">
      <c r="A35" s="139" t="s">
        <v>829</v>
      </c>
      <c r="B35" s="143">
        <f>'Budget lister'!E32</f>
        <v>630</v>
      </c>
      <c r="C35" s="140">
        <v>3</v>
      </c>
      <c r="D35" s="143">
        <f>B35*C35</f>
        <v>1890</v>
      </c>
      <c r="E35" s="1283"/>
      <c r="F35" s="1274"/>
      <c r="G35" s="1274"/>
      <c r="H35" s="1274"/>
      <c r="I35" s="1274"/>
      <c r="J35" s="1274"/>
      <c r="K35" s="1274"/>
      <c r="L35" s="1275"/>
    </row>
    <row r="36" spans="1:12" x14ac:dyDescent="0.2">
      <c r="A36" s="139" t="s">
        <v>830</v>
      </c>
      <c r="B36" s="143">
        <f>'Budget lister'!E25</f>
        <v>4800</v>
      </c>
      <c r="C36" s="140">
        <v>3</v>
      </c>
      <c r="D36" s="143">
        <f>B36*C36</f>
        <v>14400</v>
      </c>
      <c r="E36" s="1283"/>
      <c r="F36" s="1274"/>
      <c r="G36" s="1274"/>
      <c r="H36" s="1274"/>
      <c r="I36" s="1274"/>
      <c r="J36" s="1274"/>
      <c r="K36" s="1274"/>
      <c r="L36" s="1275"/>
    </row>
    <row r="37" spans="1:12" x14ac:dyDescent="0.2">
      <c r="A37" s="135"/>
      <c r="B37" s="145"/>
      <c r="C37" s="136"/>
      <c r="D37" s="145"/>
      <c r="E37" s="1283"/>
      <c r="F37" s="1274"/>
      <c r="G37" s="1274"/>
      <c r="H37" s="1274"/>
      <c r="I37" s="1274"/>
      <c r="J37" s="1274"/>
      <c r="K37" s="1274"/>
      <c r="L37" s="1275"/>
    </row>
    <row r="38" spans="1:12" x14ac:dyDescent="0.2">
      <c r="A38" s="135"/>
      <c r="B38" s="145"/>
      <c r="C38" s="136"/>
      <c r="D38" s="145"/>
      <c r="E38" s="1283"/>
      <c r="F38" s="1274"/>
      <c r="G38" s="1274"/>
      <c r="H38" s="1274"/>
      <c r="I38" s="1274"/>
      <c r="J38" s="1274"/>
      <c r="K38" s="1274"/>
      <c r="L38" s="1275"/>
    </row>
    <row r="39" spans="1:12" x14ac:dyDescent="0.2">
      <c r="A39" s="194" t="s">
        <v>831</v>
      </c>
      <c r="B39" s="196"/>
      <c r="C39" s="195"/>
      <c r="D39" s="563">
        <f>SUM(D40:D41)</f>
        <v>931629.39</v>
      </c>
      <c r="E39" s="1270"/>
      <c r="F39" s="1271"/>
      <c r="G39" s="1271"/>
      <c r="H39" s="1271"/>
      <c r="I39" s="1271"/>
      <c r="J39" s="1271"/>
      <c r="K39" s="1271"/>
      <c r="L39" s="1272"/>
    </row>
    <row r="40" spans="1:12" x14ac:dyDescent="0.2">
      <c r="A40" s="573" t="s">
        <v>832</v>
      </c>
      <c r="B40" s="143">
        <f>'11 Lagerstyring'!O145</f>
        <v>692635.74</v>
      </c>
      <c r="C40" s="140">
        <v>1</v>
      </c>
      <c r="D40" s="143">
        <f>B40</f>
        <v>692635.74</v>
      </c>
      <c r="E40" s="1283"/>
      <c r="F40" s="1274"/>
      <c r="G40" s="1274"/>
      <c r="H40" s="1274"/>
      <c r="I40" s="1274"/>
      <c r="J40" s="1274"/>
      <c r="K40" s="1274"/>
      <c r="L40" s="1275"/>
    </row>
    <row r="41" spans="1:12" x14ac:dyDescent="0.2">
      <c r="A41" s="929" t="s">
        <v>193</v>
      </c>
      <c r="B41" s="143">
        <f>'11 Lagerstyring'!O147</f>
        <v>238993.65</v>
      </c>
      <c r="C41" s="140">
        <v>1</v>
      </c>
      <c r="D41" s="143">
        <f>B41*C41</f>
        <v>238993.65</v>
      </c>
      <c r="E41" s="1284"/>
      <c r="F41" s="1285"/>
      <c r="G41" s="1285"/>
      <c r="H41" s="1285"/>
      <c r="I41" s="1285"/>
      <c r="J41" s="1285"/>
      <c r="K41" s="1285"/>
      <c r="L41" s="1286"/>
    </row>
    <row r="42" spans="1:12" x14ac:dyDescent="0.2">
      <c r="A42" s="135"/>
      <c r="B42" s="145"/>
      <c r="C42" s="136"/>
      <c r="D42" s="145"/>
      <c r="E42" s="1283"/>
      <c r="F42" s="1274"/>
      <c r="G42" s="1274"/>
      <c r="H42" s="1274"/>
      <c r="I42" s="1274"/>
      <c r="J42" s="1274"/>
      <c r="K42" s="1274"/>
      <c r="L42" s="1275"/>
    </row>
    <row r="43" spans="1:12" x14ac:dyDescent="0.2">
      <c r="A43" s="194" t="s">
        <v>833</v>
      </c>
      <c r="B43" s="196"/>
      <c r="C43" s="195"/>
      <c r="D43" s="563">
        <f>SUM(D44:D46)</f>
        <v>124854.16</v>
      </c>
      <c r="E43" s="1270"/>
      <c r="F43" s="1271"/>
      <c r="G43" s="1271"/>
      <c r="H43" s="1271"/>
      <c r="I43" s="1271"/>
      <c r="J43" s="1271"/>
      <c r="K43" s="1271"/>
      <c r="L43" s="1272"/>
    </row>
    <row r="44" spans="1:12" x14ac:dyDescent="0.2">
      <c r="A44" s="139" t="s">
        <v>834</v>
      </c>
      <c r="B44" s="143">
        <v>7000</v>
      </c>
      <c r="C44" s="140">
        <v>1</v>
      </c>
      <c r="D44" s="143">
        <f>SUM(B44*C44)</f>
        <v>7000</v>
      </c>
      <c r="E44" s="1282" t="s">
        <v>835</v>
      </c>
      <c r="F44" s="1274"/>
      <c r="G44" s="1274"/>
      <c r="H44" s="1274"/>
      <c r="I44" s="1274"/>
      <c r="J44" s="1274"/>
      <c r="K44" s="1274"/>
      <c r="L44" s="1275"/>
    </row>
    <row r="45" spans="1:12" x14ac:dyDescent="0.2">
      <c r="A45" s="139" t="s">
        <v>836</v>
      </c>
      <c r="B45" s="143">
        <v>5000</v>
      </c>
      <c r="C45" s="140">
        <v>1</v>
      </c>
      <c r="D45" s="143">
        <f>SUM(B45*C45)</f>
        <v>5000</v>
      </c>
      <c r="E45" s="1282" t="s">
        <v>837</v>
      </c>
      <c r="F45" s="1274"/>
      <c r="G45" s="1274"/>
      <c r="H45" s="1274"/>
      <c r="I45" s="1274"/>
      <c r="J45" s="1274"/>
      <c r="K45" s="1274"/>
      <c r="L45" s="1275"/>
    </row>
    <row r="46" spans="1:12" x14ac:dyDescent="0.2">
      <c r="A46" s="118" t="s">
        <v>838</v>
      </c>
      <c r="B46" s="143">
        <f>'Budget lister'!E112</f>
        <v>112854.16</v>
      </c>
      <c r="C46" s="140"/>
      <c r="D46" s="143">
        <f>B46</f>
        <v>112854.16</v>
      </c>
      <c r="E46" s="1296" t="s">
        <v>839</v>
      </c>
      <c r="F46" s="1274"/>
      <c r="G46" s="1274"/>
      <c r="H46" s="1274"/>
      <c r="I46" s="1274"/>
      <c r="J46" s="1274"/>
      <c r="K46" s="1274"/>
      <c r="L46" s="1275"/>
    </row>
    <row r="47" spans="1:12" x14ac:dyDescent="0.2">
      <c r="A47" s="867" t="s">
        <v>840</v>
      </c>
      <c r="B47" s="196"/>
      <c r="C47" s="195"/>
      <c r="D47" s="563">
        <f>D48</f>
        <v>30000</v>
      </c>
      <c r="E47" s="1270"/>
      <c r="F47" s="1271"/>
      <c r="G47" s="1271"/>
      <c r="H47" s="1271"/>
      <c r="I47" s="1271"/>
      <c r="J47" s="1271"/>
      <c r="K47" s="1271"/>
      <c r="L47" s="1272"/>
    </row>
    <row r="48" spans="1:12" x14ac:dyDescent="0.2">
      <c r="A48" s="141" t="s">
        <v>841</v>
      </c>
      <c r="B48" s="144">
        <v>30000</v>
      </c>
      <c r="C48" s="142">
        <v>1</v>
      </c>
      <c r="D48" s="144">
        <f>SUM(B48*C48)</f>
        <v>30000</v>
      </c>
      <c r="E48" s="1282"/>
      <c r="F48" s="1274"/>
      <c r="G48" s="1274"/>
      <c r="H48" s="1274"/>
      <c r="I48" s="1274"/>
      <c r="J48" s="1274"/>
      <c r="K48" s="1274"/>
      <c r="L48" s="1275"/>
    </row>
    <row r="49" spans="1:12" x14ac:dyDescent="0.2">
      <c r="A49" s="194" t="s">
        <v>173</v>
      </c>
      <c r="B49" s="196"/>
      <c r="C49" s="195"/>
      <c r="D49" s="563">
        <f>SUM(D47+D43+D39+D33+D26+D20+D15+D7)</f>
        <v>9285941.3000000007</v>
      </c>
      <c r="E49" s="1270"/>
      <c r="F49" s="1271"/>
      <c r="G49" s="1271"/>
      <c r="H49" s="1271"/>
      <c r="I49" s="1271"/>
      <c r="J49" s="1271"/>
      <c r="K49" s="1271"/>
      <c r="L49" s="1272"/>
    </row>
  </sheetData>
  <mergeCells count="46">
    <mergeCell ref="E49:L49"/>
    <mergeCell ref="E42:L42"/>
    <mergeCell ref="E43:L43"/>
    <mergeCell ref="E41:L41"/>
    <mergeCell ref="E37:L37"/>
    <mergeCell ref="E38:L38"/>
    <mergeCell ref="E39:L39"/>
    <mergeCell ref="E40:L40"/>
    <mergeCell ref="E46:L46"/>
    <mergeCell ref="E47:L47"/>
    <mergeCell ref="E48:L48"/>
    <mergeCell ref="E44:L44"/>
    <mergeCell ref="E45:L45"/>
    <mergeCell ref="E34:L34"/>
    <mergeCell ref="E35:L35"/>
    <mergeCell ref="E36:L36"/>
    <mergeCell ref="E31:L31"/>
    <mergeCell ref="E32:L32"/>
    <mergeCell ref="E33:L33"/>
    <mergeCell ref="E28:L28"/>
    <mergeCell ref="E23:L23"/>
    <mergeCell ref="E20:L20"/>
    <mergeCell ref="E16:L16"/>
    <mergeCell ref="E17:L17"/>
    <mergeCell ref="E18:L18"/>
    <mergeCell ref="E25:L25"/>
    <mergeCell ref="E26:L26"/>
    <mergeCell ref="E21:L21"/>
    <mergeCell ref="E22:L22"/>
    <mergeCell ref="E24:L24"/>
    <mergeCell ref="E13:L13"/>
    <mergeCell ref="E14:L14"/>
    <mergeCell ref="E15:L15"/>
    <mergeCell ref="E10:L10"/>
    <mergeCell ref="E11:L11"/>
    <mergeCell ref="E12:L12"/>
    <mergeCell ref="A5:L5"/>
    <mergeCell ref="E6:L6"/>
    <mergeCell ref="E7:L7"/>
    <mergeCell ref="E8:L8"/>
    <mergeCell ref="D1:L1"/>
    <mergeCell ref="D2:L2"/>
    <mergeCell ref="E3:F3"/>
    <mergeCell ref="H3:L3"/>
    <mergeCell ref="E4:F4"/>
    <mergeCell ref="H4:L4"/>
  </mergeCells>
  <hyperlinks>
    <hyperlink ref="E8" r:id="rId1" xr:uid="{83FE8FCB-3AA8-4F0A-AEFE-068F9AD26B1D}"/>
    <hyperlink ref="E13" r:id="rId2" xr:uid="{A89C8EA7-2A79-41A1-9777-48E194ACF129}"/>
    <hyperlink ref="E44" r:id="rId3" xr:uid="{07F9AF78-5AE5-46ED-8ADB-B35BCC571975}"/>
    <hyperlink ref="E45" r:id="rId4" xr:uid="{F79DBE87-C567-40A6-A4EE-EF498D0D526C}"/>
    <hyperlink ref="E19" r:id="rId5" xr:uid="{D80B3196-555E-4728-BE7D-00095B801884}"/>
    <hyperlink ref="K19" r:id="rId6" xr:uid="{CA920183-47B3-4086-B8F5-D8C7D7C1702E}"/>
    <hyperlink ref="E27" r:id="rId7" xr:uid="{941128D3-7800-45D7-AE84-C7D8AA59A6A6}"/>
    <hyperlink ref="E29" r:id="rId8" xr:uid="{D71D7EB3-45DE-47A2-8860-1374B361FBF8}"/>
    <hyperlink ref="E30" r:id="rId9" xr:uid="{08E91F8A-BA85-45C4-9444-38E5DB3E14ED}"/>
  </hyperlinks>
  <pageMargins left="0.7" right="0.7" top="0.75" bottom="0.75" header="0.3" footer="0.3"/>
  <pageSetup paperSize="9" orientation="portrait" r:id="rId10"/>
  <legacyDrawing r:id="rId1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6A9E-9D3E-481B-B480-8A718B2A0F4B}">
  <dimension ref="B3:AW119"/>
  <sheetViews>
    <sheetView topLeftCell="D5" zoomScale="55" zoomScaleNormal="85" workbookViewId="0">
      <selection activeCell="L31" sqref="L31"/>
    </sheetView>
  </sheetViews>
  <sheetFormatPr baseColWidth="10" defaultColWidth="8.83203125" defaultRowHeight="15" x14ac:dyDescent="0.2"/>
  <cols>
    <col min="2" max="2" width="19.1640625" bestFit="1" customWidth="1"/>
    <col min="3" max="3" width="25.83203125" bestFit="1" customWidth="1"/>
    <col min="4" max="4" width="26.6640625" customWidth="1"/>
    <col min="5" max="5" width="18.33203125" bestFit="1" customWidth="1"/>
    <col min="6" max="6" width="84.1640625" bestFit="1" customWidth="1"/>
    <col min="7" max="7" width="18.33203125" bestFit="1" customWidth="1"/>
    <col min="8" max="8" width="13.83203125" bestFit="1" customWidth="1"/>
    <col min="9" max="9" width="7" bestFit="1" customWidth="1"/>
    <col min="10" max="10" width="23.6640625" bestFit="1" customWidth="1"/>
    <col min="11" max="11" width="21.1640625" bestFit="1" customWidth="1"/>
    <col min="12" max="12" width="21.33203125" customWidth="1"/>
    <col min="13" max="13" width="28.33203125" customWidth="1"/>
    <col min="14" max="14" width="16.33203125" bestFit="1" customWidth="1"/>
    <col min="15" max="15" width="18.33203125" bestFit="1" customWidth="1"/>
    <col min="27" max="27" width="18.5" customWidth="1"/>
    <col min="32" max="32" width="12" customWidth="1"/>
    <col min="34" max="34" width="12.33203125" customWidth="1"/>
    <col min="35" max="35" width="11.5" bestFit="1" customWidth="1"/>
    <col min="37" max="37" width="11.5" bestFit="1" customWidth="1"/>
    <col min="38" max="38" width="27.6640625" customWidth="1"/>
    <col min="46" max="46" width="10.5" bestFit="1" customWidth="1"/>
    <col min="49" max="49" width="39.6640625" customWidth="1"/>
    <col min="16363" max="16370" width="9.1640625" bestFit="1" customWidth="1"/>
    <col min="16371" max="16384" width="9.1640625" customWidth="1"/>
  </cols>
  <sheetData>
    <row r="3" spans="2:49" ht="16" thickBot="1" x14ac:dyDescent="0.25"/>
    <row r="4" spans="2:49" ht="16" thickBot="1" x14ac:dyDescent="0.25">
      <c r="B4" s="1299" t="s">
        <v>842</v>
      </c>
      <c r="C4" s="1300"/>
      <c r="D4" s="1300"/>
      <c r="E4" s="1301"/>
      <c r="G4" s="1299" t="s">
        <v>843</v>
      </c>
      <c r="H4" s="1300"/>
      <c r="I4" s="1300"/>
      <c r="J4" s="1300"/>
      <c r="K4" s="1301"/>
      <c r="M4" s="1299" t="s">
        <v>821</v>
      </c>
      <c r="N4" s="1301"/>
      <c r="AA4" t="s">
        <v>844</v>
      </c>
      <c r="AH4" s="1311"/>
      <c r="AI4" s="1311"/>
      <c r="AJ4" s="1311"/>
      <c r="AK4" s="1311"/>
      <c r="AL4" s="1311"/>
      <c r="AS4" s="1208"/>
      <c r="AT4" s="1208"/>
      <c r="AU4" s="1208"/>
      <c r="AV4" s="1208"/>
      <c r="AW4" s="1208"/>
    </row>
    <row r="5" spans="2:49" x14ac:dyDescent="0.2">
      <c r="B5" s="267" t="s">
        <v>845</v>
      </c>
      <c r="C5" s="177" t="s">
        <v>411</v>
      </c>
      <c r="D5" s="284"/>
      <c r="E5" s="276" t="s">
        <v>581</v>
      </c>
      <c r="G5" s="267" t="s">
        <v>845</v>
      </c>
      <c r="H5" s="177" t="s">
        <v>411</v>
      </c>
      <c r="I5" s="284" t="s">
        <v>846</v>
      </c>
      <c r="J5" s="177" t="s">
        <v>168</v>
      </c>
      <c r="K5" s="284" t="s">
        <v>847</v>
      </c>
      <c r="M5" s="279" t="s">
        <v>411</v>
      </c>
      <c r="N5" s="284" t="s">
        <v>581</v>
      </c>
      <c r="P5" s="8" t="s">
        <v>820</v>
      </c>
      <c r="Z5" t="s">
        <v>845</v>
      </c>
      <c r="AA5" t="s">
        <v>411</v>
      </c>
      <c r="AB5" t="s">
        <v>677</v>
      </c>
      <c r="AC5" t="s">
        <v>168</v>
      </c>
      <c r="AD5" t="s">
        <v>848</v>
      </c>
      <c r="AH5" s="130"/>
      <c r="AI5" s="105"/>
      <c r="AJ5" s="105"/>
      <c r="AK5" s="105"/>
      <c r="AL5" s="105"/>
      <c r="AS5" s="105"/>
      <c r="AT5" s="105"/>
      <c r="AU5" s="105"/>
      <c r="AV5" s="105"/>
      <c r="AW5" s="105"/>
    </row>
    <row r="6" spans="2:49" x14ac:dyDescent="0.2">
      <c r="B6" s="268">
        <v>1</v>
      </c>
      <c r="C6" s="265" t="s">
        <v>283</v>
      </c>
      <c r="D6" s="262"/>
      <c r="E6" s="277">
        <v>40000</v>
      </c>
      <c r="G6" s="267">
        <v>1</v>
      </c>
      <c r="H6" s="264" t="s">
        <v>283</v>
      </c>
      <c r="I6" s="260">
        <v>10000</v>
      </c>
      <c r="J6" s="264">
        <v>3</v>
      </c>
      <c r="K6" s="270">
        <f t="shared" ref="K6:K15" si="0">I6/J6</f>
        <v>3333.3333333333335</v>
      </c>
      <c r="M6" s="280" t="s">
        <v>849</v>
      </c>
      <c r="N6" s="272">
        <v>200</v>
      </c>
      <c r="P6" s="8" t="s">
        <v>850</v>
      </c>
      <c r="Z6">
        <v>1</v>
      </c>
      <c r="AA6" t="s">
        <v>851</v>
      </c>
      <c r="AH6" s="130"/>
      <c r="AI6" s="287"/>
      <c r="AJ6" s="130"/>
      <c r="AK6" s="287"/>
      <c r="AL6" s="130"/>
      <c r="AS6" s="105"/>
      <c r="AT6" s="285"/>
      <c r="AU6" s="105"/>
      <c r="AV6" s="285"/>
      <c r="AW6" s="286"/>
    </row>
    <row r="7" spans="2:49" x14ac:dyDescent="0.2">
      <c r="B7" s="268">
        <v>2</v>
      </c>
      <c r="C7" s="185" t="s">
        <v>852</v>
      </c>
      <c r="D7" s="261"/>
      <c r="E7" s="278">
        <v>160000</v>
      </c>
      <c r="G7" s="268">
        <v>2</v>
      </c>
      <c r="H7" s="185" t="s">
        <v>852</v>
      </c>
      <c r="I7" s="261">
        <v>12000</v>
      </c>
      <c r="J7" s="185">
        <v>4</v>
      </c>
      <c r="K7" s="271">
        <f t="shared" si="0"/>
        <v>3000</v>
      </c>
      <c r="M7" s="281" t="s">
        <v>853</v>
      </c>
      <c r="N7" s="271">
        <v>135</v>
      </c>
      <c r="P7" s="8" t="s">
        <v>854</v>
      </c>
      <c r="Z7">
        <v>2</v>
      </c>
      <c r="AA7" t="s">
        <v>855</v>
      </c>
      <c r="AC7">
        <v>8000</v>
      </c>
      <c r="AH7" s="130"/>
      <c r="AI7" s="287"/>
      <c r="AJ7" s="130"/>
      <c r="AK7" s="287"/>
      <c r="AL7" s="288"/>
      <c r="AS7" s="105"/>
      <c r="AT7" s="285"/>
      <c r="AU7" s="105"/>
      <c r="AV7" s="285"/>
      <c r="AW7" s="286"/>
    </row>
    <row r="8" spans="2:49" x14ac:dyDescent="0.2">
      <c r="B8" s="268">
        <v>3</v>
      </c>
      <c r="C8" s="265" t="s">
        <v>856</v>
      </c>
      <c r="D8" s="262"/>
      <c r="E8" s="277">
        <v>5000</v>
      </c>
      <c r="G8" s="268">
        <v>3</v>
      </c>
      <c r="H8" s="265" t="s">
        <v>856</v>
      </c>
      <c r="I8" s="262">
        <v>4500</v>
      </c>
      <c r="J8" s="265">
        <v>3</v>
      </c>
      <c r="K8" s="272">
        <f t="shared" si="0"/>
        <v>1500</v>
      </c>
      <c r="M8" s="280"/>
      <c r="N8" s="272"/>
      <c r="P8" s="8" t="s">
        <v>824</v>
      </c>
      <c r="Z8">
        <v>3</v>
      </c>
      <c r="AH8" s="130"/>
      <c r="AI8" s="287"/>
      <c r="AJ8" s="130"/>
      <c r="AK8" s="287"/>
      <c r="AL8" s="288"/>
      <c r="AS8" s="105"/>
      <c r="AT8" s="285"/>
      <c r="AU8" s="105"/>
      <c r="AV8" s="285"/>
      <c r="AW8" s="105"/>
    </row>
    <row r="9" spans="2:49" ht="16" thickBot="1" x14ac:dyDescent="0.25">
      <c r="B9" s="268">
        <v>4</v>
      </c>
      <c r="C9" s="185" t="s">
        <v>857</v>
      </c>
      <c r="D9" s="261"/>
      <c r="E9" s="278">
        <v>35000</v>
      </c>
      <c r="G9" s="268">
        <v>4</v>
      </c>
      <c r="H9" s="185" t="s">
        <v>857</v>
      </c>
      <c r="I9" s="261">
        <v>5000</v>
      </c>
      <c r="J9" s="185">
        <v>4</v>
      </c>
      <c r="K9" s="271">
        <f t="shared" si="0"/>
        <v>1250</v>
      </c>
      <c r="M9" s="282" t="s">
        <v>173</v>
      </c>
      <c r="N9" s="346">
        <f>SUM(N6:N8)</f>
        <v>335</v>
      </c>
      <c r="Z9">
        <v>4</v>
      </c>
      <c r="AH9" s="130"/>
      <c r="AI9" s="287"/>
      <c r="AJ9" s="130"/>
      <c r="AK9" s="287"/>
      <c r="AL9" s="288"/>
    </row>
    <row r="10" spans="2:49" x14ac:dyDescent="0.2">
      <c r="B10" s="268">
        <v>5</v>
      </c>
      <c r="C10" s="265" t="s">
        <v>858</v>
      </c>
      <c r="D10" s="262"/>
      <c r="E10" s="277">
        <v>25000</v>
      </c>
      <c r="G10" s="268">
        <v>5</v>
      </c>
      <c r="H10" s="265" t="s">
        <v>858</v>
      </c>
      <c r="I10" s="262">
        <v>3500</v>
      </c>
      <c r="J10" s="265">
        <v>4</v>
      </c>
      <c r="K10" s="272">
        <f t="shared" si="0"/>
        <v>875</v>
      </c>
      <c r="Z10">
        <v>5</v>
      </c>
      <c r="AH10" s="130"/>
      <c r="AI10" s="287"/>
      <c r="AJ10" s="130"/>
      <c r="AK10" s="287"/>
      <c r="AL10" s="288"/>
    </row>
    <row r="11" spans="2:49" ht="16" thickBot="1" x14ac:dyDescent="0.25">
      <c r="B11" s="268">
        <v>6</v>
      </c>
      <c r="C11" s="185" t="s">
        <v>859</v>
      </c>
      <c r="D11" s="261"/>
      <c r="E11" s="278">
        <v>35000</v>
      </c>
      <c r="G11" s="268">
        <v>6</v>
      </c>
      <c r="H11" s="185" t="s">
        <v>859</v>
      </c>
      <c r="I11" s="261">
        <v>7000</v>
      </c>
      <c r="J11" s="185">
        <v>4</v>
      </c>
      <c r="K11" s="271">
        <f t="shared" si="0"/>
        <v>1750</v>
      </c>
      <c r="AH11" s="130"/>
      <c r="AI11" s="287"/>
      <c r="AJ11" s="130"/>
      <c r="AK11" s="287"/>
      <c r="AL11" s="130"/>
    </row>
    <row r="12" spans="2:49" ht="32" x14ac:dyDescent="0.2">
      <c r="B12" s="268">
        <v>7</v>
      </c>
      <c r="C12" s="266" t="s">
        <v>860</v>
      </c>
      <c r="D12" s="262"/>
      <c r="E12" s="277">
        <v>30000</v>
      </c>
      <c r="G12" s="268">
        <v>7</v>
      </c>
      <c r="H12" s="266" t="s">
        <v>860</v>
      </c>
      <c r="I12" s="262">
        <v>8000</v>
      </c>
      <c r="J12" s="265">
        <v>4</v>
      </c>
      <c r="K12" s="272">
        <f t="shared" si="0"/>
        <v>2000</v>
      </c>
      <c r="M12" s="1302" t="s">
        <v>861</v>
      </c>
      <c r="N12" s="1303"/>
    </row>
    <row r="13" spans="2:49" x14ac:dyDescent="0.2">
      <c r="B13" s="268">
        <v>8</v>
      </c>
      <c r="C13" s="185" t="s">
        <v>231</v>
      </c>
      <c r="D13" s="261"/>
      <c r="E13" s="278">
        <v>25000</v>
      </c>
      <c r="G13" s="268">
        <v>8</v>
      </c>
      <c r="H13" s="185" t="s">
        <v>231</v>
      </c>
      <c r="I13" s="261">
        <v>25000</v>
      </c>
      <c r="J13" s="185">
        <v>12</v>
      </c>
      <c r="K13" s="271">
        <f t="shared" si="0"/>
        <v>2083.3333333333335</v>
      </c>
      <c r="M13" s="935" t="s">
        <v>862</v>
      </c>
      <c r="N13" s="936">
        <v>800</v>
      </c>
      <c r="AH13" s="1208"/>
      <c r="AI13" s="1208"/>
      <c r="AJ13" s="1208"/>
      <c r="AK13" s="1208"/>
      <c r="AL13" s="1208"/>
      <c r="AS13" t="s">
        <v>580</v>
      </c>
    </row>
    <row r="14" spans="2:49" ht="32" x14ac:dyDescent="0.2">
      <c r="B14" s="268">
        <v>9</v>
      </c>
      <c r="C14" s="266" t="s">
        <v>863</v>
      </c>
      <c r="D14" s="262"/>
      <c r="E14" s="277">
        <v>30000</v>
      </c>
      <c r="G14" s="268">
        <v>9</v>
      </c>
      <c r="H14" s="266" t="s">
        <v>863</v>
      </c>
      <c r="I14" s="262">
        <v>45000</v>
      </c>
      <c r="J14" s="265">
        <v>6</v>
      </c>
      <c r="K14" s="272">
        <f t="shared" si="0"/>
        <v>7500</v>
      </c>
      <c r="M14" s="937" t="s">
        <v>864</v>
      </c>
      <c r="N14" s="938">
        <v>2000</v>
      </c>
      <c r="AH14" s="107"/>
      <c r="AI14" s="107"/>
      <c r="AJ14" s="107"/>
      <c r="AK14" s="107"/>
      <c r="AL14" s="107"/>
      <c r="AS14" t="s">
        <v>411</v>
      </c>
    </row>
    <row r="15" spans="2:49" ht="16" thickBot="1" x14ac:dyDescent="0.25">
      <c r="B15" s="268">
        <v>10</v>
      </c>
      <c r="C15" s="185" t="s">
        <v>865</v>
      </c>
      <c r="D15" s="261"/>
      <c r="E15" s="278">
        <v>20000</v>
      </c>
      <c r="G15" s="268">
        <v>10</v>
      </c>
      <c r="H15" s="185" t="s">
        <v>866</v>
      </c>
      <c r="I15" s="261">
        <v>20000</v>
      </c>
      <c r="J15" s="185">
        <v>4</v>
      </c>
      <c r="K15" s="271">
        <f t="shared" si="0"/>
        <v>5000</v>
      </c>
      <c r="M15" s="939" t="s">
        <v>867</v>
      </c>
      <c r="N15" s="940">
        <f>((2000*4.333)*800)*12</f>
        <v>83193600</v>
      </c>
      <c r="AH15" s="130"/>
      <c r="AI15" s="287"/>
      <c r="AJ15" s="130"/>
      <c r="AK15" s="287"/>
      <c r="AL15" s="288"/>
      <c r="AS15" t="s">
        <v>586</v>
      </c>
    </row>
    <row r="16" spans="2:49" x14ac:dyDescent="0.2">
      <c r="B16" s="841">
        <v>11</v>
      </c>
      <c r="C16" s="846" t="s">
        <v>868</v>
      </c>
      <c r="D16" s="847"/>
      <c r="E16" s="848">
        <v>25000</v>
      </c>
      <c r="G16" s="841">
        <v>11</v>
      </c>
      <c r="H16" s="846" t="s">
        <v>868</v>
      </c>
      <c r="I16" s="847"/>
      <c r="J16" s="846"/>
      <c r="K16" s="849"/>
      <c r="AH16" s="130"/>
      <c r="AI16" s="287"/>
      <c r="AJ16" s="130"/>
      <c r="AK16" s="287"/>
      <c r="AL16" s="288"/>
    </row>
    <row r="17" spans="2:38" ht="16" thickBot="1" x14ac:dyDescent="0.25">
      <c r="B17" s="841">
        <v>12</v>
      </c>
      <c r="C17" s="842" t="s">
        <v>369</v>
      </c>
      <c r="D17" s="843"/>
      <c r="E17" s="844">
        <v>10000</v>
      </c>
      <c r="G17" s="841">
        <v>12</v>
      </c>
      <c r="H17" s="842" t="s">
        <v>369</v>
      </c>
      <c r="I17" s="843"/>
      <c r="J17" s="842"/>
      <c r="K17" s="845"/>
      <c r="AH17" s="130"/>
      <c r="AI17" s="287"/>
      <c r="AJ17" s="130"/>
      <c r="AK17" s="287"/>
      <c r="AL17" s="288"/>
    </row>
    <row r="18" spans="2:38" ht="16" thickBot="1" x14ac:dyDescent="0.25">
      <c r="B18" s="269"/>
      <c r="C18" s="274"/>
      <c r="D18" s="263" t="s">
        <v>869</v>
      </c>
      <c r="E18" s="345">
        <f>SUM(E6:E17)</f>
        <v>440000</v>
      </c>
      <c r="G18" s="269"/>
      <c r="H18" s="274"/>
      <c r="I18" s="263"/>
      <c r="J18" s="274" t="s">
        <v>173</v>
      </c>
      <c r="K18" s="273">
        <f>SUM(K6:K15)</f>
        <v>28291.666666666668</v>
      </c>
      <c r="M18" s="1304" t="s">
        <v>870</v>
      </c>
      <c r="N18" s="1305"/>
      <c r="O18" s="1305"/>
      <c r="P18" s="1306"/>
      <c r="AH18" s="130"/>
      <c r="AI18" s="287"/>
      <c r="AJ18" s="130"/>
      <c r="AK18" s="287"/>
      <c r="AL18" s="288"/>
    </row>
    <row r="19" spans="2:38" x14ac:dyDescent="0.2">
      <c r="M19" s="596" t="s">
        <v>871</v>
      </c>
      <c r="N19" s="6" t="s">
        <v>872</v>
      </c>
      <c r="O19" s="6" t="s">
        <v>873</v>
      </c>
      <c r="P19" s="337" t="s">
        <v>874</v>
      </c>
      <c r="AH19" s="130"/>
      <c r="AI19" s="287"/>
      <c r="AJ19" s="130"/>
      <c r="AK19" s="287"/>
      <c r="AL19" s="130"/>
    </row>
    <row r="20" spans="2:38" ht="16" thickBot="1" x14ac:dyDescent="0.25">
      <c r="M20" s="970">
        <v>0.02</v>
      </c>
      <c r="N20" s="971">
        <v>0.04</v>
      </c>
      <c r="O20" s="971">
        <v>0.04</v>
      </c>
      <c r="P20" s="972">
        <f>M20+N20+O20</f>
        <v>0.1</v>
      </c>
    </row>
    <row r="21" spans="2:38" ht="16" thickBot="1" x14ac:dyDescent="0.25">
      <c r="B21" s="1091" t="s">
        <v>830</v>
      </c>
      <c r="C21" s="1297"/>
      <c r="D21" s="1297"/>
      <c r="E21" s="1297"/>
      <c r="F21" s="1298"/>
    </row>
    <row r="22" spans="2:38" x14ac:dyDescent="0.2">
      <c r="B22" s="870" t="s">
        <v>411</v>
      </c>
      <c r="C22" s="375" t="s">
        <v>581</v>
      </c>
      <c r="D22" s="373" t="s">
        <v>168</v>
      </c>
      <c r="E22" s="373" t="s">
        <v>173</v>
      </c>
      <c r="F22" s="374" t="s">
        <v>875</v>
      </c>
    </row>
    <row r="23" spans="2:38" x14ac:dyDescent="0.2">
      <c r="B23" s="379" t="s">
        <v>876</v>
      </c>
      <c r="C23" s="376">
        <v>1000</v>
      </c>
      <c r="D23" s="167">
        <v>3</v>
      </c>
      <c r="E23" s="152">
        <f>C23*D23</f>
        <v>3000</v>
      </c>
      <c r="F23" s="192" t="s">
        <v>877</v>
      </c>
    </row>
    <row r="24" spans="2:38" x14ac:dyDescent="0.2">
      <c r="B24" s="379" t="s">
        <v>878</v>
      </c>
      <c r="C24" s="377">
        <v>600</v>
      </c>
      <c r="D24" s="166">
        <v>3</v>
      </c>
      <c r="E24" s="153">
        <f>C24*D24</f>
        <v>1800</v>
      </c>
      <c r="F24" s="193" t="s">
        <v>879</v>
      </c>
    </row>
    <row r="25" spans="2:38" ht="16" thickBot="1" x14ac:dyDescent="0.25">
      <c r="B25" s="380" t="s">
        <v>173</v>
      </c>
      <c r="C25" s="378">
        <f>C23+C24</f>
        <v>1600</v>
      </c>
      <c r="D25" s="173">
        <v>3</v>
      </c>
      <c r="E25" s="344">
        <f>E23+E24</f>
        <v>4800</v>
      </c>
      <c r="F25" s="191"/>
    </row>
    <row r="27" spans="2:38" ht="16" thickBot="1" x14ac:dyDescent="0.25"/>
    <row r="28" spans="2:38" ht="16" thickBot="1" x14ac:dyDescent="0.25">
      <c r="B28" s="1091" t="s">
        <v>880</v>
      </c>
      <c r="C28" s="1297"/>
      <c r="D28" s="1297"/>
      <c r="E28" s="1297"/>
      <c r="F28" s="1298"/>
    </row>
    <row r="29" spans="2:38" x14ac:dyDescent="0.2">
      <c r="B29" s="267" t="s">
        <v>411</v>
      </c>
      <c r="C29" s="177" t="s">
        <v>581</v>
      </c>
      <c r="D29" s="284" t="s">
        <v>168</v>
      </c>
      <c r="E29" s="177" t="s">
        <v>173</v>
      </c>
      <c r="F29" s="284" t="s">
        <v>875</v>
      </c>
    </row>
    <row r="30" spans="2:38" x14ac:dyDescent="0.2">
      <c r="B30" s="247" t="s">
        <v>881</v>
      </c>
      <c r="C30" s="249">
        <f>150*0.75</f>
        <v>112.5</v>
      </c>
      <c r="D30" s="253">
        <v>3</v>
      </c>
      <c r="E30" s="249">
        <f>C30*D30</f>
        <v>337.5</v>
      </c>
      <c r="F30" s="257" t="s">
        <v>882</v>
      </c>
    </row>
    <row r="31" spans="2:38" x14ac:dyDescent="0.2">
      <c r="B31" s="247" t="s">
        <v>883</v>
      </c>
      <c r="C31" s="250">
        <f>130*0.75</f>
        <v>97.5</v>
      </c>
      <c r="D31" s="254">
        <v>3</v>
      </c>
      <c r="E31" s="250">
        <f>C31*D31</f>
        <v>292.5</v>
      </c>
      <c r="F31" s="256" t="s">
        <v>884</v>
      </c>
    </row>
    <row r="32" spans="2:38" ht="16" thickBot="1" x14ac:dyDescent="0.25">
      <c r="B32" s="248" t="s">
        <v>885</v>
      </c>
      <c r="C32" s="258">
        <f>SUM(C30:C31)</f>
        <v>210</v>
      </c>
      <c r="D32" s="259"/>
      <c r="E32" s="343">
        <f>SUM(E30:E31)</f>
        <v>630</v>
      </c>
      <c r="F32" s="259"/>
    </row>
    <row r="34" spans="2:6" ht="16" thickBot="1" x14ac:dyDescent="0.25"/>
    <row r="35" spans="2:6" ht="16" thickBot="1" x14ac:dyDescent="0.25">
      <c r="B35" s="1299" t="s">
        <v>886</v>
      </c>
      <c r="C35" s="1300"/>
      <c r="D35" s="1300"/>
      <c r="E35" s="1300"/>
      <c r="F35" s="1301"/>
    </row>
    <row r="36" spans="2:6" x14ac:dyDescent="0.2">
      <c r="B36" s="872" t="s">
        <v>411</v>
      </c>
      <c r="C36" s="178" t="s">
        <v>581</v>
      </c>
      <c r="D36" s="873" t="s">
        <v>168</v>
      </c>
      <c r="E36" s="178" t="s">
        <v>173</v>
      </c>
      <c r="F36" s="873" t="s">
        <v>875</v>
      </c>
    </row>
    <row r="37" spans="2:6" x14ac:dyDescent="0.2">
      <c r="B37" s="247" t="s">
        <v>887</v>
      </c>
      <c r="C37" s="249">
        <v>10000</v>
      </c>
      <c r="D37" s="253">
        <v>3</v>
      </c>
      <c r="E37" s="249">
        <f>C37*D37</f>
        <v>30000</v>
      </c>
      <c r="F37" s="257" t="s">
        <v>888</v>
      </c>
    </row>
    <row r="38" spans="2:6" x14ac:dyDescent="0.2">
      <c r="B38" s="247" t="s">
        <v>889</v>
      </c>
      <c r="C38" s="250">
        <f>(890*0.75)*2</f>
        <v>1335</v>
      </c>
      <c r="D38" s="254">
        <v>3</v>
      </c>
      <c r="E38" s="250">
        <f>C38*D38</f>
        <v>4005</v>
      </c>
      <c r="F38" s="256" t="s">
        <v>890</v>
      </c>
    </row>
    <row r="39" spans="2:6" x14ac:dyDescent="0.2">
      <c r="B39" s="247" t="s">
        <v>891</v>
      </c>
      <c r="C39" s="249">
        <f>580*0.75</f>
        <v>435</v>
      </c>
      <c r="D39" s="253">
        <v>3</v>
      </c>
      <c r="E39" s="249">
        <f>C39*D39</f>
        <v>1305</v>
      </c>
      <c r="F39" s="257" t="s">
        <v>892</v>
      </c>
    </row>
    <row r="40" spans="2:6" x14ac:dyDescent="0.2">
      <c r="B40" s="247" t="s">
        <v>893</v>
      </c>
      <c r="C40" s="250">
        <f>250*0.75</f>
        <v>187.5</v>
      </c>
      <c r="D40" s="254">
        <v>3</v>
      </c>
      <c r="E40" s="250">
        <f>C40*D40</f>
        <v>562.5</v>
      </c>
      <c r="F40" s="256" t="s">
        <v>894</v>
      </c>
    </row>
    <row r="41" spans="2:6" x14ac:dyDescent="0.2">
      <c r="B41" s="247" t="s">
        <v>895</v>
      </c>
      <c r="C41" s="249">
        <f>311*0.75</f>
        <v>233.25</v>
      </c>
      <c r="D41" s="253">
        <v>3</v>
      </c>
      <c r="E41" s="249">
        <f>C41*D41</f>
        <v>699.75</v>
      </c>
      <c r="F41" s="257" t="s">
        <v>896</v>
      </c>
    </row>
    <row r="42" spans="2:6" ht="16" thickBot="1" x14ac:dyDescent="0.25">
      <c r="B42" s="248" t="s">
        <v>885</v>
      </c>
      <c r="C42" s="251">
        <f>C37+C38+C39+C40+C41</f>
        <v>12190.75</v>
      </c>
      <c r="D42" s="255"/>
      <c r="E42" s="342">
        <f>SUM(E37:E41)</f>
        <v>36572.25</v>
      </c>
      <c r="F42" s="255"/>
    </row>
    <row r="44" spans="2:6" ht="16" thickBot="1" x14ac:dyDescent="0.25"/>
    <row r="45" spans="2:6" ht="16" thickBot="1" x14ac:dyDescent="0.25">
      <c r="B45" s="1312" t="s">
        <v>897</v>
      </c>
      <c r="C45" s="1313"/>
      <c r="D45" s="1313"/>
      <c r="E45" s="1313"/>
      <c r="F45" s="1314"/>
    </row>
    <row r="46" spans="2:6" x14ac:dyDescent="0.2">
      <c r="B46" s="872" t="s">
        <v>411</v>
      </c>
      <c r="C46" s="363" t="s">
        <v>581</v>
      </c>
      <c r="D46" s="335" t="s">
        <v>168</v>
      </c>
      <c r="E46" s="335" t="s">
        <v>173</v>
      </c>
      <c r="F46" s="336" t="s">
        <v>875</v>
      </c>
    </row>
    <row r="47" spans="2:6" x14ac:dyDescent="0.2">
      <c r="B47" s="247" t="s">
        <v>587</v>
      </c>
      <c r="C47" s="370">
        <v>40</v>
      </c>
      <c r="D47" s="149">
        <v>5</v>
      </c>
      <c r="E47" s="339">
        <f>D47*C47</f>
        <v>200</v>
      </c>
      <c r="F47" s="932" t="s">
        <v>898</v>
      </c>
    </row>
    <row r="48" spans="2:6" x14ac:dyDescent="0.2">
      <c r="B48" s="247" t="s">
        <v>899</v>
      </c>
      <c r="C48" s="371">
        <v>348</v>
      </c>
      <c r="D48" s="6">
        <v>5</v>
      </c>
      <c r="E48" s="334">
        <f>D48*C48</f>
        <v>1740</v>
      </c>
      <c r="F48" s="931" t="s">
        <v>900</v>
      </c>
    </row>
    <row r="49" spans="2:7" x14ac:dyDescent="0.2">
      <c r="B49" s="586" t="s">
        <v>583</v>
      </c>
      <c r="C49" s="587">
        <v>381</v>
      </c>
      <c r="D49" s="588">
        <v>2</v>
      </c>
      <c r="E49" s="334">
        <f t="shared" ref="E49:E57" si="1">D49*C49</f>
        <v>762</v>
      </c>
      <c r="F49" s="589"/>
    </row>
    <row r="50" spans="2:7" x14ac:dyDescent="0.2">
      <c r="B50" s="586" t="s">
        <v>584</v>
      </c>
      <c r="C50" s="587">
        <v>91</v>
      </c>
      <c r="D50" s="588">
        <v>2</v>
      </c>
      <c r="E50" s="334">
        <f t="shared" si="1"/>
        <v>182</v>
      </c>
      <c r="F50" s="589"/>
    </row>
    <row r="51" spans="2:7" x14ac:dyDescent="0.2">
      <c r="B51" s="586" t="s">
        <v>586</v>
      </c>
      <c r="C51" s="587">
        <v>103</v>
      </c>
      <c r="D51" s="588">
        <v>3</v>
      </c>
      <c r="E51" s="334">
        <f t="shared" si="1"/>
        <v>309</v>
      </c>
      <c r="F51" s="589"/>
    </row>
    <row r="52" spans="2:7" x14ac:dyDescent="0.2">
      <c r="B52" s="586" t="s">
        <v>592</v>
      </c>
      <c r="C52" s="587">
        <v>200</v>
      </c>
      <c r="D52" s="588">
        <v>1</v>
      </c>
      <c r="E52" s="334">
        <f t="shared" si="1"/>
        <v>200</v>
      </c>
      <c r="F52" s="589"/>
    </row>
    <row r="53" spans="2:7" x14ac:dyDescent="0.2">
      <c r="B53" s="586" t="s">
        <v>589</v>
      </c>
      <c r="C53" s="587">
        <v>80</v>
      </c>
      <c r="D53" s="588">
        <v>3</v>
      </c>
      <c r="E53" s="334">
        <f t="shared" si="1"/>
        <v>240</v>
      </c>
      <c r="F53" s="589"/>
    </row>
    <row r="54" spans="2:7" x14ac:dyDescent="0.2">
      <c r="B54" s="586" t="s">
        <v>590</v>
      </c>
      <c r="C54" s="587">
        <v>165</v>
      </c>
      <c r="D54" s="588">
        <v>4</v>
      </c>
      <c r="E54" s="334">
        <f t="shared" si="1"/>
        <v>660</v>
      </c>
      <c r="F54" s="589"/>
    </row>
    <row r="55" spans="2:7" x14ac:dyDescent="0.2">
      <c r="B55" s="586" t="s">
        <v>591</v>
      </c>
      <c r="C55" s="587">
        <v>120</v>
      </c>
      <c r="D55" s="588">
        <v>4</v>
      </c>
      <c r="E55" s="334">
        <f t="shared" si="1"/>
        <v>480</v>
      </c>
      <c r="F55" s="589"/>
    </row>
    <row r="56" spans="2:7" x14ac:dyDescent="0.2">
      <c r="B56" s="586" t="s">
        <v>588</v>
      </c>
      <c r="C56" s="587">
        <v>72</v>
      </c>
      <c r="D56" s="588">
        <v>4</v>
      </c>
      <c r="E56" s="334">
        <f t="shared" si="1"/>
        <v>288</v>
      </c>
      <c r="F56" s="589"/>
    </row>
    <row r="57" spans="2:7" x14ac:dyDescent="0.2">
      <c r="B57" s="586" t="s">
        <v>585</v>
      </c>
      <c r="C57" s="587">
        <v>400</v>
      </c>
      <c r="D57" s="588">
        <v>2</v>
      </c>
      <c r="E57" s="334">
        <f t="shared" si="1"/>
        <v>800</v>
      </c>
      <c r="F57" s="589"/>
    </row>
    <row r="58" spans="2:7" ht="16" thickBot="1" x14ac:dyDescent="0.25">
      <c r="B58" s="248" t="s">
        <v>173</v>
      </c>
      <c r="C58" s="372"/>
      <c r="D58" s="174"/>
      <c r="E58" s="341">
        <f>SUM(E47:E57)</f>
        <v>5861</v>
      </c>
      <c r="F58" s="340"/>
    </row>
    <row r="60" spans="2:7" ht="16" thickBot="1" x14ac:dyDescent="0.25"/>
    <row r="61" spans="2:7" ht="16" thickBot="1" x14ac:dyDescent="0.25">
      <c r="B61" s="1308" t="s">
        <v>901</v>
      </c>
      <c r="C61" s="1309"/>
      <c r="D61" s="1309"/>
      <c r="E61" s="1309"/>
      <c r="F61" s="1309"/>
      <c r="G61" s="1310"/>
    </row>
    <row r="62" spans="2:7" x14ac:dyDescent="0.2">
      <c r="B62" s="246" t="s">
        <v>175</v>
      </c>
      <c r="C62" s="363" t="s">
        <v>194</v>
      </c>
      <c r="D62" s="335" t="s">
        <v>195</v>
      </c>
      <c r="E62" s="335" t="s">
        <v>196</v>
      </c>
      <c r="F62" s="335" t="s">
        <v>168</v>
      </c>
      <c r="G62" s="336" t="s">
        <v>173</v>
      </c>
    </row>
    <row r="63" spans="2:7" x14ac:dyDescent="0.2">
      <c r="B63" s="247" t="s">
        <v>197</v>
      </c>
      <c r="C63" s="364" t="s">
        <v>198</v>
      </c>
      <c r="D63" s="339">
        <v>4.5</v>
      </c>
      <c r="E63" s="339">
        <f>4*D63</f>
        <v>18</v>
      </c>
      <c r="F63" s="149">
        <v>32000</v>
      </c>
      <c r="G63" s="360">
        <f>F63*D63</f>
        <v>144000</v>
      </c>
    </row>
    <row r="64" spans="2:7" x14ac:dyDescent="0.2">
      <c r="B64" s="247" t="s">
        <v>159</v>
      </c>
      <c r="C64" s="365" t="s">
        <v>156</v>
      </c>
      <c r="D64" s="334">
        <v>1.2</v>
      </c>
      <c r="E64" s="334">
        <f>D64*4</f>
        <v>4.8</v>
      </c>
      <c r="F64" s="6">
        <v>32000</v>
      </c>
      <c r="G64" s="361">
        <f>F64*D64</f>
        <v>38400</v>
      </c>
    </row>
    <row r="65" spans="2:12" x14ac:dyDescent="0.2">
      <c r="B65" s="247" t="s">
        <v>199</v>
      </c>
      <c r="C65" s="364" t="s">
        <v>156</v>
      </c>
      <c r="D65" s="339">
        <v>1.2</v>
      </c>
      <c r="E65" s="339">
        <f>D65*4</f>
        <v>4.8</v>
      </c>
      <c r="F65" s="149">
        <v>32000</v>
      </c>
      <c r="G65" s="360">
        <f>F65*D65</f>
        <v>38400</v>
      </c>
    </row>
    <row r="66" spans="2:12" x14ac:dyDescent="0.2">
      <c r="B66" s="247" t="s">
        <v>153</v>
      </c>
      <c r="C66" s="365" t="s">
        <v>154</v>
      </c>
      <c r="D66" s="334">
        <v>1.2</v>
      </c>
      <c r="E66" s="334">
        <f>D66*8</f>
        <v>9.6</v>
      </c>
      <c r="F66" s="6">
        <v>64000</v>
      </c>
      <c r="G66" s="361">
        <f>D66*F66</f>
        <v>76800</v>
      </c>
    </row>
    <row r="67" spans="2:12" x14ac:dyDescent="0.2">
      <c r="B67" s="247" t="s">
        <v>160</v>
      </c>
      <c r="C67" s="364" t="s">
        <v>902</v>
      </c>
      <c r="D67" s="339">
        <v>5</v>
      </c>
      <c r="E67" s="339">
        <f>D67*4</f>
        <v>20</v>
      </c>
      <c r="F67" s="149">
        <v>32000</v>
      </c>
      <c r="G67" s="360">
        <f>F67*D67</f>
        <v>160000</v>
      </c>
    </row>
    <row r="68" spans="2:12" ht="16" thickBot="1" x14ac:dyDescent="0.25">
      <c r="B68" s="248" t="s">
        <v>173</v>
      </c>
      <c r="C68" s="366"/>
      <c r="D68" s="338"/>
      <c r="E68" s="362">
        <f>SUM(E63:E67)</f>
        <v>57.2</v>
      </c>
      <c r="F68" s="362"/>
      <c r="G68" s="367">
        <f>SUM(G63:G67)</f>
        <v>457600</v>
      </c>
    </row>
    <row r="70" spans="2:12" ht="16" thickBot="1" x14ac:dyDescent="0.25">
      <c r="G70" s="1307"/>
      <c r="H70" s="1307"/>
      <c r="I70" s="1307"/>
      <c r="J70" s="1307"/>
      <c r="K70" s="1307"/>
      <c r="L70" s="1307"/>
    </row>
    <row r="71" spans="2:12" ht="16" thickBot="1" x14ac:dyDescent="0.25">
      <c r="B71" s="1091" t="s">
        <v>903</v>
      </c>
      <c r="C71" s="1297"/>
      <c r="D71" s="1297"/>
      <c r="E71" s="1298"/>
    </row>
    <row r="72" spans="2:12" x14ac:dyDescent="0.2">
      <c r="B72" s="575" t="s">
        <v>810</v>
      </c>
      <c r="C72" s="204" t="s">
        <v>904</v>
      </c>
      <c r="D72" s="204" t="s">
        <v>905</v>
      </c>
      <c r="E72" s="576" t="s">
        <v>906</v>
      </c>
    </row>
    <row r="73" spans="2:12" x14ac:dyDescent="0.2">
      <c r="B73" s="577" t="s">
        <v>283</v>
      </c>
      <c r="C73" s="339">
        <v>400000</v>
      </c>
      <c r="D73" s="149">
        <v>30</v>
      </c>
      <c r="E73" s="360">
        <f t="shared" ref="E73:E82" si="2">C73/D73</f>
        <v>13333.333333333334</v>
      </c>
    </row>
    <row r="74" spans="2:12" x14ac:dyDescent="0.2">
      <c r="B74" s="577" t="s">
        <v>856</v>
      </c>
      <c r="C74" s="574">
        <v>90000</v>
      </c>
      <c r="D74" s="571">
        <v>20</v>
      </c>
      <c r="E74" s="578">
        <f t="shared" si="2"/>
        <v>4500</v>
      </c>
    </row>
    <row r="75" spans="2:12" x14ac:dyDescent="0.2">
      <c r="B75" s="577" t="s">
        <v>907</v>
      </c>
      <c r="C75" s="339">
        <v>250000</v>
      </c>
      <c r="D75" s="149">
        <v>20</v>
      </c>
      <c r="E75" s="360">
        <f t="shared" si="2"/>
        <v>12500</v>
      </c>
    </row>
    <row r="76" spans="2:12" x14ac:dyDescent="0.2">
      <c r="B76" s="577" t="s">
        <v>858</v>
      </c>
      <c r="C76" s="574">
        <v>600000</v>
      </c>
      <c r="D76" s="571">
        <v>12</v>
      </c>
      <c r="E76" s="578">
        <f t="shared" si="2"/>
        <v>50000</v>
      </c>
    </row>
    <row r="77" spans="2:12" x14ac:dyDescent="0.2">
      <c r="B77" s="577" t="s">
        <v>859</v>
      </c>
      <c r="C77" s="339">
        <v>700000</v>
      </c>
      <c r="D77" s="149">
        <v>25</v>
      </c>
      <c r="E77" s="360">
        <f t="shared" si="2"/>
        <v>28000</v>
      </c>
    </row>
    <row r="78" spans="2:12" ht="16" x14ac:dyDescent="0.2">
      <c r="B78" s="579" t="s">
        <v>860</v>
      </c>
      <c r="C78" s="574">
        <v>340000</v>
      </c>
      <c r="D78" s="571">
        <v>15</v>
      </c>
      <c r="E78" s="578">
        <f t="shared" si="2"/>
        <v>22666.666666666668</v>
      </c>
    </row>
    <row r="79" spans="2:12" x14ac:dyDescent="0.2">
      <c r="B79" s="577" t="s">
        <v>231</v>
      </c>
      <c r="C79" s="339">
        <v>370000</v>
      </c>
      <c r="D79" s="149">
        <v>10</v>
      </c>
      <c r="E79" s="360">
        <f t="shared" si="2"/>
        <v>37000</v>
      </c>
    </row>
    <row r="80" spans="2:12" ht="16" x14ac:dyDescent="0.2">
      <c r="B80" s="579" t="s">
        <v>863</v>
      </c>
      <c r="C80" s="574">
        <v>600000</v>
      </c>
      <c r="D80" s="571">
        <v>12</v>
      </c>
      <c r="E80" s="578">
        <f t="shared" si="2"/>
        <v>50000</v>
      </c>
    </row>
    <row r="81" spans="2:5" x14ac:dyDescent="0.2">
      <c r="B81" s="577" t="s">
        <v>865</v>
      </c>
      <c r="C81" s="339">
        <v>224115</v>
      </c>
      <c r="D81" s="149">
        <v>10</v>
      </c>
      <c r="E81" s="360">
        <f t="shared" si="2"/>
        <v>22411.5</v>
      </c>
    </row>
    <row r="82" spans="2:5" x14ac:dyDescent="0.2">
      <c r="B82" s="577" t="s">
        <v>852</v>
      </c>
      <c r="C82" s="574">
        <v>1615655</v>
      </c>
      <c r="D82" s="571">
        <v>15</v>
      </c>
      <c r="E82" s="578">
        <f t="shared" si="2"/>
        <v>107710.33333333333</v>
      </c>
    </row>
    <row r="83" spans="2:5" ht="16" thickBot="1" x14ac:dyDescent="0.25">
      <c r="B83" s="580" t="s">
        <v>173</v>
      </c>
      <c r="C83" s="584">
        <f>SUM(C73:C82)</f>
        <v>5189770</v>
      </c>
      <c r="D83" s="174"/>
      <c r="E83" s="583">
        <f>SUM(E73:E82)</f>
        <v>348121.83333333331</v>
      </c>
    </row>
    <row r="90" spans="2:5" ht="16" thickBot="1" x14ac:dyDescent="0.25"/>
    <row r="91" spans="2:5" x14ac:dyDescent="0.2">
      <c r="B91" s="1315" t="s">
        <v>908</v>
      </c>
      <c r="C91" s="1316"/>
      <c r="D91" s="1317"/>
    </row>
    <row r="92" spans="2:5" x14ac:dyDescent="0.2">
      <c r="B92" s="596" t="s">
        <v>909</v>
      </c>
      <c r="C92" s="6" t="s">
        <v>910</v>
      </c>
      <c r="D92" s="337" t="s">
        <v>911</v>
      </c>
    </row>
    <row r="93" spans="2:5" ht="16" thickBot="1" x14ac:dyDescent="0.25">
      <c r="B93" s="834">
        <v>1929</v>
      </c>
      <c r="C93" s="584">
        <v>70</v>
      </c>
      <c r="D93" s="835">
        <f>C93*B93</f>
        <v>135030</v>
      </c>
    </row>
    <row r="95" spans="2:5" ht="16" thickBot="1" x14ac:dyDescent="0.25"/>
    <row r="96" spans="2:5" x14ac:dyDescent="0.2">
      <c r="B96" s="1318" t="s">
        <v>912</v>
      </c>
      <c r="C96" s="1319"/>
      <c r="D96" s="1319"/>
      <c r="E96" s="1320"/>
    </row>
    <row r="97" spans="2:5" x14ac:dyDescent="0.2">
      <c r="B97" s="596" t="s">
        <v>913</v>
      </c>
      <c r="C97" s="6" t="s">
        <v>914</v>
      </c>
      <c r="D97" s="6" t="s">
        <v>915</v>
      </c>
      <c r="E97" s="337" t="s">
        <v>911</v>
      </c>
    </row>
    <row r="98" spans="2:5" ht="16" thickBot="1" x14ac:dyDescent="0.25">
      <c r="B98" s="834">
        <v>42</v>
      </c>
      <c r="C98" s="836">
        <v>20</v>
      </c>
      <c r="D98" s="584">
        <v>60</v>
      </c>
      <c r="E98" s="835">
        <f>(B98*C98)*D98</f>
        <v>50400</v>
      </c>
    </row>
    <row r="100" spans="2:5" ht="16" thickBot="1" x14ac:dyDescent="0.25"/>
    <row r="101" spans="2:5" x14ac:dyDescent="0.2">
      <c r="B101" s="1318" t="s">
        <v>916</v>
      </c>
      <c r="C101" s="1319"/>
      <c r="D101" s="1320"/>
    </row>
    <row r="102" spans="2:5" x14ac:dyDescent="0.2">
      <c r="B102" s="596" t="s">
        <v>917</v>
      </c>
      <c r="C102" s="6" t="s">
        <v>918</v>
      </c>
      <c r="D102" s="337" t="s">
        <v>911</v>
      </c>
    </row>
    <row r="103" spans="2:5" ht="16" thickBot="1" x14ac:dyDescent="0.25">
      <c r="B103" s="837">
        <f>D93</f>
        <v>135030</v>
      </c>
      <c r="C103" s="584">
        <f>E98</f>
        <v>50400</v>
      </c>
      <c r="D103" s="835">
        <f>C103+B103</f>
        <v>185430</v>
      </c>
    </row>
    <row r="105" spans="2:5" ht="16" thickBot="1" x14ac:dyDescent="0.25"/>
    <row r="106" spans="2:5" x14ac:dyDescent="0.2">
      <c r="B106" s="1315" t="s">
        <v>919</v>
      </c>
      <c r="C106" s="1316"/>
      <c r="D106" s="1316"/>
      <c r="E106" s="1317"/>
    </row>
    <row r="107" spans="2:5" x14ac:dyDescent="0.2">
      <c r="B107" s="839" t="s">
        <v>920</v>
      </c>
      <c r="C107" s="204" t="s">
        <v>921</v>
      </c>
      <c r="D107" s="204" t="s">
        <v>922</v>
      </c>
      <c r="E107" s="576" t="s">
        <v>911</v>
      </c>
    </row>
    <row r="108" spans="2:5" x14ac:dyDescent="0.2">
      <c r="B108" s="833"/>
      <c r="C108" s="830">
        <v>1929</v>
      </c>
      <c r="D108" s="339">
        <v>30</v>
      </c>
      <c r="E108" s="360">
        <f>C108*D108</f>
        <v>57870</v>
      </c>
    </row>
    <row r="109" spans="2:5" x14ac:dyDescent="0.2">
      <c r="B109" s="577"/>
      <c r="C109" s="574"/>
      <c r="D109" s="571"/>
      <c r="E109" s="578"/>
    </row>
    <row r="110" spans="2:5" x14ac:dyDescent="0.2">
      <c r="B110" s="577" t="s">
        <v>810</v>
      </c>
      <c r="C110" s="339" t="s">
        <v>923</v>
      </c>
      <c r="D110" s="149" t="s">
        <v>924</v>
      </c>
      <c r="E110" s="360"/>
    </row>
    <row r="111" spans="2:5" x14ac:dyDescent="0.2">
      <c r="B111" s="577"/>
      <c r="C111" s="574">
        <f>'7 Maskinliste &amp; fremstil.valg'!O19</f>
        <v>5498416</v>
      </c>
      <c r="D111" s="832">
        <v>0.01</v>
      </c>
      <c r="E111" s="578">
        <f>C111*D111</f>
        <v>54984.160000000003</v>
      </c>
    </row>
    <row r="112" spans="2:5" ht="16" thickBot="1" x14ac:dyDescent="0.25">
      <c r="B112" s="838" t="s">
        <v>911</v>
      </c>
      <c r="C112" s="584"/>
      <c r="D112" s="174"/>
      <c r="E112" s="835">
        <f>E108+E111</f>
        <v>112854.16</v>
      </c>
    </row>
    <row r="114" spans="2:3" ht="16" thickBot="1" x14ac:dyDescent="0.25"/>
    <row r="115" spans="2:3" ht="16" thickBot="1" x14ac:dyDescent="0.25">
      <c r="B115" s="1091" t="s">
        <v>925</v>
      </c>
      <c r="C115" s="1298"/>
    </row>
    <row r="116" spans="2:3" x14ac:dyDescent="0.2">
      <c r="B116" s="833" t="s">
        <v>926</v>
      </c>
      <c r="C116" s="576">
        <v>2</v>
      </c>
    </row>
    <row r="117" spans="2:3" x14ac:dyDescent="0.2">
      <c r="B117" s="577" t="s">
        <v>927</v>
      </c>
      <c r="C117" s="874">
        <v>9</v>
      </c>
    </row>
    <row r="118" spans="2:3" x14ac:dyDescent="0.2">
      <c r="B118" s="577" t="s">
        <v>928</v>
      </c>
      <c r="C118" s="578">
        <v>300</v>
      </c>
    </row>
    <row r="119" spans="2:3" ht="16" thickBot="1" x14ac:dyDescent="0.25">
      <c r="B119" s="838" t="s">
        <v>929</v>
      </c>
      <c r="C119" s="835">
        <f>((C116*C118)*C117)*12</f>
        <v>64800</v>
      </c>
    </row>
  </sheetData>
  <mergeCells count="20">
    <mergeCell ref="B115:C115"/>
    <mergeCell ref="B106:E106"/>
    <mergeCell ref="B101:D101"/>
    <mergeCell ref="B91:D91"/>
    <mergeCell ref="B96:E96"/>
    <mergeCell ref="B71:E71"/>
    <mergeCell ref="G70:L70"/>
    <mergeCell ref="B61:G61"/>
    <mergeCell ref="G4:K4"/>
    <mergeCell ref="AH4:AL4"/>
    <mergeCell ref="M4:N4"/>
    <mergeCell ref="B45:F45"/>
    <mergeCell ref="AS4:AW4"/>
    <mergeCell ref="AH13:AL13"/>
    <mergeCell ref="B21:F21"/>
    <mergeCell ref="B28:F28"/>
    <mergeCell ref="B35:F35"/>
    <mergeCell ref="B4:E4"/>
    <mergeCell ref="M12:N12"/>
    <mergeCell ref="M18:P18"/>
  </mergeCells>
  <hyperlinks>
    <hyperlink ref="P8" r:id="rId1" xr:uid="{BDD1BB8F-2636-44E1-B2DD-551B76668001}"/>
    <hyperlink ref="P5" r:id="rId2" xr:uid="{5AF45930-4942-4AB3-A9F2-47D98F9F745E}"/>
    <hyperlink ref="F23" r:id="rId3" xr:uid="{5F3A1151-21C1-4003-B8F8-38853F20583A}"/>
    <hyperlink ref="F24" r:id="rId4" xr:uid="{4A58E3E5-AB2A-4B5E-A0CD-5CF091CC592B}"/>
    <hyperlink ref="F30" r:id="rId5" xr:uid="{6988F705-7F67-4D6D-AABE-C4DF142AD30C}"/>
    <hyperlink ref="F31" r:id="rId6" xr:uid="{3EF3E61A-7273-466D-B314-377C8F5038F2}"/>
    <hyperlink ref="F38" r:id="rId7" xr:uid="{5C51A251-70DF-4F69-BED6-966EB40DFA70}"/>
    <hyperlink ref="F39" r:id="rId8" xr:uid="{F3F64B4F-FC86-4E9E-B3F8-D76CCF143CAC}"/>
    <hyperlink ref="F40" r:id="rId9" xr:uid="{8E20C856-BDA4-43BD-BC2D-FD4F2D392D19}"/>
    <hyperlink ref="F41" r:id="rId10" xr:uid="{C71AA7E5-7643-4429-BC73-94A52B985080}"/>
    <hyperlink ref="F37" r:id="rId11" xr:uid="{F2C06255-C1D7-445D-A46B-3F6106FF118A}"/>
    <hyperlink ref="F48" r:id="rId12" xr:uid="{A64C0A5F-3E3B-4C99-B871-C5F11803D2FC}"/>
    <hyperlink ref="F47" r:id="rId13" xr:uid="{9A62E72F-4095-4FFB-BD11-3ED26895B559}"/>
    <hyperlink ref="P6" r:id="rId14" xr:uid="{5B47EE72-C714-4B34-88B3-F1A3E410799B}"/>
    <hyperlink ref="P7" r:id="rId15" xr:uid="{C8D9B8CB-3919-4D21-91B7-11641DD60DAB}"/>
  </hyperlinks>
  <pageMargins left="0.7" right="0.7" top="0.75" bottom="0.75" header="0.3" footer="0.3"/>
  <pageSetup paperSize="9" orientation="portrait" r:id="rId1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4DC8-A696-45D8-BB36-46FA2CB055AF}">
  <dimension ref="A3:M30"/>
  <sheetViews>
    <sheetView zoomScale="85" zoomScaleNormal="85" workbookViewId="0">
      <selection activeCell="B8" sqref="B8"/>
    </sheetView>
  </sheetViews>
  <sheetFormatPr baseColWidth="10" defaultColWidth="8.83203125" defaultRowHeight="15" x14ac:dyDescent="0.2"/>
  <cols>
    <col min="1" max="1" width="28.5" bestFit="1" customWidth="1"/>
    <col min="2" max="3" width="15.5" customWidth="1"/>
    <col min="4" max="4" width="14" customWidth="1"/>
    <col min="5" max="5" width="14.33203125" customWidth="1"/>
    <col min="6" max="6" width="17.1640625" customWidth="1"/>
    <col min="7" max="7" width="14.33203125" customWidth="1"/>
    <col min="8" max="8" width="18.83203125" customWidth="1"/>
    <col min="9" max="9" width="17.5" customWidth="1"/>
    <col min="10" max="10" width="17.33203125" customWidth="1"/>
    <col min="11" max="11" width="15.5" customWidth="1"/>
    <col min="12" max="13" width="14.33203125" bestFit="1" customWidth="1"/>
    <col min="15" max="15" width="11.1640625" bestFit="1" customWidth="1"/>
  </cols>
  <sheetData>
    <row r="3" spans="1:13" ht="24" x14ac:dyDescent="0.3">
      <c r="A3" s="1321" t="s">
        <v>45</v>
      </c>
      <c r="B3" s="1321"/>
      <c r="C3" s="1321"/>
      <c r="D3" s="1321"/>
      <c r="E3" s="1321"/>
      <c r="F3" s="1321"/>
      <c r="G3" s="1321"/>
      <c r="H3" s="1321"/>
      <c r="I3" s="1321"/>
      <c r="J3" s="1321"/>
      <c r="K3" s="1321"/>
      <c r="L3" s="1321"/>
      <c r="M3" s="1321"/>
    </row>
    <row r="4" spans="1:13" x14ac:dyDescent="0.2">
      <c r="A4" s="866" t="s">
        <v>251</v>
      </c>
      <c r="B4" s="1322" t="s">
        <v>930</v>
      </c>
      <c r="C4" s="1322"/>
      <c r="D4" s="1322"/>
      <c r="E4" s="1322"/>
      <c r="F4" s="1322"/>
      <c r="G4" s="1322"/>
      <c r="H4" s="1322"/>
      <c r="I4" s="1322"/>
      <c r="J4" s="1322"/>
      <c r="K4" s="1322"/>
      <c r="L4" s="1322"/>
      <c r="M4" s="1322"/>
    </row>
    <row r="5" spans="1:13" x14ac:dyDescent="0.2">
      <c r="A5" s="852" t="s">
        <v>252</v>
      </c>
      <c r="B5" s="1328" t="s">
        <v>931</v>
      </c>
      <c r="C5" s="1324"/>
      <c r="D5" s="1324"/>
      <c r="E5" s="1325"/>
      <c r="F5" s="853" t="s">
        <v>932</v>
      </c>
      <c r="G5" s="1329">
        <v>45964</v>
      </c>
      <c r="H5" s="1325"/>
      <c r="I5" s="852" t="s">
        <v>256</v>
      </c>
      <c r="J5" s="1326">
        <v>1</v>
      </c>
      <c r="K5" s="1326"/>
      <c r="L5" s="1326"/>
      <c r="M5" s="1326"/>
    </row>
    <row r="6" spans="1:13" x14ac:dyDescent="0.2">
      <c r="A6" s="852" t="s">
        <v>258</v>
      </c>
      <c r="B6" s="1323" t="s">
        <v>933</v>
      </c>
      <c r="C6" s="1324"/>
      <c r="D6" s="1324"/>
      <c r="E6" s="1325"/>
      <c r="F6" s="852" t="s">
        <v>259</v>
      </c>
      <c r="G6" s="1323" t="s">
        <v>933</v>
      </c>
      <c r="H6" s="1325"/>
      <c r="I6" s="852" t="s">
        <v>260</v>
      </c>
      <c r="J6" s="1327">
        <v>46001</v>
      </c>
      <c r="K6" s="1327"/>
      <c r="L6" s="1327"/>
      <c r="M6" s="1327"/>
    </row>
    <row r="7" spans="1:13" x14ac:dyDescent="0.2">
      <c r="A7" s="135"/>
      <c r="B7" s="625">
        <v>2026</v>
      </c>
      <c r="C7" s="625">
        <v>2027</v>
      </c>
      <c r="D7" s="625">
        <v>2028</v>
      </c>
      <c r="E7" s="625">
        <v>2029</v>
      </c>
      <c r="F7" s="625">
        <v>2030</v>
      </c>
      <c r="G7" s="625">
        <v>2032</v>
      </c>
      <c r="H7" s="625">
        <v>2033</v>
      </c>
      <c r="I7" s="625">
        <v>2034</v>
      </c>
      <c r="J7" s="840">
        <v>2035</v>
      </c>
      <c r="K7" s="625">
        <v>2036</v>
      </c>
      <c r="L7" s="625">
        <v>2037</v>
      </c>
      <c r="M7" s="625">
        <v>2038</v>
      </c>
    </row>
    <row r="8" spans="1:13" x14ac:dyDescent="0.2">
      <c r="A8" s="851" t="s">
        <v>934</v>
      </c>
      <c r="B8" s="763">
        <f>'Budget lister'!N15</f>
        <v>83193600</v>
      </c>
      <c r="C8" s="763">
        <f>B8*1.04</f>
        <v>86521344</v>
      </c>
      <c r="D8" s="763">
        <f t="shared" ref="D8:M13" si="0">C8*1.04</f>
        <v>89982197.760000005</v>
      </c>
      <c r="E8" s="763">
        <f t="shared" si="0"/>
        <v>93581485.670400009</v>
      </c>
      <c r="F8" s="763">
        <f t="shared" si="0"/>
        <v>97324745.09721601</v>
      </c>
      <c r="G8" s="763">
        <f t="shared" si="0"/>
        <v>101217734.90110466</v>
      </c>
      <c r="H8" s="763">
        <f t="shared" si="0"/>
        <v>105266444.29714885</v>
      </c>
      <c r="I8" s="763">
        <f t="shared" si="0"/>
        <v>109477102.06903481</v>
      </c>
      <c r="J8" s="763">
        <f t="shared" si="0"/>
        <v>113856186.15179621</v>
      </c>
      <c r="K8" s="763">
        <f t="shared" si="0"/>
        <v>118410433.59786806</v>
      </c>
      <c r="L8" s="763">
        <f t="shared" si="0"/>
        <v>123146850.94178279</v>
      </c>
      <c r="M8" s="763">
        <f t="shared" si="0"/>
        <v>128072724.9794541</v>
      </c>
    </row>
    <row r="9" spans="1:13" x14ac:dyDescent="0.2">
      <c r="A9" s="6" t="s">
        <v>816</v>
      </c>
      <c r="B9" s="591">
        <f>'3 Organisation &amp; arbejdsopg.'!J47*12</f>
        <v>14820000</v>
      </c>
      <c r="C9" s="591">
        <f t="shared" ref="C9:C13" si="1">B9*1.04</f>
        <v>15412800</v>
      </c>
      <c r="D9" s="591">
        <f t="shared" ref="D9:K13" si="2">C9*1.04</f>
        <v>16029312</v>
      </c>
      <c r="E9" s="591">
        <f t="shared" si="2"/>
        <v>16670484.48</v>
      </c>
      <c r="F9" s="591">
        <f t="shared" si="2"/>
        <v>17337303.859200001</v>
      </c>
      <c r="G9" s="591">
        <f t="shared" si="2"/>
        <v>18030796.013568003</v>
      </c>
      <c r="H9" s="591">
        <f t="shared" si="2"/>
        <v>18752027.854110725</v>
      </c>
      <c r="I9" s="591">
        <f t="shared" si="2"/>
        <v>19502108.968275156</v>
      </c>
      <c r="J9" s="591">
        <f t="shared" si="2"/>
        <v>20282193.327006161</v>
      </c>
      <c r="K9" s="591">
        <f t="shared" si="2"/>
        <v>21093481.060086407</v>
      </c>
      <c r="L9" s="591">
        <f t="shared" si="0"/>
        <v>21937220.302489866</v>
      </c>
      <c r="M9" s="591">
        <f>L9*1.04</f>
        <v>22814709.11458946</v>
      </c>
    </row>
    <row r="10" spans="1:13" ht="14.75" customHeight="1" x14ac:dyDescent="0.2">
      <c r="A10" s="6" t="s">
        <v>935</v>
      </c>
      <c r="B10" s="591">
        <f>'11 Lagerstyring'!O151</f>
        <v>899540</v>
      </c>
      <c r="C10" s="591">
        <f t="shared" si="1"/>
        <v>935521.6</v>
      </c>
      <c r="D10" s="591">
        <f t="shared" si="2"/>
        <v>972942.46400000004</v>
      </c>
      <c r="E10" s="591">
        <f t="shared" si="2"/>
        <v>1011860.1625600001</v>
      </c>
      <c r="F10" s="591">
        <f t="shared" si="2"/>
        <v>1052334.5690624001</v>
      </c>
      <c r="G10" s="591">
        <f t="shared" si="2"/>
        <v>1094427.9518248963</v>
      </c>
      <c r="H10" s="591">
        <f t="shared" si="2"/>
        <v>1138205.0698978922</v>
      </c>
      <c r="I10" s="591">
        <f t="shared" si="2"/>
        <v>1183733.272693808</v>
      </c>
      <c r="J10" s="591">
        <f t="shared" si="2"/>
        <v>1231082.6036015602</v>
      </c>
      <c r="K10" s="591">
        <f t="shared" si="2"/>
        <v>1280325.9077456228</v>
      </c>
      <c r="L10" s="591">
        <f t="shared" si="0"/>
        <v>1331538.9440554478</v>
      </c>
      <c r="M10" s="591">
        <f>L10*1.04</f>
        <v>1384800.5018176658</v>
      </c>
    </row>
    <row r="11" spans="1:13" x14ac:dyDescent="0.2">
      <c r="A11" s="6" t="s">
        <v>936</v>
      </c>
      <c r="B11" s="591">
        <f>'11 Lagerstyring'!O149</f>
        <v>4969885.84</v>
      </c>
      <c r="C11" s="591">
        <f t="shared" si="1"/>
        <v>5168681.2736</v>
      </c>
      <c r="D11" s="591">
        <f t="shared" si="2"/>
        <v>5375428.5245439997</v>
      </c>
      <c r="E11" s="591">
        <f t="shared" si="2"/>
        <v>5590445.6655257596</v>
      </c>
      <c r="F11" s="591">
        <f t="shared" si="2"/>
        <v>5814063.49214679</v>
      </c>
      <c r="G11" s="591">
        <f t="shared" si="2"/>
        <v>6046626.0318326615</v>
      </c>
      <c r="H11" s="591">
        <f t="shared" si="2"/>
        <v>6288491.0731059685</v>
      </c>
      <c r="I11" s="591">
        <f t="shared" si="2"/>
        <v>6540030.7160302075</v>
      </c>
      <c r="J11" s="591">
        <f t="shared" si="2"/>
        <v>6801631.9446714157</v>
      </c>
      <c r="K11" s="591">
        <f t="shared" si="2"/>
        <v>7073697.2224582722</v>
      </c>
      <c r="L11" s="591">
        <f t="shared" si="0"/>
        <v>7356645.111356603</v>
      </c>
      <c r="M11" s="591">
        <f>L11*1.04</f>
        <v>7650910.9158108672</v>
      </c>
    </row>
    <row r="12" spans="1:13" x14ac:dyDescent="0.2">
      <c r="A12" s="6" t="s">
        <v>937</v>
      </c>
      <c r="B12" s="591">
        <f>'5 Forsyningsstrategi'!A40</f>
        <v>560688.5</v>
      </c>
      <c r="C12" s="591">
        <f t="shared" si="1"/>
        <v>583116.04</v>
      </c>
      <c r="D12" s="591">
        <f t="shared" si="2"/>
        <v>606440.68160000001</v>
      </c>
      <c r="E12" s="591">
        <f t="shared" si="2"/>
        <v>630698.30886400002</v>
      </c>
      <c r="F12" s="591">
        <f t="shared" si="2"/>
        <v>655926.24121856003</v>
      </c>
      <c r="G12" s="591">
        <f t="shared" si="2"/>
        <v>682163.29086730245</v>
      </c>
      <c r="H12" s="591">
        <f t="shared" si="2"/>
        <v>709449.82250199455</v>
      </c>
      <c r="I12" s="591">
        <f t="shared" si="2"/>
        <v>737827.81540207437</v>
      </c>
      <c r="J12" s="591">
        <f t="shared" si="2"/>
        <v>767340.92801815737</v>
      </c>
      <c r="K12" s="591">
        <f t="shared" si="2"/>
        <v>798034.56513888366</v>
      </c>
      <c r="L12" s="591">
        <f t="shared" si="0"/>
        <v>829955.94774443901</v>
      </c>
      <c r="M12" s="591">
        <f>L12*1.04</f>
        <v>863154.18565421656</v>
      </c>
    </row>
    <row r="13" spans="1:13" x14ac:dyDescent="0.2">
      <c r="A13" s="6" t="s">
        <v>938</v>
      </c>
      <c r="B13" s="591">
        <f>B9+B10+B11+B12</f>
        <v>21250114.34</v>
      </c>
      <c r="C13" s="591">
        <f t="shared" si="1"/>
        <v>22100118.913600001</v>
      </c>
      <c r="D13" s="591">
        <f t="shared" si="2"/>
        <v>22984123.670144003</v>
      </c>
      <c r="E13" s="591">
        <f t="shared" si="2"/>
        <v>23903488.616949763</v>
      </c>
      <c r="F13" s="591">
        <f t="shared" si="2"/>
        <v>24859628.161627755</v>
      </c>
      <c r="G13" s="591">
        <f t="shared" si="2"/>
        <v>25854013.288092867</v>
      </c>
      <c r="H13" s="591">
        <f t="shared" si="2"/>
        <v>26888173.819616582</v>
      </c>
      <c r="I13" s="591">
        <f t="shared" si="2"/>
        <v>27963700.772401247</v>
      </c>
      <c r="J13" s="591">
        <f t="shared" si="2"/>
        <v>29082248.8032973</v>
      </c>
      <c r="K13" s="591">
        <f t="shared" si="2"/>
        <v>30245538.755429193</v>
      </c>
      <c r="L13" s="591">
        <f t="shared" si="0"/>
        <v>31455360.305646364</v>
      </c>
      <c r="M13" s="591">
        <f>L13*1.04</f>
        <v>32713574.717872221</v>
      </c>
    </row>
    <row r="14" spans="1:13" x14ac:dyDescent="0.2">
      <c r="A14" s="764" t="s">
        <v>939</v>
      </c>
      <c r="B14" s="765">
        <f>B8-B13</f>
        <v>61943485.659999996</v>
      </c>
      <c r="C14" s="765">
        <f t="shared" ref="C14" si="3">C8-C13</f>
        <v>64421225.086400002</v>
      </c>
      <c r="D14" s="765">
        <f t="shared" ref="D14:K14" si="4">D8-D13</f>
        <v>66998074.089855999</v>
      </c>
      <c r="E14" s="765">
        <f t="shared" si="4"/>
        <v>69677997.053450242</v>
      </c>
      <c r="F14" s="765">
        <f t="shared" si="4"/>
        <v>72465116.935588256</v>
      </c>
      <c r="G14" s="765">
        <f t="shared" si="4"/>
        <v>75363721.613011792</v>
      </c>
      <c r="H14" s="765">
        <f t="shared" si="4"/>
        <v>78378270.477532268</v>
      </c>
      <c r="I14" s="765">
        <f t="shared" si="4"/>
        <v>81513401.296633571</v>
      </c>
      <c r="J14" s="765">
        <f t="shared" si="4"/>
        <v>84773937.348498911</v>
      </c>
      <c r="K14" s="765">
        <f t="shared" si="4"/>
        <v>88164894.842438862</v>
      </c>
      <c r="L14" s="765">
        <f t="shared" ref="L14" si="5">L8-L13</f>
        <v>91691490.636136428</v>
      </c>
      <c r="M14" s="765">
        <f>M8-M13</f>
        <v>95359150.261581883</v>
      </c>
    </row>
    <row r="15" spans="1:13" x14ac:dyDescent="0.2">
      <c r="A15" s="6" t="s">
        <v>940</v>
      </c>
      <c r="B15" s="591">
        <f>'Budget lister'!K18*12</f>
        <v>339500</v>
      </c>
      <c r="C15" s="591">
        <f>B15*1.04</f>
        <v>353080</v>
      </c>
      <c r="D15" s="591">
        <f t="shared" ref="D15:M15" si="6">C15*1.04</f>
        <v>367203.2</v>
      </c>
      <c r="E15" s="591">
        <f t="shared" si="6"/>
        <v>381891.32800000004</v>
      </c>
      <c r="F15" s="591">
        <f t="shared" si="6"/>
        <v>397166.98112000007</v>
      </c>
      <c r="G15" s="591">
        <f t="shared" si="6"/>
        <v>413053.66036480007</v>
      </c>
      <c r="H15" s="591">
        <f t="shared" si="6"/>
        <v>429575.80677939206</v>
      </c>
      <c r="I15" s="591">
        <f t="shared" si="6"/>
        <v>446758.83905056777</v>
      </c>
      <c r="J15" s="591">
        <f t="shared" si="6"/>
        <v>464629.1926125905</v>
      </c>
      <c r="K15" s="591">
        <f t="shared" si="6"/>
        <v>483214.36031709414</v>
      </c>
      <c r="L15" s="591">
        <f t="shared" si="6"/>
        <v>502542.93472977792</v>
      </c>
      <c r="M15" s="591">
        <f t="shared" si="6"/>
        <v>522644.65211896907</v>
      </c>
    </row>
    <row r="16" spans="1:13" x14ac:dyDescent="0.2">
      <c r="A16" s="6" t="s">
        <v>941</v>
      </c>
      <c r="B16" s="591">
        <f>'10 Prod.plan&amp;vedligehold'!I16</f>
        <v>116000</v>
      </c>
      <c r="C16" s="591">
        <f>B16*1.04</f>
        <v>120640</v>
      </c>
      <c r="D16" s="591">
        <f t="shared" ref="D16:M16" si="7">C16*1.04</f>
        <v>125465.60000000001</v>
      </c>
      <c r="E16" s="591">
        <f t="shared" si="7"/>
        <v>130484.22400000002</v>
      </c>
      <c r="F16" s="591">
        <f t="shared" si="7"/>
        <v>135703.59296000001</v>
      </c>
      <c r="G16" s="591">
        <f t="shared" si="7"/>
        <v>141131.73667840002</v>
      </c>
      <c r="H16" s="591">
        <f t="shared" si="7"/>
        <v>146777.00614553603</v>
      </c>
      <c r="I16" s="591">
        <f t="shared" si="7"/>
        <v>152648.08639135747</v>
      </c>
      <c r="J16" s="591">
        <f t="shared" si="7"/>
        <v>158754.00984701177</v>
      </c>
      <c r="K16" s="591">
        <f t="shared" si="7"/>
        <v>165104.17024089224</v>
      </c>
      <c r="L16" s="591">
        <f t="shared" si="7"/>
        <v>171708.33705052795</v>
      </c>
      <c r="M16" s="591">
        <f t="shared" si="7"/>
        <v>178576.67053254906</v>
      </c>
    </row>
    <row r="17" spans="1:13" x14ac:dyDescent="0.2">
      <c r="A17" s="6" t="s">
        <v>942</v>
      </c>
      <c r="B17" s="591">
        <f>'Budget lister'!D103</f>
        <v>185430</v>
      </c>
      <c r="C17" s="591">
        <f>B17*1.04</f>
        <v>192847.2</v>
      </c>
      <c r="D17" s="591">
        <f t="shared" ref="D17:M17" si="8">C17*1.04</f>
        <v>200561.08800000002</v>
      </c>
      <c r="E17" s="591">
        <f t="shared" si="8"/>
        <v>208583.53152000002</v>
      </c>
      <c r="F17" s="591">
        <f t="shared" si="8"/>
        <v>216926.87278080004</v>
      </c>
      <c r="G17" s="591">
        <f t="shared" si="8"/>
        <v>225603.94769203206</v>
      </c>
      <c r="H17" s="591">
        <f t="shared" si="8"/>
        <v>234628.10559971334</v>
      </c>
      <c r="I17" s="591">
        <f t="shared" si="8"/>
        <v>244013.22982370187</v>
      </c>
      <c r="J17" s="591">
        <f t="shared" si="8"/>
        <v>253773.75901664994</v>
      </c>
      <c r="K17" s="591">
        <f t="shared" si="8"/>
        <v>263924.70937731594</v>
      </c>
      <c r="L17" s="591">
        <f t="shared" si="8"/>
        <v>274481.69775240857</v>
      </c>
      <c r="M17" s="591">
        <f t="shared" si="8"/>
        <v>285460.9656625049</v>
      </c>
    </row>
    <row r="18" spans="1:13" x14ac:dyDescent="0.2">
      <c r="A18" s="6" t="s">
        <v>838</v>
      </c>
      <c r="B18" s="591">
        <f>'Budget lister'!E112</f>
        <v>112854.16</v>
      </c>
      <c r="C18" s="591">
        <f>B18*1.04</f>
        <v>117368.32640000001</v>
      </c>
      <c r="D18" s="591">
        <f t="shared" ref="D18:M18" si="9">C18*1.04</f>
        <v>122063.059456</v>
      </c>
      <c r="E18" s="591">
        <f t="shared" si="9"/>
        <v>126945.58183424</v>
      </c>
      <c r="F18" s="591">
        <f t="shared" si="9"/>
        <v>132023.40510760961</v>
      </c>
      <c r="G18" s="591">
        <f t="shared" si="9"/>
        <v>137304.341311914</v>
      </c>
      <c r="H18" s="591">
        <f t="shared" si="9"/>
        <v>142796.51496439058</v>
      </c>
      <c r="I18" s="591">
        <f t="shared" si="9"/>
        <v>148508.37556296619</v>
      </c>
      <c r="J18" s="591">
        <f t="shared" si="9"/>
        <v>154448.71058548483</v>
      </c>
      <c r="K18" s="591">
        <f t="shared" si="9"/>
        <v>160626.65900890424</v>
      </c>
      <c r="L18" s="591">
        <f t="shared" si="9"/>
        <v>167051.72536926041</v>
      </c>
      <c r="M18" s="591">
        <f t="shared" si="9"/>
        <v>173733.79438403083</v>
      </c>
    </row>
    <row r="19" spans="1:13" x14ac:dyDescent="0.2">
      <c r="A19" s="6" t="s">
        <v>943</v>
      </c>
      <c r="B19" s="591">
        <f>'Budget lister'!C119</f>
        <v>64800</v>
      </c>
      <c r="C19" s="591">
        <f>B19*1.04</f>
        <v>67392</v>
      </c>
      <c r="D19" s="591">
        <f t="shared" ref="D19:M19" si="10">C19*1.04</f>
        <v>70087.680000000008</v>
      </c>
      <c r="E19" s="591">
        <f t="shared" si="10"/>
        <v>72891.187200000015</v>
      </c>
      <c r="F19" s="591">
        <f t="shared" si="10"/>
        <v>75806.834688000017</v>
      </c>
      <c r="G19" s="591">
        <f t="shared" si="10"/>
        <v>78839.108075520024</v>
      </c>
      <c r="H19" s="591">
        <f t="shared" si="10"/>
        <v>81992.672398540832</v>
      </c>
      <c r="I19" s="591">
        <f t="shared" si="10"/>
        <v>85272.379294482467</v>
      </c>
      <c r="J19" s="591">
        <f t="shared" si="10"/>
        <v>88683.274466261762</v>
      </c>
      <c r="K19" s="591">
        <f t="shared" si="10"/>
        <v>92230.605444912231</v>
      </c>
      <c r="L19" s="591">
        <f t="shared" si="10"/>
        <v>95919.829662708726</v>
      </c>
      <c r="M19" s="591">
        <f t="shared" si="10"/>
        <v>99756.622849217078</v>
      </c>
    </row>
    <row r="20" spans="1:13" x14ac:dyDescent="0.2">
      <c r="A20" s="6" t="s">
        <v>944</v>
      </c>
      <c r="B20" s="591">
        <f>SUM(B15:B19)</f>
        <v>818584.16</v>
      </c>
      <c r="C20" s="591">
        <f t="shared" ref="C20:I20" si="11">B20*1.04</f>
        <v>851327.52640000009</v>
      </c>
      <c r="D20" s="591">
        <f t="shared" si="11"/>
        <v>885380.62745600007</v>
      </c>
      <c r="E20" s="591">
        <f t="shared" si="11"/>
        <v>920795.85255424015</v>
      </c>
      <c r="F20" s="591">
        <f t="shared" si="11"/>
        <v>957627.68665640976</v>
      </c>
      <c r="G20" s="591">
        <f t="shared" si="11"/>
        <v>995932.79412266624</v>
      </c>
      <c r="H20" s="591">
        <f t="shared" si="11"/>
        <v>1035770.105887573</v>
      </c>
      <c r="I20" s="591">
        <f t="shared" si="11"/>
        <v>1077200.9101230758</v>
      </c>
      <c r="J20" s="591">
        <f t="shared" ref="J20" si="12">I20*1.04</f>
        <v>1120288.9465279989</v>
      </c>
      <c r="K20" s="591">
        <f t="shared" ref="K20" si="13">J20*1.04</f>
        <v>1165100.5043891189</v>
      </c>
      <c r="L20" s="591">
        <f t="shared" ref="L20" si="14">K20*1.04</f>
        <v>1211704.5245646837</v>
      </c>
      <c r="M20" s="591">
        <f t="shared" ref="M20" si="15">L20*1.04</f>
        <v>1260172.7055472711</v>
      </c>
    </row>
    <row r="21" spans="1:13" x14ac:dyDescent="0.2">
      <c r="A21" s="764" t="s">
        <v>945</v>
      </c>
      <c r="B21" s="765">
        <f t="shared" ref="B21:M21" si="16">B14-B20</f>
        <v>61124901.5</v>
      </c>
      <c r="C21" s="765">
        <f t="shared" si="16"/>
        <v>63569897.560000002</v>
      </c>
      <c r="D21" s="765">
        <f t="shared" si="16"/>
        <v>66112693.462399997</v>
      </c>
      <c r="E21" s="765">
        <f t="shared" si="16"/>
        <v>68757201.200895995</v>
      </c>
      <c r="F21" s="765">
        <f t="shared" si="16"/>
        <v>71507489.24893184</v>
      </c>
      <c r="G21" s="765">
        <f t="shared" si="16"/>
        <v>74367788.818889126</v>
      </c>
      <c r="H21" s="765">
        <f t="shared" si="16"/>
        <v>77342500.371644691</v>
      </c>
      <c r="I21" s="765">
        <f t="shared" si="16"/>
        <v>80436200.386510491</v>
      </c>
      <c r="J21" s="765">
        <f t="shared" si="16"/>
        <v>83653648.401970908</v>
      </c>
      <c r="K21" s="765">
        <f t="shared" si="16"/>
        <v>86999794.33804974</v>
      </c>
      <c r="L21" s="765">
        <f t="shared" si="16"/>
        <v>90479786.111571744</v>
      </c>
      <c r="M21" s="765">
        <f t="shared" si="16"/>
        <v>94098977.55603461</v>
      </c>
    </row>
    <row r="22" spans="1:13" x14ac:dyDescent="0.2">
      <c r="A22" s="6" t="s">
        <v>903</v>
      </c>
      <c r="B22" s="591">
        <f>'Budget lister'!E83</f>
        <v>348121.83333333331</v>
      </c>
      <c r="C22" s="591">
        <f>'14 Driftbudget'!B22</f>
        <v>348121.83333333331</v>
      </c>
      <c r="D22" s="591">
        <f t="shared" ref="D22:I22" si="17">C22</f>
        <v>348121.83333333331</v>
      </c>
      <c r="E22" s="591">
        <f t="shared" si="17"/>
        <v>348121.83333333331</v>
      </c>
      <c r="F22" s="591">
        <f t="shared" si="17"/>
        <v>348121.83333333331</v>
      </c>
      <c r="G22" s="591">
        <f t="shared" si="17"/>
        <v>348121.83333333331</v>
      </c>
      <c r="H22" s="591">
        <f t="shared" si="17"/>
        <v>348121.83333333331</v>
      </c>
      <c r="I22" s="591">
        <f t="shared" si="17"/>
        <v>348121.83333333331</v>
      </c>
      <c r="J22" s="591">
        <f t="shared" ref="J22" si="18">I22</f>
        <v>348121.83333333331</v>
      </c>
      <c r="K22" s="591">
        <f t="shared" ref="K22:L22" si="19">J22</f>
        <v>348121.83333333331</v>
      </c>
      <c r="L22" s="591">
        <f t="shared" si="19"/>
        <v>348121.83333333331</v>
      </c>
      <c r="M22" s="591">
        <f t="shared" ref="M22" si="20">L22</f>
        <v>348121.83333333331</v>
      </c>
    </row>
    <row r="23" spans="1:13" x14ac:dyDescent="0.2">
      <c r="A23" s="764" t="s">
        <v>946</v>
      </c>
      <c r="B23" s="765">
        <f t="shared" ref="B23:K23" si="21">B21-B22</f>
        <v>60776779.666666664</v>
      </c>
      <c r="C23" s="765">
        <f t="shared" si="21"/>
        <v>63221775.726666667</v>
      </c>
      <c r="D23" s="765">
        <f t="shared" si="21"/>
        <v>65764571.629066661</v>
      </c>
      <c r="E23" s="765">
        <f t="shared" si="21"/>
        <v>68409079.367562667</v>
      </c>
      <c r="F23" s="765">
        <f t="shared" si="21"/>
        <v>71159367.415598512</v>
      </c>
      <c r="G23" s="765">
        <f t="shared" si="21"/>
        <v>74019666.985555798</v>
      </c>
      <c r="H23" s="765">
        <f t="shared" si="21"/>
        <v>76994378.538311362</v>
      </c>
      <c r="I23" s="765">
        <f t="shared" si="21"/>
        <v>80088078.553177163</v>
      </c>
      <c r="J23" s="765">
        <f t="shared" si="21"/>
        <v>83305526.56863758</v>
      </c>
      <c r="K23" s="765">
        <f t="shared" si="21"/>
        <v>86651672.504716411</v>
      </c>
      <c r="L23" s="765">
        <f t="shared" ref="L23:M23" si="22">L21-L22</f>
        <v>90131664.278238416</v>
      </c>
      <c r="M23" s="765">
        <f t="shared" si="22"/>
        <v>93750855.722701281</v>
      </c>
    </row>
    <row r="24" spans="1:13" x14ac:dyDescent="0.2">
      <c r="A24" s="6" t="s">
        <v>947</v>
      </c>
      <c r="B24" s="933">
        <f t="shared" ref="B24:M24" si="23">B23*0.22</f>
        <v>13370891.526666665</v>
      </c>
      <c r="C24" s="933">
        <f t="shared" si="23"/>
        <v>13908790.659866666</v>
      </c>
      <c r="D24" s="933">
        <f t="shared" si="23"/>
        <v>14468205.758394666</v>
      </c>
      <c r="E24" s="933">
        <f t="shared" si="23"/>
        <v>15049997.460863786</v>
      </c>
      <c r="F24" s="933">
        <f t="shared" si="23"/>
        <v>15655060.831431672</v>
      </c>
      <c r="G24" s="933">
        <f t="shared" si="23"/>
        <v>16284326.736822275</v>
      </c>
      <c r="H24" s="933">
        <f t="shared" si="23"/>
        <v>16938763.278428499</v>
      </c>
      <c r="I24" s="933">
        <f t="shared" si="23"/>
        <v>17619377.281698976</v>
      </c>
      <c r="J24" s="933">
        <f t="shared" si="23"/>
        <v>18327215.845100269</v>
      </c>
      <c r="K24" s="933">
        <f t="shared" si="23"/>
        <v>19063367.951037612</v>
      </c>
      <c r="L24" s="933">
        <f t="shared" si="23"/>
        <v>19828966.141212452</v>
      </c>
      <c r="M24" s="933">
        <f t="shared" si="23"/>
        <v>20625188.258994281</v>
      </c>
    </row>
    <row r="25" spans="1:13" x14ac:dyDescent="0.2">
      <c r="A25" s="764" t="s">
        <v>948</v>
      </c>
      <c r="B25" s="934">
        <f t="shared" ref="B25:M25" si="24">B23-B24</f>
        <v>47405888.140000001</v>
      </c>
      <c r="C25" s="934">
        <f t="shared" si="24"/>
        <v>49312985.066799998</v>
      </c>
      <c r="D25" s="934">
        <f t="shared" si="24"/>
        <v>51296365.870671995</v>
      </c>
      <c r="E25" s="934">
        <f t="shared" si="24"/>
        <v>53359081.906698883</v>
      </c>
      <c r="F25" s="934">
        <f t="shared" si="24"/>
        <v>55504306.58416684</v>
      </c>
      <c r="G25" s="934">
        <f t="shared" si="24"/>
        <v>57735340.248733521</v>
      </c>
      <c r="H25" s="934">
        <f t="shared" si="24"/>
        <v>60055615.259882867</v>
      </c>
      <c r="I25" s="934">
        <f t="shared" si="24"/>
        <v>62468701.271478191</v>
      </c>
      <c r="J25" s="934">
        <f t="shared" si="24"/>
        <v>64978310.723537311</v>
      </c>
      <c r="K25" s="934">
        <f t="shared" si="24"/>
        <v>67588304.553678796</v>
      </c>
      <c r="L25" s="934">
        <f t="shared" si="24"/>
        <v>70302698.137025967</v>
      </c>
      <c r="M25" s="934">
        <f t="shared" si="24"/>
        <v>73125667.463707</v>
      </c>
    </row>
    <row r="30" spans="1:13" x14ac:dyDescent="0.2">
      <c r="I30" s="712"/>
    </row>
  </sheetData>
  <mergeCells count="8">
    <mergeCell ref="A3:M3"/>
    <mergeCell ref="B4:M4"/>
    <mergeCell ref="B6:E6"/>
    <mergeCell ref="G6:H6"/>
    <mergeCell ref="J5:M5"/>
    <mergeCell ref="J6:M6"/>
    <mergeCell ref="B5:E5"/>
    <mergeCell ref="G5:H5"/>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573C-C90E-41E8-A54B-8EFB1D180208}">
  <dimension ref="A1:K30"/>
  <sheetViews>
    <sheetView tabSelected="1" zoomScale="74" zoomScaleNormal="100" workbookViewId="0">
      <selection activeCell="G34" sqref="G34"/>
    </sheetView>
  </sheetViews>
  <sheetFormatPr baseColWidth="10" defaultColWidth="8.83203125" defaultRowHeight="15" x14ac:dyDescent="0.2"/>
  <cols>
    <col min="1" max="1" width="9" bestFit="1" customWidth="1"/>
    <col min="2" max="2" width="32.33203125" bestFit="1" customWidth="1"/>
    <col min="3" max="3" width="16.33203125" bestFit="1" customWidth="1"/>
    <col min="4" max="4" width="15.33203125" bestFit="1" customWidth="1"/>
    <col min="5" max="5" width="12" bestFit="1" customWidth="1"/>
    <col min="6" max="6" width="36.33203125" bestFit="1" customWidth="1"/>
    <col min="7" max="7" width="19.33203125" bestFit="1" customWidth="1"/>
    <col min="8" max="8" width="16.33203125" bestFit="1" customWidth="1"/>
    <col min="9" max="9" width="9.6640625" customWidth="1"/>
  </cols>
  <sheetData>
    <row r="1" spans="1:11" ht="24" x14ac:dyDescent="0.3">
      <c r="B1" s="875" t="s">
        <v>949</v>
      </c>
      <c r="C1" s="876"/>
      <c r="D1" s="876"/>
      <c r="E1" s="876"/>
      <c r="F1" s="876"/>
      <c r="G1" s="876"/>
      <c r="H1" s="876"/>
      <c r="I1" s="876"/>
      <c r="J1" s="876"/>
      <c r="K1" s="877"/>
    </row>
    <row r="2" spans="1:11" x14ac:dyDescent="0.2">
      <c r="B2" s="878" t="s">
        <v>950</v>
      </c>
      <c r="C2" s="624">
        <f>'13 Etableringsbudget'!D49</f>
        <v>9285941.3000000007</v>
      </c>
      <c r="D2" s="624" t="s">
        <v>951</v>
      </c>
      <c r="E2" s="624"/>
      <c r="F2" s="624"/>
      <c r="G2" s="624"/>
      <c r="H2" s="624"/>
      <c r="I2" s="624"/>
      <c r="J2" s="624"/>
      <c r="K2" s="879"/>
    </row>
    <row r="3" spans="1:11" x14ac:dyDescent="0.2">
      <c r="B3" s="878" t="s">
        <v>952</v>
      </c>
      <c r="C3" s="624">
        <v>10</v>
      </c>
      <c r="D3" s="624" t="s">
        <v>282</v>
      </c>
      <c r="E3" s="624"/>
      <c r="F3" s="624"/>
      <c r="G3" s="624"/>
      <c r="H3" s="624"/>
      <c r="I3" s="624"/>
      <c r="J3" s="624"/>
      <c r="K3" s="879"/>
    </row>
    <row r="4" spans="1:11" x14ac:dyDescent="0.2">
      <c r="B4" s="878" t="s">
        <v>953</v>
      </c>
      <c r="C4" s="624" t="s">
        <v>954</v>
      </c>
      <c r="D4" s="624" t="s">
        <v>955</v>
      </c>
      <c r="E4" s="624"/>
      <c r="F4" s="624"/>
      <c r="G4" s="624"/>
      <c r="H4" s="624"/>
      <c r="I4" s="624"/>
      <c r="J4" s="624"/>
      <c r="K4" s="879"/>
    </row>
    <row r="5" spans="1:11" x14ac:dyDescent="0.2">
      <c r="B5" s="878" t="s">
        <v>956</v>
      </c>
      <c r="C5" s="624" t="s">
        <v>954</v>
      </c>
      <c r="D5" s="624" t="s">
        <v>955</v>
      </c>
      <c r="E5" s="624"/>
      <c r="F5" s="624"/>
      <c r="G5" s="624"/>
      <c r="H5" s="624"/>
      <c r="I5" s="624"/>
      <c r="J5" s="624"/>
      <c r="K5" s="879"/>
    </row>
    <row r="6" spans="1:11" x14ac:dyDescent="0.2">
      <c r="B6" s="878" t="s">
        <v>870</v>
      </c>
      <c r="C6" s="880">
        <f>'Budget lister'!P20</f>
        <v>0.1</v>
      </c>
      <c r="D6" s="624"/>
      <c r="E6" s="624"/>
      <c r="F6" s="624"/>
      <c r="G6" s="624"/>
      <c r="H6" s="624"/>
      <c r="I6" s="624"/>
      <c r="J6" s="624"/>
      <c r="K6" s="879"/>
    </row>
    <row r="7" spans="1:11" x14ac:dyDescent="0.2">
      <c r="B7" s="878"/>
      <c r="C7" s="624"/>
      <c r="D7" s="624"/>
      <c r="E7" s="624"/>
      <c r="F7" s="624"/>
      <c r="G7" s="624"/>
      <c r="H7" s="624"/>
      <c r="I7" s="624"/>
      <c r="J7" s="624"/>
      <c r="K7" s="879"/>
    </row>
    <row r="8" spans="1:11" ht="24" x14ac:dyDescent="0.3">
      <c r="A8" s="875" t="s">
        <v>957</v>
      </c>
      <c r="B8" s="876"/>
      <c r="C8" s="876"/>
      <c r="D8" s="876"/>
      <c r="E8" s="876"/>
      <c r="F8" s="876"/>
      <c r="G8" s="876"/>
      <c r="H8" s="876"/>
      <c r="I8" s="876"/>
      <c r="J8" s="876"/>
      <c r="K8" s="885"/>
    </row>
    <row r="9" spans="1:11" ht="49" x14ac:dyDescent="0.25">
      <c r="A9" s="886" t="s">
        <v>958</v>
      </c>
      <c r="B9" s="887" t="s">
        <v>959</v>
      </c>
      <c r="C9" s="887" t="s">
        <v>960</v>
      </c>
      <c r="D9" s="887" t="s">
        <v>961</v>
      </c>
      <c r="E9" s="888" t="s">
        <v>962</v>
      </c>
      <c r="F9" s="889" t="s">
        <v>963</v>
      </c>
      <c r="G9" s="890" t="s">
        <v>964</v>
      </c>
      <c r="H9" s="891" t="s">
        <v>965</v>
      </c>
      <c r="I9" s="892" t="s">
        <v>966</v>
      </c>
      <c r="J9" s="893"/>
      <c r="K9" s="881"/>
    </row>
    <row r="10" spans="1:11" x14ac:dyDescent="0.2">
      <c r="A10" s="882">
        <v>0</v>
      </c>
      <c r="B10" s="652">
        <f t="shared" ref="B10:B20" si="0">D10-C10</f>
        <v>-9285941.3000000007</v>
      </c>
      <c r="C10" s="652">
        <f>C2</f>
        <v>9285941.3000000007</v>
      </c>
      <c r="D10" s="652">
        <v>0</v>
      </c>
      <c r="E10" s="883">
        <f>(1+C6)^(-A10)</f>
        <v>1</v>
      </c>
      <c r="F10" s="652">
        <f t="shared" ref="F10:F20" si="1">B10*E10</f>
        <v>-9285941.3000000007</v>
      </c>
      <c r="G10" s="652">
        <f t="shared" ref="G10:G20" si="2">B10/(1+0.1)^A10</f>
        <v>-9285941.3000000007</v>
      </c>
      <c r="H10" s="652">
        <f t="shared" ref="H10:H20" si="3">B10/(1+$C$6)^A10</f>
        <v>-9285941.3000000007</v>
      </c>
      <c r="I10" s="652"/>
      <c r="J10" s="652"/>
      <c r="K10" s="879"/>
    </row>
    <row r="11" spans="1:11" x14ac:dyDescent="0.2">
      <c r="A11" s="882">
        <v>1</v>
      </c>
      <c r="B11" s="652">
        <f t="shared" si="0"/>
        <v>47405888.140000001</v>
      </c>
      <c r="C11" s="884">
        <v>0</v>
      </c>
      <c r="D11" s="652">
        <f>'14 Driftbudget'!B25</f>
        <v>47405888.140000001</v>
      </c>
      <c r="E11" s="883">
        <f>1/(1+$C$6)^A11</f>
        <v>0.90909090909090906</v>
      </c>
      <c r="F11" s="652">
        <f>B11*E11</f>
        <v>43096261.945454545</v>
      </c>
      <c r="G11" s="652">
        <f>B11/(1+0.1)^A11</f>
        <v>43096261.945454545</v>
      </c>
      <c r="H11" s="652">
        <f t="shared" si="3"/>
        <v>43096261.945454545</v>
      </c>
      <c r="I11" s="652"/>
      <c r="J11" s="652"/>
      <c r="K11" s="879"/>
    </row>
    <row r="12" spans="1:11" x14ac:dyDescent="0.2">
      <c r="A12" s="882">
        <v>2</v>
      </c>
      <c r="B12" s="652">
        <f t="shared" si="0"/>
        <v>49312985.066799998</v>
      </c>
      <c r="C12" s="884">
        <v>0</v>
      </c>
      <c r="D12" s="652">
        <f>'14 Driftbudget'!C25</f>
        <v>49312985.066799998</v>
      </c>
      <c r="E12" s="883">
        <f t="shared" ref="E12:E20" si="4">1/(1+$C$6)^A12</f>
        <v>0.82644628099173545</v>
      </c>
      <c r="F12" s="652">
        <f t="shared" si="1"/>
        <v>40754533.113057844</v>
      </c>
      <c r="G12" s="652">
        <f t="shared" si="2"/>
        <v>40754533.113057844</v>
      </c>
      <c r="H12" s="652">
        <f t="shared" si="3"/>
        <v>40754533.113057844</v>
      </c>
      <c r="I12" s="652"/>
      <c r="J12" s="652"/>
      <c r="K12" s="879"/>
    </row>
    <row r="13" spans="1:11" x14ac:dyDescent="0.2">
      <c r="A13" s="882">
        <v>3</v>
      </c>
      <c r="B13" s="652">
        <f t="shared" si="0"/>
        <v>51296365.870671995</v>
      </c>
      <c r="C13" s="884">
        <v>0</v>
      </c>
      <c r="D13" s="652">
        <f>'14 Driftbudget'!D25</f>
        <v>51296365.870671995</v>
      </c>
      <c r="E13" s="883">
        <f t="shared" si="4"/>
        <v>0.75131480090157754</v>
      </c>
      <c r="F13" s="652">
        <f t="shared" si="1"/>
        <v>38539718.911098406</v>
      </c>
      <c r="G13" s="652">
        <f t="shared" si="2"/>
        <v>38539718.911098406</v>
      </c>
      <c r="H13" s="652">
        <f t="shared" si="3"/>
        <v>38539718.911098406</v>
      </c>
      <c r="I13" s="652"/>
      <c r="J13" s="652"/>
      <c r="K13" s="879"/>
    </row>
    <row r="14" spans="1:11" x14ac:dyDescent="0.2">
      <c r="A14" s="882">
        <v>4</v>
      </c>
      <c r="B14" s="652">
        <f t="shared" si="0"/>
        <v>53359081.906698883</v>
      </c>
      <c r="C14" s="884">
        <v>0</v>
      </c>
      <c r="D14" s="652">
        <f>'14 Driftbudget'!E25</f>
        <v>53359081.906698883</v>
      </c>
      <c r="E14" s="883">
        <f t="shared" si="4"/>
        <v>0.68301345536507052</v>
      </c>
      <c r="F14" s="652">
        <f t="shared" si="1"/>
        <v>36444970.908202216</v>
      </c>
      <c r="G14" s="652">
        <f t="shared" si="2"/>
        <v>36444970.908202216</v>
      </c>
      <c r="H14" s="652">
        <f t="shared" si="3"/>
        <v>36444970.908202216</v>
      </c>
      <c r="I14" s="652"/>
      <c r="J14" s="652"/>
      <c r="K14" s="879"/>
    </row>
    <row r="15" spans="1:11" x14ac:dyDescent="0.2">
      <c r="A15" s="882">
        <v>5</v>
      </c>
      <c r="B15" s="652">
        <f t="shared" si="0"/>
        <v>55504306.58416684</v>
      </c>
      <c r="C15" s="884">
        <v>0</v>
      </c>
      <c r="D15" s="652">
        <f>'14 Driftbudget'!F25</f>
        <v>55504306.58416684</v>
      </c>
      <c r="E15" s="883">
        <f t="shared" si="4"/>
        <v>0.62092132305915493</v>
      </c>
      <c r="F15" s="652">
        <f t="shared" si="1"/>
        <v>34463807.479721837</v>
      </c>
      <c r="G15" s="652">
        <f t="shared" si="2"/>
        <v>34463807.479721837</v>
      </c>
      <c r="H15" s="652">
        <f t="shared" si="3"/>
        <v>34463807.479721837</v>
      </c>
      <c r="I15" s="652"/>
      <c r="J15" s="652"/>
      <c r="K15" s="879"/>
    </row>
    <row r="16" spans="1:11" x14ac:dyDescent="0.2">
      <c r="A16" s="882">
        <v>6</v>
      </c>
      <c r="B16" s="652">
        <f t="shared" si="0"/>
        <v>57735340.248733521</v>
      </c>
      <c r="C16" s="884">
        <v>0</v>
      </c>
      <c r="D16" s="652">
        <f>'14 Driftbudget'!G25</f>
        <v>57735340.248733521</v>
      </c>
      <c r="E16" s="883">
        <f t="shared" si="4"/>
        <v>0.56447393005377722</v>
      </c>
      <c r="F16" s="652">
        <f t="shared" si="1"/>
        <v>32590094.413194634</v>
      </c>
      <c r="G16" s="652">
        <f t="shared" si="2"/>
        <v>32590094.41319463</v>
      </c>
      <c r="H16" s="652">
        <f t="shared" si="3"/>
        <v>32590094.41319463</v>
      </c>
      <c r="I16" s="652"/>
      <c r="J16" s="652"/>
      <c r="K16" s="879"/>
    </row>
    <row r="17" spans="1:11" x14ac:dyDescent="0.2">
      <c r="A17" s="882">
        <v>7</v>
      </c>
      <c r="B17" s="652">
        <f t="shared" si="0"/>
        <v>60055615.259882867</v>
      </c>
      <c r="C17" s="884">
        <v>0</v>
      </c>
      <c r="D17" s="652">
        <f>'14 Driftbudget'!H25</f>
        <v>60055615.259882867</v>
      </c>
      <c r="E17" s="883">
        <f t="shared" si="4"/>
        <v>0.51315811823070645</v>
      </c>
      <c r="F17" s="652">
        <f t="shared" si="1"/>
        <v>30818026.515948791</v>
      </c>
      <c r="G17" s="652">
        <f t="shared" si="2"/>
        <v>30818026.515948791</v>
      </c>
      <c r="H17" s="652">
        <f t="shared" si="3"/>
        <v>30818026.515948791</v>
      </c>
      <c r="I17" s="652"/>
      <c r="J17" s="652"/>
      <c r="K17" s="879"/>
    </row>
    <row r="18" spans="1:11" x14ac:dyDescent="0.2">
      <c r="A18" s="882">
        <v>8</v>
      </c>
      <c r="B18" s="652">
        <f t="shared" si="0"/>
        <v>62468701.271478191</v>
      </c>
      <c r="C18" s="884">
        <v>0</v>
      </c>
      <c r="D18" s="652">
        <f>'14 Driftbudget'!I25</f>
        <v>62468701.271478191</v>
      </c>
      <c r="E18" s="883">
        <f t="shared" si="4"/>
        <v>0.46650738020973315</v>
      </c>
      <c r="F18" s="652">
        <f t="shared" si="1"/>
        <v>29142110.175261717</v>
      </c>
      <c r="G18" s="652">
        <f t="shared" si="2"/>
        <v>29142110.175261717</v>
      </c>
      <c r="H18" s="652">
        <f t="shared" si="3"/>
        <v>29142110.175261717</v>
      </c>
      <c r="I18" s="652"/>
      <c r="J18" s="652"/>
      <c r="K18" s="879"/>
    </row>
    <row r="19" spans="1:11" x14ac:dyDescent="0.2">
      <c r="A19" s="882">
        <v>9</v>
      </c>
      <c r="B19" s="652">
        <f t="shared" si="0"/>
        <v>64978310.723537311</v>
      </c>
      <c r="C19" s="884">
        <v>0</v>
      </c>
      <c r="D19" s="652">
        <f>'14 Driftbudget'!J25</f>
        <v>64978310.723537311</v>
      </c>
      <c r="E19" s="883">
        <f t="shared" si="4"/>
        <v>0.42409761837248466</v>
      </c>
      <c r="F19" s="652">
        <f t="shared" si="1"/>
        <v>27557146.823719453</v>
      </c>
      <c r="G19" s="652">
        <f t="shared" si="2"/>
        <v>27557146.823719453</v>
      </c>
      <c r="H19" s="652">
        <f t="shared" si="3"/>
        <v>27557146.823719453</v>
      </c>
      <c r="I19" s="652"/>
      <c r="J19" s="652"/>
      <c r="K19" s="879"/>
    </row>
    <row r="20" spans="1:11" x14ac:dyDescent="0.2">
      <c r="A20" s="882">
        <v>10</v>
      </c>
      <c r="B20" s="652">
        <f t="shared" si="0"/>
        <v>67588304.553678796</v>
      </c>
      <c r="C20" s="884">
        <v>0</v>
      </c>
      <c r="D20" s="652">
        <f>'14 Driftbudget'!K25</f>
        <v>67588304.553678796</v>
      </c>
      <c r="E20" s="883">
        <f t="shared" si="4"/>
        <v>0.38554328942953148</v>
      </c>
      <c r="F20" s="652">
        <f t="shared" si="1"/>
        <v>26058217.264590304</v>
      </c>
      <c r="G20" s="652">
        <f t="shared" si="2"/>
        <v>26058217.264590304</v>
      </c>
      <c r="H20" s="652">
        <f t="shared" si="3"/>
        <v>26058217.264590304</v>
      </c>
      <c r="I20" s="652"/>
      <c r="J20" s="652"/>
      <c r="K20" s="879"/>
    </row>
    <row r="21" spans="1:11" x14ac:dyDescent="0.2">
      <c r="A21" s="894"/>
      <c r="B21" s="895"/>
      <c r="C21" s="895"/>
      <c r="D21" s="895"/>
      <c r="E21" s="895"/>
      <c r="F21" s="896">
        <f>SUM(F10:F20)</f>
        <v>330178946.25024974</v>
      </c>
      <c r="G21" s="894"/>
      <c r="H21" s="897">
        <f>SUM(H10:H20)</f>
        <v>330178946.25024974</v>
      </c>
      <c r="I21" s="898"/>
      <c r="J21" s="894"/>
      <c r="K21" s="899"/>
    </row>
    <row r="22" spans="1:11" x14ac:dyDescent="0.2">
      <c r="A22" s="652"/>
      <c r="B22" s="652" t="s">
        <v>967</v>
      </c>
      <c r="C22" s="652">
        <f>F21</f>
        <v>330178946.25024974</v>
      </c>
      <c r="D22" s="652"/>
      <c r="E22" s="652"/>
      <c r="F22" s="652"/>
      <c r="G22" s="652"/>
      <c r="H22" s="652"/>
      <c r="I22" s="652"/>
      <c r="J22" s="652"/>
      <c r="K22" s="624"/>
    </row>
    <row r="23" spans="1:11" x14ac:dyDescent="0.2">
      <c r="A23" s="652"/>
      <c r="B23" s="652"/>
      <c r="C23" s="652"/>
      <c r="D23" s="652"/>
      <c r="E23" s="652"/>
      <c r="F23" s="652"/>
      <c r="G23" s="652"/>
      <c r="H23" s="652"/>
      <c r="I23" s="652"/>
      <c r="J23" s="652"/>
      <c r="K23" s="624"/>
    </row>
    <row r="24" spans="1:11" x14ac:dyDescent="0.2">
      <c r="A24" s="624"/>
      <c r="B24" s="624"/>
      <c r="C24" s="624"/>
      <c r="D24" s="624"/>
      <c r="E24" s="624"/>
      <c r="F24" s="624"/>
      <c r="G24" s="624"/>
      <c r="H24" s="624"/>
      <c r="I24" s="624"/>
      <c r="J24" s="624"/>
      <c r="K24" s="624"/>
    </row>
    <row r="25" spans="1:11" x14ac:dyDescent="0.2">
      <c r="A25" s="624"/>
      <c r="B25" s="624"/>
      <c r="C25" s="624"/>
      <c r="D25" s="624"/>
      <c r="E25" s="624"/>
      <c r="F25" s="624"/>
      <c r="G25" s="624"/>
      <c r="H25" s="624"/>
      <c r="I25" s="624"/>
      <c r="J25" s="624"/>
      <c r="K25" s="624"/>
    </row>
    <row r="26" spans="1:11" x14ac:dyDescent="0.2">
      <c r="A26" s="624"/>
      <c r="B26" s="624"/>
      <c r="C26" s="624"/>
      <c r="D26" s="624"/>
      <c r="E26" s="624"/>
      <c r="F26" s="624"/>
      <c r="G26" s="624"/>
      <c r="H26" s="624"/>
      <c r="I26" s="624"/>
      <c r="J26" s="624"/>
      <c r="K26" s="624"/>
    </row>
    <row r="27" spans="1:11" x14ac:dyDescent="0.2">
      <c r="A27" s="624"/>
      <c r="B27" s="624"/>
      <c r="C27" s="624"/>
      <c r="D27" s="624"/>
      <c r="E27" s="624"/>
      <c r="F27" s="624"/>
      <c r="G27" s="624"/>
      <c r="H27" s="624"/>
      <c r="I27" s="624"/>
      <c r="J27" s="624"/>
      <c r="K27" s="624"/>
    </row>
    <row r="28" spans="1:11" x14ac:dyDescent="0.2">
      <c r="A28" s="624"/>
      <c r="B28" s="624"/>
      <c r="C28" s="624"/>
      <c r="D28" s="624"/>
      <c r="E28" s="624"/>
      <c r="F28" s="624"/>
      <c r="G28" s="624"/>
      <c r="H28" s="624"/>
      <c r="I28" s="624"/>
      <c r="J28" s="624"/>
      <c r="K28" s="624"/>
    </row>
    <row r="29" spans="1:11" x14ac:dyDescent="0.2">
      <c r="A29" s="624"/>
      <c r="B29" s="624"/>
      <c r="C29" s="624"/>
      <c r="D29" s="624"/>
      <c r="E29" s="624"/>
      <c r="F29" s="624"/>
      <c r="G29" s="624"/>
      <c r="H29" s="624"/>
      <c r="I29" s="624"/>
      <c r="J29" s="624"/>
      <c r="K29" s="624"/>
    </row>
    <row r="30" spans="1:11" x14ac:dyDescent="0.2">
      <c r="A30" s="624"/>
      <c r="B30" s="624"/>
      <c r="C30" s="624"/>
      <c r="D30" s="624"/>
      <c r="E30" s="624"/>
      <c r="F30" s="624"/>
      <c r="G30" s="624"/>
      <c r="H30" s="624"/>
      <c r="I30" s="624"/>
      <c r="J30" s="624"/>
      <c r="K30" s="62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d6a909b-60c6-4012-bd4e-8b5e7ff8bd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83D9483CC89A44BA4FE9CE7765FC701" ma:contentTypeVersion="5" ma:contentTypeDescription="Opret et nyt dokument." ma:contentTypeScope="" ma:versionID="22bd6aa68f953b1e2e13d3a941c3d5cf">
  <xsd:schema xmlns:xsd="http://www.w3.org/2001/XMLSchema" xmlns:xs="http://www.w3.org/2001/XMLSchema" xmlns:p="http://schemas.microsoft.com/office/2006/metadata/properties" xmlns:ns3="0d6a909b-60c6-4012-bd4e-8b5e7ff8bd1c" targetNamespace="http://schemas.microsoft.com/office/2006/metadata/properties" ma:root="true" ma:fieldsID="7eb3a6dd7048971265c5c103d0d66574" ns3:_="">
    <xsd:import namespace="0d6a909b-60c6-4012-bd4e-8b5e7ff8bd1c"/>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6a909b-60c6-4012-bd4e-8b5e7ff8bd1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7D85804-FB78-4B26-BD5C-8C8C0E1C65E8}">
  <ds:schemaRefs>
    <ds:schemaRef ds:uri="http://schemas.microsoft.com/office/2006/metadata/properties"/>
    <ds:schemaRef ds:uri="http://schemas.microsoft.com/office/infopath/2007/PartnerControls"/>
    <ds:schemaRef ds:uri="0d6a909b-60c6-4012-bd4e-8b5e7ff8bd1c"/>
  </ds:schemaRefs>
</ds:datastoreItem>
</file>

<file path=customXml/itemProps2.xml><?xml version="1.0" encoding="utf-8"?>
<ds:datastoreItem xmlns:ds="http://schemas.openxmlformats.org/officeDocument/2006/customXml" ds:itemID="{8213E410-7C82-40A9-B0E8-ABD1F2F61891}">
  <ds:schemaRefs>
    <ds:schemaRef ds:uri="http://schemas.microsoft.com/sharepoint/v3/contenttype/forms"/>
  </ds:schemaRefs>
</ds:datastoreItem>
</file>

<file path=customXml/itemProps3.xml><?xml version="1.0" encoding="utf-8"?>
<ds:datastoreItem xmlns:ds="http://schemas.openxmlformats.org/officeDocument/2006/customXml" ds:itemID="{4D081182-C0E4-4664-B0CA-682598BA9C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6a909b-60c6-4012-bd4e-8b5e7ff8bd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21594AE-EF24-4FE5-8C37-E1E5D02494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17</vt:i4>
      </vt:variant>
    </vt:vector>
  </HeadingPairs>
  <TitlesOfParts>
    <vt:vector size="17" baseType="lpstr">
      <vt:lpstr>Beskrivelser</vt:lpstr>
      <vt:lpstr>1 Projektplan &amp; risikovurdering</vt:lpstr>
      <vt:lpstr>2 Interessentanalyse &amp; kom.plan</vt:lpstr>
      <vt:lpstr>3 Organisation &amp; arbejdsopg.</vt:lpstr>
      <vt:lpstr>4 Stykliste</vt:lpstr>
      <vt:lpstr>5 Forsyningsstrategi</vt:lpstr>
      <vt:lpstr>6 Operationsdiagram</vt:lpstr>
      <vt:lpstr>7 Maskinliste &amp; fremstil.valg</vt:lpstr>
      <vt:lpstr>8 Faciliteter &amp; layout</vt:lpstr>
      <vt:lpstr>9 Procesanalyse&amp;Operationskort</vt:lpstr>
      <vt:lpstr>10 Prod.plan&amp;vedligehold</vt:lpstr>
      <vt:lpstr>11 Lagerstyring</vt:lpstr>
      <vt:lpstr>12 MRP</vt:lpstr>
      <vt:lpstr>13 Etableringsbudget</vt:lpstr>
      <vt:lpstr>Budget lister</vt:lpstr>
      <vt:lpstr>14 Driftbudget</vt:lpstr>
      <vt:lpstr>15 Investreringsrentabilitet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Ina Sanne Larsen</dc:creator>
  <cp:keywords/>
  <dc:description/>
  <cp:lastModifiedBy>Signe Lund Nissen</cp:lastModifiedBy>
  <cp:revision/>
  <dcterms:created xsi:type="dcterms:W3CDTF">2015-06-05T18:19:34Z</dcterms:created>
  <dcterms:modified xsi:type="dcterms:W3CDTF">2026-09-04T15:28:33Z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2025-10-27T12:24:57Z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9aafd452-b819-40a3-a400-f94ff33b0125</vt:lpwstr>
  </property>
  <property fmtid="{D5CDD505-2E9C-101B-9397-08002B2CF9AE}" pid="7" name="MSIP_Label_defa4170-0d19-0005-0004-bc88714345d2_ActionId">
    <vt:lpwstr>749c8551-d7f3-4eae-9041-a10a7fe4b5d3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0x010100583D9483CC89A44BA4FE9CE7765FC701</vt:lpwstr>
  </property>
  <property fmtid="{D5CDD505-2E9C-101B-9397-08002B2CF9AE}" pid="11" name="MediaServiceImageTags">
    <vt:lpwstr/>
  </property>
</Properties>
</file>