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H15" i="1"/>
  <c r="J14" i="1"/>
  <c r="I14" i="1"/>
  <c r="H14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Q17" i="1" l="1"/>
  <c r="P17" i="1"/>
  <c r="Q18" i="1"/>
  <c r="P18" i="1"/>
  <c r="P16" i="1"/>
  <c r="F15" i="1"/>
  <c r="G19" i="1" l="1"/>
  <c r="G18" i="1"/>
  <c r="G17" i="1"/>
  <c r="G16" i="1"/>
  <c r="G15" i="1"/>
  <c r="G14" i="1"/>
  <c r="G12" i="1"/>
  <c r="G11" i="1"/>
  <c r="G10" i="1"/>
  <c r="G9" i="1"/>
  <c r="G8" i="1"/>
  <c r="G7" i="1"/>
  <c r="G6" i="1"/>
  <c r="G5" i="1"/>
  <c r="G4" i="1"/>
  <c r="G3" i="1"/>
  <c r="F19" i="1" l="1"/>
  <c r="F18" i="1"/>
  <c r="F17" i="1"/>
  <c r="F16" i="1"/>
  <c r="F14" i="1"/>
  <c r="F12" i="1"/>
  <c r="F11" i="1"/>
  <c r="F10" i="1"/>
  <c r="F9" i="1"/>
  <c r="F8" i="1"/>
  <c r="F7" i="1"/>
  <c r="F6" i="1"/>
  <c r="F5" i="1"/>
  <c r="F4" i="1"/>
  <c r="F3" i="1"/>
  <c r="O19" i="1"/>
  <c r="P19" i="1" s="1"/>
  <c r="O18" i="1"/>
  <c r="N18" i="1"/>
  <c r="O17" i="1"/>
  <c r="T18" i="1" s="1"/>
  <c r="N17" i="1"/>
  <c r="O16" i="1"/>
  <c r="Q16" i="1" s="1"/>
  <c r="N16" i="1"/>
  <c r="O15" i="1"/>
  <c r="Q15" i="1" s="1"/>
  <c r="T15" i="1" s="1"/>
  <c r="N15" i="1"/>
  <c r="P15" i="1" s="1"/>
  <c r="O14" i="1"/>
  <c r="Q14" i="1" s="1"/>
  <c r="T14" i="1" s="1"/>
  <c r="N14" i="1"/>
  <c r="P14" i="1" s="1"/>
  <c r="O12" i="1"/>
  <c r="Q12" i="1" s="1"/>
  <c r="T12" i="1" s="1"/>
  <c r="N12" i="1"/>
  <c r="P12" i="1" s="1"/>
  <c r="O11" i="1"/>
  <c r="Q11" i="1" s="1"/>
  <c r="T11" i="1" s="1"/>
  <c r="N11" i="1"/>
  <c r="P11" i="1" s="1"/>
  <c r="O10" i="1"/>
  <c r="Q10" i="1" s="1"/>
  <c r="N10" i="1"/>
  <c r="P10" i="1" s="1"/>
  <c r="O9" i="1"/>
  <c r="Q9" i="1" s="1"/>
  <c r="T9" i="1" s="1"/>
  <c r="N9" i="1"/>
  <c r="P9" i="1" s="1"/>
  <c r="O8" i="1"/>
  <c r="Q8" i="1" s="1"/>
  <c r="T8" i="1" s="1"/>
  <c r="N8" i="1"/>
  <c r="P8" i="1" s="1"/>
  <c r="O7" i="1"/>
  <c r="Q7" i="1" s="1"/>
  <c r="T7" i="1" s="1"/>
  <c r="N7" i="1"/>
  <c r="P7" i="1" s="1"/>
  <c r="O6" i="1"/>
  <c r="Q6" i="1" s="1"/>
  <c r="T6" i="1" s="1"/>
  <c r="N6" i="1"/>
  <c r="P6" i="1" s="1"/>
  <c r="O5" i="1"/>
  <c r="Q5" i="1" s="1"/>
  <c r="T5" i="1" s="1"/>
  <c r="N5" i="1"/>
  <c r="P5" i="1" s="1"/>
  <c r="O4" i="1"/>
  <c r="Q4" i="1" s="1"/>
  <c r="T4" i="1" s="1"/>
  <c r="N4" i="1"/>
  <c r="P4" i="1" s="1"/>
  <c r="O3" i="1"/>
  <c r="Q3" i="1" s="1"/>
  <c r="T3" i="1" s="1"/>
  <c r="N3" i="1"/>
  <c r="P3" i="1" l="1"/>
  <c r="T10" i="1"/>
  <c r="U10" i="1"/>
</calcChain>
</file>

<file path=xl/sharedStrings.xml><?xml version="1.0" encoding="utf-8"?>
<sst xmlns="http://schemas.openxmlformats.org/spreadsheetml/2006/main" count="62" uniqueCount="48">
  <si>
    <t>afgkode</t>
  </si>
  <si>
    <t>yield_JB1</t>
  </si>
  <si>
    <t>yield_JB4</t>
  </si>
  <si>
    <t>yield_JB6</t>
  </si>
  <si>
    <t>yieldfaktorN</t>
  </si>
  <si>
    <t>yieldfaktorDM</t>
  </si>
  <si>
    <t>JB6_yield_tDM</t>
  </si>
  <si>
    <t>SB</t>
  </si>
  <si>
    <t>Vårbyg</t>
  </si>
  <si>
    <t>Froegraes</t>
  </si>
  <si>
    <t>Spring Wheat</t>
  </si>
  <si>
    <t>Vårhvede</t>
  </si>
  <si>
    <t>Vinterbyg</t>
  </si>
  <si>
    <t>Winter Rape PA</t>
  </si>
  <si>
    <t>Winter Wheat JG</t>
  </si>
  <si>
    <t>Vinterhvede</t>
  </si>
  <si>
    <t>SB-green</t>
  </si>
  <si>
    <t>Rug</t>
  </si>
  <si>
    <t>Vinterrug</t>
  </si>
  <si>
    <t>Wclover</t>
  </si>
  <si>
    <t>Vinterraps</t>
  </si>
  <si>
    <t>Pea</t>
  </si>
  <si>
    <t>Ærter</t>
  </si>
  <si>
    <t>Rajgræs, alm.</t>
  </si>
  <si>
    <t>Kartofler, stivelse</t>
  </si>
  <si>
    <t>Potato; Sava_Figaro</t>
  </si>
  <si>
    <t>Sugar Beet</t>
  </si>
  <si>
    <t>Sukkerroer til fabrik</t>
  </si>
  <si>
    <t>Ryegrass</t>
  </si>
  <si>
    <t>Silomajs</t>
  </si>
  <si>
    <t>Majshelsæd</t>
  </si>
  <si>
    <t>Grønkorn af vårbyg</t>
  </si>
  <si>
    <t>clovergrass</t>
  </si>
  <si>
    <t>FE / ha</t>
  </si>
  <si>
    <t>(kg DM / FE)</t>
  </si>
  <si>
    <t>Tørstof-indhold (%)</t>
  </si>
  <si>
    <t>Råprotein (% af DM)</t>
  </si>
  <si>
    <t>N indhold af råprotein (%)</t>
  </si>
  <si>
    <t>Afgrøde navn</t>
  </si>
  <si>
    <t>Kløver- og lucernegræs under 50 pct. Kløver. Sædskifte K2-K7</t>
  </si>
  <si>
    <t>Kløvergræs, udlæg/ efter grønkorn, Sædskifte K2-K7, 3 slæt</t>
  </si>
  <si>
    <t>Permanent græs, normalt udbytte. Sædskifte K9, 2 slæt</t>
  </si>
  <si>
    <t>Kløvergræs over 50 pct. Kløver. Sædskifte K8, 4 slæt</t>
  </si>
  <si>
    <t>yieldfaktor DM</t>
  </si>
  <si>
    <t>yield kg N/ha</t>
  </si>
  <si>
    <t>N_yield JB1</t>
  </si>
  <si>
    <t>N_yield JB4</t>
  </si>
  <si>
    <t>N_yield JB6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</si>
</sst>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tabSelected="1" workbookViewId="0">
      <selection activeCell="A2" sqref="A2:J19"/>
    </sheetView>
  </sheetViews>
  <sheetFormatPr defaultRowHeight="15" x14ac:dyDescent="0.25"/>
  <cols>
    <col min="2" max="2" width="59.7109375" customWidth="1"/>
    <col min="3" max="3" width="11.5703125" customWidth="1"/>
    <col min="4" max="4" width="11.28515625" customWidth="1"/>
    <col min="5" max="5" width="12.42578125" customWidth="1"/>
    <col min="6" max="6" width="12.5703125" customWidth="1"/>
    <col min="8" max="8" width="9" customWidth="1"/>
    <col min="14" max="14" width="10.140625" bestFit="1" customWidth="1"/>
    <col min="15" max="15" width="12.42578125" customWidth="1"/>
    <col min="18" max="18" width="16.85546875" bestFit="1" customWidth="1"/>
    <col min="19" max="19" width="14.140625" bestFit="1" customWidth="1"/>
  </cols>
  <sheetData>
    <row r="2" spans="1:23" ht="30" customHeight="1" x14ac:dyDescent="0.25">
      <c r="A2" s="6" t="s">
        <v>0</v>
      </c>
      <c r="B2" s="6" t="s">
        <v>38</v>
      </c>
      <c r="C2" s="7" t="s">
        <v>35</v>
      </c>
      <c r="D2" s="7" t="s">
        <v>36</v>
      </c>
      <c r="E2" s="7" t="s">
        <v>37</v>
      </c>
      <c r="F2" s="8" t="s">
        <v>4</v>
      </c>
      <c r="G2" s="7" t="s">
        <v>43</v>
      </c>
      <c r="H2" s="7" t="s">
        <v>45</v>
      </c>
      <c r="I2" s="7" t="s">
        <v>46</v>
      </c>
      <c r="J2" s="7" t="s">
        <v>47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44</v>
      </c>
      <c r="Q2" t="s">
        <v>6</v>
      </c>
      <c r="W2">
        <v>0</v>
      </c>
    </row>
    <row r="3" spans="1:23" x14ac:dyDescent="0.25">
      <c r="A3">
        <v>1</v>
      </c>
      <c r="B3" t="s">
        <v>8</v>
      </c>
      <c r="C3">
        <v>85</v>
      </c>
      <c r="D3">
        <v>10.8</v>
      </c>
      <c r="E3">
        <v>6.25</v>
      </c>
      <c r="F3" s="4">
        <f>C3*D3/E3/100</f>
        <v>1.4688000000000003</v>
      </c>
      <c r="G3">
        <f>C3/1000</f>
        <v>8.5000000000000006E-2</v>
      </c>
      <c r="H3" s="1">
        <f>$F3*K3</f>
        <v>85.190400000000025</v>
      </c>
      <c r="I3" s="1">
        <f t="shared" ref="I3:I12" si="0">$F3*L3</f>
        <v>77.846400000000017</v>
      </c>
      <c r="J3" s="1">
        <f t="shared" ref="J3:J12" si="1">$F3*M3</f>
        <v>95.472000000000023</v>
      </c>
      <c r="K3">
        <v>58</v>
      </c>
      <c r="L3">
        <v>53</v>
      </c>
      <c r="M3">
        <v>65</v>
      </c>
      <c r="N3" s="1">
        <f>0.85*0.108*100/5.7</f>
        <v>1.6105263157894736</v>
      </c>
      <c r="O3">
        <f>0.85/10</f>
        <v>8.4999999999999992E-2</v>
      </c>
      <c r="P3" s="1">
        <f>(N3*L3+N3*K3+N3*F3)/3</f>
        <v>60.377987368421053</v>
      </c>
      <c r="Q3" s="1">
        <f t="shared" ref="Q3:Q12" si="2">(O3*M3+O3*L3+O3*K3)/3</f>
        <v>4.9866666666666664</v>
      </c>
      <c r="R3" t="s">
        <v>7</v>
      </c>
      <c r="S3">
        <v>5.8593289900957402</v>
      </c>
      <c r="T3" s="2">
        <f t="shared" ref="T3:T12" si="3">(S3-Q3)/S3</f>
        <v>0.14893553936025269</v>
      </c>
      <c r="V3" t="s">
        <v>9</v>
      </c>
      <c r="W3">
        <v>2.0368375462962902</v>
      </c>
    </row>
    <row r="4" spans="1:23" x14ac:dyDescent="0.25">
      <c r="A4">
        <v>2</v>
      </c>
      <c r="B4" t="s">
        <v>11</v>
      </c>
      <c r="C4">
        <v>85</v>
      </c>
      <c r="D4">
        <v>11.5</v>
      </c>
      <c r="E4">
        <v>6.25</v>
      </c>
      <c r="F4" s="4">
        <f t="shared" ref="F4:F12" si="4">C4*D4/E4/100</f>
        <v>1.5640000000000001</v>
      </c>
      <c r="G4">
        <f t="shared" ref="G4:G12" si="5">C4/1000</f>
        <v>8.5000000000000006E-2</v>
      </c>
      <c r="H4" s="1">
        <f t="shared" ref="H4:H12" si="6">$F4*K4</f>
        <v>81.328000000000003</v>
      </c>
      <c r="I4" s="1">
        <f t="shared" si="0"/>
        <v>73.50800000000001</v>
      </c>
      <c r="J4" s="1">
        <f t="shared" si="1"/>
        <v>90.712000000000003</v>
      </c>
      <c r="K4">
        <v>52</v>
      </c>
      <c r="L4">
        <v>47</v>
      </c>
      <c r="M4">
        <v>58</v>
      </c>
      <c r="N4" s="1">
        <f>0.85*0.115*100/5.7</f>
        <v>1.7149122807017545</v>
      </c>
      <c r="O4">
        <f>0.85/10</f>
        <v>8.4999999999999992E-2</v>
      </c>
      <c r="P4" s="1">
        <f t="shared" ref="P4:P12" si="7">(N4*L4+N4*K4+N4*G4)/3</f>
        <v>56.640694444444449</v>
      </c>
      <c r="Q4" s="1">
        <f t="shared" si="2"/>
        <v>4.4483333333333333</v>
      </c>
      <c r="R4" t="s">
        <v>10</v>
      </c>
      <c r="S4">
        <v>3.5769147654320901</v>
      </c>
      <c r="T4" s="2">
        <f t="shared" si="3"/>
        <v>-0.24362296141993087</v>
      </c>
      <c r="V4" t="s">
        <v>10</v>
      </c>
      <c r="W4">
        <v>3.5769147654320901</v>
      </c>
    </row>
    <row r="5" spans="1:23" x14ac:dyDescent="0.25">
      <c r="A5">
        <v>10</v>
      </c>
      <c r="B5" t="s">
        <v>12</v>
      </c>
      <c r="C5">
        <v>85</v>
      </c>
      <c r="D5">
        <v>11.1</v>
      </c>
      <c r="E5">
        <v>6.25</v>
      </c>
      <c r="F5" s="4">
        <f t="shared" si="4"/>
        <v>1.5096000000000001</v>
      </c>
      <c r="G5">
        <f t="shared" si="5"/>
        <v>8.5000000000000006E-2</v>
      </c>
      <c r="H5" s="1">
        <f t="shared" si="6"/>
        <v>95.104799999999997</v>
      </c>
      <c r="I5" s="1">
        <f t="shared" si="0"/>
        <v>89.066400000000002</v>
      </c>
      <c r="J5" s="1">
        <f t="shared" si="1"/>
        <v>117.7488</v>
      </c>
      <c r="K5">
        <v>63</v>
      </c>
      <c r="L5">
        <v>59</v>
      </c>
      <c r="M5">
        <v>78</v>
      </c>
      <c r="N5" s="1">
        <f>0.85*0.111*100/5.7</f>
        <v>1.6552631578947368</v>
      </c>
      <c r="O5">
        <f>0.85/10</f>
        <v>8.4999999999999992E-2</v>
      </c>
      <c r="P5" s="1">
        <f t="shared" si="7"/>
        <v>67.36093421052631</v>
      </c>
      <c r="Q5" s="1">
        <f t="shared" si="2"/>
        <v>5.666666666666667</v>
      </c>
      <c r="R5" t="s">
        <v>12</v>
      </c>
      <c r="S5">
        <v>5.5092956216931102</v>
      </c>
      <c r="T5" s="2">
        <f t="shared" si="3"/>
        <v>-2.8564639797853817E-2</v>
      </c>
      <c r="V5" t="s">
        <v>13</v>
      </c>
      <c r="W5">
        <v>4.0715632407407396</v>
      </c>
    </row>
    <row r="6" spans="1:23" x14ac:dyDescent="0.25">
      <c r="A6">
        <v>11</v>
      </c>
      <c r="B6" t="s">
        <v>15</v>
      </c>
      <c r="C6">
        <v>85</v>
      </c>
      <c r="D6">
        <v>11.5</v>
      </c>
      <c r="E6">
        <v>6.25</v>
      </c>
      <c r="F6" s="4">
        <f t="shared" si="4"/>
        <v>1.5640000000000001</v>
      </c>
      <c r="G6">
        <f t="shared" si="5"/>
        <v>8.5000000000000006E-2</v>
      </c>
      <c r="H6" s="1">
        <f t="shared" si="6"/>
        <v>112.608</v>
      </c>
      <c r="I6" s="1">
        <f t="shared" si="0"/>
        <v>109.48</v>
      </c>
      <c r="J6" s="1">
        <f t="shared" si="1"/>
        <v>134.50400000000002</v>
      </c>
      <c r="K6">
        <v>72</v>
      </c>
      <c r="L6">
        <v>70</v>
      </c>
      <c r="M6">
        <v>86</v>
      </c>
      <c r="N6" s="1">
        <f t="shared" ref="N6" si="8">0.85*0.115*100/5.7</f>
        <v>1.7149122807017545</v>
      </c>
      <c r="O6">
        <f>0.85/10</f>
        <v>8.4999999999999992E-2</v>
      </c>
      <c r="P6" s="1">
        <f t="shared" si="7"/>
        <v>81.221103801169605</v>
      </c>
      <c r="Q6" s="1">
        <f t="shared" si="2"/>
        <v>6.4599999999999982</v>
      </c>
      <c r="R6" t="s">
        <v>14</v>
      </c>
      <c r="S6">
        <v>7.8166112037037001</v>
      </c>
      <c r="T6" s="2">
        <f t="shared" si="3"/>
        <v>0.17355490357009271</v>
      </c>
      <c r="V6" t="s">
        <v>16</v>
      </c>
      <c r="W6">
        <v>4.2448152858906498</v>
      </c>
    </row>
    <row r="7" spans="1:23" x14ac:dyDescent="0.25">
      <c r="A7">
        <v>14</v>
      </c>
      <c r="B7" t="s">
        <v>18</v>
      </c>
      <c r="C7">
        <v>85</v>
      </c>
      <c r="D7">
        <v>9.6</v>
      </c>
      <c r="E7">
        <v>6.25</v>
      </c>
      <c r="F7" s="4">
        <f t="shared" si="4"/>
        <v>1.3056000000000001</v>
      </c>
      <c r="G7">
        <f t="shared" si="5"/>
        <v>8.5000000000000006E-2</v>
      </c>
      <c r="H7" s="1">
        <f t="shared" si="6"/>
        <v>80.947200000000009</v>
      </c>
      <c r="I7" s="1">
        <f t="shared" si="0"/>
        <v>82.252800000000008</v>
      </c>
      <c r="J7" s="1">
        <f t="shared" si="1"/>
        <v>97.92</v>
      </c>
      <c r="K7">
        <v>62</v>
      </c>
      <c r="L7">
        <v>63</v>
      </c>
      <c r="M7">
        <v>75</v>
      </c>
      <c r="N7" s="1">
        <f>0.85*0.096*100/5.7</f>
        <v>1.4315789473684211</v>
      </c>
      <c r="O7">
        <f>0.85/10</f>
        <v>8.4999999999999992E-2</v>
      </c>
      <c r="P7" s="1">
        <f t="shared" si="7"/>
        <v>59.689684210526316</v>
      </c>
      <c r="Q7" s="1">
        <f t="shared" si="2"/>
        <v>5.666666666666667</v>
      </c>
      <c r="R7" t="s">
        <v>17</v>
      </c>
      <c r="S7">
        <v>5.92668768518518</v>
      </c>
      <c r="T7" s="2">
        <f t="shared" si="3"/>
        <v>4.3872907149887827E-2</v>
      </c>
      <c r="V7" t="s">
        <v>19</v>
      </c>
      <c r="W7">
        <v>4.9932492770632804</v>
      </c>
    </row>
    <row r="8" spans="1:23" x14ac:dyDescent="0.25">
      <c r="A8">
        <v>22</v>
      </c>
      <c r="B8" t="s">
        <v>20</v>
      </c>
      <c r="C8">
        <v>92.5</v>
      </c>
      <c r="D8">
        <v>19.399999999999999</v>
      </c>
      <c r="E8">
        <v>6.25</v>
      </c>
      <c r="F8" s="4">
        <f t="shared" si="4"/>
        <v>2.8711999999999995</v>
      </c>
      <c r="G8">
        <f t="shared" si="5"/>
        <v>9.2499999999999999E-2</v>
      </c>
      <c r="H8" s="1">
        <f t="shared" si="6"/>
        <v>109.10559999999998</v>
      </c>
      <c r="I8" s="1">
        <f t="shared" si="0"/>
        <v>109.10559999999998</v>
      </c>
      <c r="J8" s="1">
        <f t="shared" si="1"/>
        <v>123.46159999999998</v>
      </c>
      <c r="K8">
        <v>38</v>
      </c>
      <c r="L8">
        <v>38</v>
      </c>
      <c r="M8">
        <v>43</v>
      </c>
      <c r="N8" s="1">
        <f>0.925*0.194*100/5.7</f>
        <v>3.1482456140350883</v>
      </c>
      <c r="O8">
        <f>0.925/10</f>
        <v>9.2499999999999999E-2</v>
      </c>
      <c r="P8" s="1">
        <f t="shared" si="7"/>
        <v>79.852626461988322</v>
      </c>
      <c r="Q8" s="1">
        <f t="shared" si="2"/>
        <v>3.6691666666666669</v>
      </c>
      <c r="R8" t="s">
        <v>13</v>
      </c>
      <c r="S8">
        <v>4.0715632407407396</v>
      </c>
      <c r="T8" s="2">
        <f t="shared" si="3"/>
        <v>9.8830977263873881E-2</v>
      </c>
      <c r="V8" t="s">
        <v>12</v>
      </c>
      <c r="W8">
        <v>5.5092956216931102</v>
      </c>
    </row>
    <row r="9" spans="1:23" x14ac:dyDescent="0.25">
      <c r="A9">
        <v>30</v>
      </c>
      <c r="B9" t="s">
        <v>22</v>
      </c>
      <c r="C9">
        <v>85.2</v>
      </c>
      <c r="D9">
        <v>24</v>
      </c>
      <c r="E9">
        <v>6.25</v>
      </c>
      <c r="F9" s="4">
        <f t="shared" si="4"/>
        <v>3.2716799999999999</v>
      </c>
      <c r="G9">
        <f t="shared" si="5"/>
        <v>8.5199999999999998E-2</v>
      </c>
      <c r="H9" s="1">
        <f t="shared" si="6"/>
        <v>147.22559999999999</v>
      </c>
      <c r="I9" s="1">
        <f t="shared" si="0"/>
        <v>147.22559999999999</v>
      </c>
      <c r="J9" s="1">
        <f t="shared" si="1"/>
        <v>147.22559999999999</v>
      </c>
      <c r="K9">
        <v>45</v>
      </c>
      <c r="L9">
        <v>45</v>
      </c>
      <c r="M9">
        <v>45</v>
      </c>
      <c r="N9" s="1">
        <f>0.852*0.24*100/5.7</f>
        <v>3.5873684210526315</v>
      </c>
      <c r="O9" s="3">
        <f>0.852/10</f>
        <v>8.5199999999999998E-2</v>
      </c>
      <c r="P9" s="1">
        <f t="shared" si="7"/>
        <v>107.72293389473684</v>
      </c>
      <c r="Q9" s="1">
        <f t="shared" si="2"/>
        <v>3.8340000000000001</v>
      </c>
      <c r="R9" t="s">
        <v>21</v>
      </c>
      <c r="S9">
        <v>5.8646024537037</v>
      </c>
      <c r="T9" s="2">
        <f t="shared" si="3"/>
        <v>0.34624724689075964</v>
      </c>
      <c r="V9" t="s">
        <v>7</v>
      </c>
      <c r="W9">
        <v>5.8593289900957402</v>
      </c>
    </row>
    <row r="10" spans="1:23" x14ac:dyDescent="0.25">
      <c r="A10">
        <v>101</v>
      </c>
      <c r="B10" t="s">
        <v>23</v>
      </c>
      <c r="C10">
        <v>85</v>
      </c>
      <c r="D10">
        <v>9.6</v>
      </c>
      <c r="E10">
        <v>6.25</v>
      </c>
      <c r="F10" s="4">
        <f t="shared" si="4"/>
        <v>1.3056000000000001</v>
      </c>
      <c r="G10">
        <f t="shared" si="5"/>
        <v>8.5000000000000006E-2</v>
      </c>
      <c r="H10" s="1">
        <f t="shared" si="6"/>
        <v>15.667200000000001</v>
      </c>
      <c r="I10" s="1">
        <f t="shared" si="0"/>
        <v>15.667200000000001</v>
      </c>
      <c r="J10" s="1">
        <f t="shared" si="1"/>
        <v>15.667200000000001</v>
      </c>
      <c r="K10">
        <v>12</v>
      </c>
      <c r="L10">
        <v>12</v>
      </c>
      <c r="M10">
        <v>12</v>
      </c>
      <c r="N10" s="1">
        <f>0.85*0.096*100/5.7</f>
        <v>1.4315789473684211</v>
      </c>
      <c r="O10">
        <f>0.85/10</f>
        <v>8.4999999999999992E-2</v>
      </c>
      <c r="P10" s="1">
        <f t="shared" si="7"/>
        <v>11.493192982456142</v>
      </c>
      <c r="Q10" s="1">
        <f t="shared" si="2"/>
        <v>1.02</v>
      </c>
      <c r="R10" t="s">
        <v>9</v>
      </c>
      <c r="S10">
        <v>1.36</v>
      </c>
      <c r="T10" s="2">
        <f t="shared" si="3"/>
        <v>0.25000000000000006</v>
      </c>
      <c r="U10" s="2">
        <f>(S10-Q10)/Q10</f>
        <v>0.33333333333333343</v>
      </c>
      <c r="V10" t="s">
        <v>21</v>
      </c>
      <c r="W10">
        <v>5.8646024537037</v>
      </c>
    </row>
    <row r="11" spans="1:23" x14ac:dyDescent="0.25">
      <c r="A11">
        <v>151</v>
      </c>
      <c r="B11" t="s">
        <v>24</v>
      </c>
      <c r="C11">
        <v>24</v>
      </c>
      <c r="D11">
        <v>9.1999999999999993</v>
      </c>
      <c r="E11">
        <v>6.25</v>
      </c>
      <c r="F11" s="4">
        <f t="shared" si="4"/>
        <v>0.35327999999999998</v>
      </c>
      <c r="G11">
        <f t="shared" si="5"/>
        <v>2.4E-2</v>
      </c>
      <c r="H11" s="1">
        <f t="shared" si="6"/>
        <v>201.36959999999999</v>
      </c>
      <c r="I11" s="1">
        <f t="shared" si="0"/>
        <v>183.35231999999999</v>
      </c>
      <c r="J11" s="1">
        <f t="shared" si="1"/>
        <v>201.36959999999999</v>
      </c>
      <c r="K11">
        <v>570</v>
      </c>
      <c r="L11">
        <v>519</v>
      </c>
      <c r="M11">
        <v>570</v>
      </c>
      <c r="N11" s="4">
        <f>0.24*0.092*100/5.7</f>
        <v>0.38736842105263153</v>
      </c>
      <c r="O11">
        <f>0.24/10</f>
        <v>2.4E-2</v>
      </c>
      <c r="P11" s="1">
        <f t="shared" si="7"/>
        <v>140.61783578947367</v>
      </c>
      <c r="Q11" s="1">
        <f t="shared" si="2"/>
        <v>13.272</v>
      </c>
      <c r="R11" t="s">
        <v>25</v>
      </c>
      <c r="S11">
        <v>7.6641466296296201</v>
      </c>
      <c r="T11" s="2">
        <f t="shared" si="3"/>
        <v>-0.73169964529258846</v>
      </c>
      <c r="V11" t="s">
        <v>17</v>
      </c>
      <c r="W11">
        <v>6.1433395679012301</v>
      </c>
    </row>
    <row r="12" spans="1:23" x14ac:dyDescent="0.25">
      <c r="A12">
        <v>160</v>
      </c>
      <c r="B12" t="s">
        <v>27</v>
      </c>
      <c r="C12">
        <v>22</v>
      </c>
      <c r="D12">
        <v>5.9</v>
      </c>
      <c r="E12">
        <v>6.25</v>
      </c>
      <c r="F12" s="4">
        <f t="shared" si="4"/>
        <v>0.20768</v>
      </c>
      <c r="G12">
        <f t="shared" si="5"/>
        <v>2.1999999999999999E-2</v>
      </c>
      <c r="H12" s="1">
        <f t="shared" si="6"/>
        <v>109.44736</v>
      </c>
      <c r="I12" s="1">
        <f t="shared" si="0"/>
        <v>109.44736</v>
      </c>
      <c r="J12" s="1">
        <f t="shared" si="1"/>
        <v>134.36896000000002</v>
      </c>
      <c r="K12">
        <v>527</v>
      </c>
      <c r="L12">
        <v>527</v>
      </c>
      <c r="M12">
        <v>647</v>
      </c>
      <c r="N12" s="4">
        <f>0.22*0.059*100/5.7</f>
        <v>0.22771929824561404</v>
      </c>
      <c r="O12">
        <f>0.22/10</f>
        <v>2.1999999999999999E-2</v>
      </c>
      <c r="P12" s="1">
        <f t="shared" si="7"/>
        <v>80.007050058479535</v>
      </c>
      <c r="Q12" s="1">
        <f t="shared" si="2"/>
        <v>12.473999999999998</v>
      </c>
      <c r="R12" t="s">
        <v>26</v>
      </c>
      <c r="S12">
        <v>15.0460691358024</v>
      </c>
      <c r="T12" s="2">
        <f t="shared" si="3"/>
        <v>0.17094625264495927</v>
      </c>
      <c r="V12" t="s">
        <v>28</v>
      </c>
      <c r="W12">
        <v>6.9265215692542697</v>
      </c>
    </row>
    <row r="13" spans="1:23" x14ac:dyDescent="0.25">
      <c r="C13" s="6" t="s">
        <v>34</v>
      </c>
      <c r="K13" s="9" t="s">
        <v>33</v>
      </c>
      <c r="L13" s="9"/>
      <c r="M13" s="9"/>
      <c r="N13" s="9"/>
      <c r="O13" s="9"/>
      <c r="P13" s="1"/>
      <c r="Q13" s="1"/>
      <c r="T13" s="2"/>
    </row>
    <row r="14" spans="1:23" x14ac:dyDescent="0.25">
      <c r="A14">
        <v>216</v>
      </c>
      <c r="B14" t="s">
        <v>30</v>
      </c>
      <c r="C14">
        <v>1.1399999999999999</v>
      </c>
      <c r="D14">
        <v>7.9</v>
      </c>
      <c r="E14">
        <v>6.25</v>
      </c>
      <c r="F14" s="3">
        <f t="shared" ref="F14:F19" si="9">C14*D14/E14/100</f>
        <v>1.44096E-2</v>
      </c>
      <c r="G14">
        <f t="shared" ref="G14:G19" si="10">C14/1000</f>
        <v>1.14E-3</v>
      </c>
      <c r="H14" s="1">
        <f t="shared" ref="H14:H19" si="11">$F14*K14</f>
        <v>159.94656000000001</v>
      </c>
      <c r="I14" s="1">
        <f t="shared" ref="I14:I19" si="12">$F14*L14</f>
        <v>145.53695999999999</v>
      </c>
      <c r="J14" s="1">
        <f t="shared" ref="J14:J19" si="13">$F14*M14</f>
        <v>158.50559999999999</v>
      </c>
      <c r="K14">
        <v>11100</v>
      </c>
      <c r="L14">
        <v>10100</v>
      </c>
      <c r="M14">
        <v>11000</v>
      </c>
      <c r="N14" s="3">
        <f>1.14*0.079/6.25</f>
        <v>1.4409599999999998E-2</v>
      </c>
      <c r="O14">
        <f>1.14/1000</f>
        <v>1.14E-3</v>
      </c>
      <c r="P14" s="1">
        <f>(N14*L14+N14*K14+N14*G14)/3</f>
        <v>101.827845475648</v>
      </c>
      <c r="Q14" s="1">
        <f>(O14*M14+O14*L14+O14*K14)/3</f>
        <v>12.235999999999999</v>
      </c>
      <c r="R14" t="s">
        <v>29</v>
      </c>
      <c r="S14">
        <v>9.9011787422839497</v>
      </c>
      <c r="T14" s="2">
        <f>(S14-Q14)/S14</f>
        <v>-0.23581245410154725</v>
      </c>
      <c r="V14" t="s">
        <v>14</v>
      </c>
      <c r="W14">
        <v>7.6373889571462303</v>
      </c>
    </row>
    <row r="15" spans="1:23" x14ac:dyDescent="0.25">
      <c r="A15">
        <v>701</v>
      </c>
      <c r="B15" t="s">
        <v>31</v>
      </c>
      <c r="C15">
        <v>1.26</v>
      </c>
      <c r="D15">
        <v>15.6</v>
      </c>
      <c r="E15">
        <v>6.25</v>
      </c>
      <c r="F15" s="3">
        <f>C15*D15/E15/100</f>
        <v>3.1449599999999994E-2</v>
      </c>
      <c r="G15">
        <f t="shared" si="10"/>
        <v>1.2600000000000001E-3</v>
      </c>
      <c r="H15" s="1">
        <f t="shared" si="11"/>
        <v>116.36351999999998</v>
      </c>
      <c r="I15" s="1">
        <f t="shared" si="12"/>
        <v>116.36351999999998</v>
      </c>
      <c r="J15" s="1">
        <f t="shared" si="13"/>
        <v>128.94335999999998</v>
      </c>
      <c r="K15">
        <v>3700</v>
      </c>
      <c r="L15">
        <v>3700</v>
      </c>
      <c r="M15">
        <v>4100</v>
      </c>
      <c r="N15" s="3">
        <f>1.26*0.156/6.25</f>
        <v>3.1449600000000001E-2</v>
      </c>
      <c r="O15">
        <f>1.26/1000</f>
        <v>1.2600000000000001E-3</v>
      </c>
      <c r="P15" s="1">
        <f>(N15*L15+N15*K15+N15*G15)/3</f>
        <v>77.575693208832007</v>
      </c>
      <c r="Q15" s="1">
        <f>(O15*M15+O15*L15+O15*K15)/3</f>
        <v>4.8299999999999992</v>
      </c>
      <c r="R15" t="s">
        <v>16</v>
      </c>
      <c r="S15">
        <v>3.96531763395061</v>
      </c>
      <c r="T15" s="2">
        <f>(S15-Q15)/S15</f>
        <v>-0.21806131207398738</v>
      </c>
      <c r="V15" t="s">
        <v>25</v>
      </c>
      <c r="W15">
        <v>7.6641466296296201</v>
      </c>
    </row>
    <row r="16" spans="1:23" x14ac:dyDescent="0.25">
      <c r="A16">
        <v>252</v>
      </c>
      <c r="B16" t="s">
        <v>41</v>
      </c>
      <c r="C16">
        <v>1.1599999999999999</v>
      </c>
      <c r="D16">
        <v>20</v>
      </c>
      <c r="E16">
        <v>6.25</v>
      </c>
      <c r="F16" s="3">
        <f t="shared" si="9"/>
        <v>3.712E-2</v>
      </c>
      <c r="G16">
        <f t="shared" si="10"/>
        <v>1.16E-3</v>
      </c>
      <c r="H16" s="1">
        <f t="shared" si="11"/>
        <v>115.072</v>
      </c>
      <c r="I16" s="1">
        <f t="shared" si="12"/>
        <v>115.072</v>
      </c>
      <c r="J16" s="1">
        <f t="shared" si="13"/>
        <v>115.072</v>
      </c>
      <c r="K16">
        <v>3100</v>
      </c>
      <c r="L16">
        <v>3100</v>
      </c>
      <c r="M16">
        <v>3100</v>
      </c>
      <c r="N16" s="3">
        <f>1.16*0.2/6.25</f>
        <v>3.712E-2</v>
      </c>
      <c r="O16">
        <f>1.16/1000</f>
        <v>1.16E-3</v>
      </c>
      <c r="P16" s="1">
        <f>K16*N16</f>
        <v>115.072</v>
      </c>
      <c r="Q16" s="1">
        <f>L16*O16</f>
        <v>3.5960000000000001</v>
      </c>
      <c r="T16" s="2"/>
      <c r="V16" t="s">
        <v>29</v>
      </c>
      <c r="W16">
        <v>9.9011787422839497</v>
      </c>
    </row>
    <row r="17" spans="1:23" x14ac:dyDescent="0.25">
      <c r="A17">
        <v>260</v>
      </c>
      <c r="B17" t="s">
        <v>39</v>
      </c>
      <c r="C17">
        <v>1.21</v>
      </c>
      <c r="D17">
        <v>17.3</v>
      </c>
      <c r="E17">
        <v>6.25</v>
      </c>
      <c r="F17" s="3">
        <f t="shared" si="9"/>
        <v>3.3492799999999996E-2</v>
      </c>
      <c r="G17">
        <f t="shared" si="10"/>
        <v>1.2099999999999999E-3</v>
      </c>
      <c r="H17" s="1">
        <f t="shared" si="11"/>
        <v>291.38735999999994</v>
      </c>
      <c r="I17" s="1">
        <f t="shared" si="12"/>
        <v>244.49743999999998</v>
      </c>
      <c r="J17" s="1">
        <f t="shared" si="13"/>
        <v>254.54527999999996</v>
      </c>
      <c r="K17">
        <v>8700</v>
      </c>
      <c r="L17">
        <v>7300</v>
      </c>
      <c r="M17">
        <v>7600</v>
      </c>
      <c r="N17" s="3">
        <f>1.21*0.173/6.25</f>
        <v>3.3492799999999996E-2</v>
      </c>
      <c r="O17" s="5">
        <f>1.21/1000</f>
        <v>1.2099999999999999E-3</v>
      </c>
      <c r="P17" s="1">
        <f>M17*F17</f>
        <v>254.54527999999996</v>
      </c>
      <c r="Q17" s="1">
        <f>O17*M17</f>
        <v>9.1959999999999997</v>
      </c>
      <c r="V17" t="s">
        <v>26</v>
      </c>
      <c r="W17">
        <v>15.0460691358024</v>
      </c>
    </row>
    <row r="18" spans="1:23" x14ac:dyDescent="0.25">
      <c r="A18">
        <v>963</v>
      </c>
      <c r="B18" t="s">
        <v>40</v>
      </c>
      <c r="C18">
        <v>1.18</v>
      </c>
      <c r="D18">
        <v>16.8</v>
      </c>
      <c r="E18">
        <v>6.25</v>
      </c>
      <c r="F18" s="3">
        <f t="shared" si="9"/>
        <v>3.1718399999999994E-2</v>
      </c>
      <c r="G18">
        <f t="shared" si="10"/>
        <v>1.1799999999999998E-3</v>
      </c>
      <c r="H18" s="1">
        <f t="shared" si="11"/>
        <v>180.79487999999998</v>
      </c>
      <c r="I18" s="1">
        <f t="shared" si="12"/>
        <v>139.56095999999997</v>
      </c>
      <c r="J18" s="1">
        <f t="shared" si="13"/>
        <v>123.70175999999998</v>
      </c>
      <c r="K18">
        <v>5700</v>
      </c>
      <c r="L18">
        <v>4400</v>
      </c>
      <c r="M18">
        <v>3900</v>
      </c>
      <c r="N18" s="3">
        <f>1.18*0.168/6.25</f>
        <v>3.1718400000000001E-2</v>
      </c>
      <c r="O18">
        <f>1.18/1000</f>
        <v>1.1799999999999998E-3</v>
      </c>
      <c r="P18" s="1">
        <f>M18*F18</f>
        <v>123.70175999999998</v>
      </c>
      <c r="Q18" s="1">
        <f>O18*M18</f>
        <v>4.6019999999999994</v>
      </c>
      <c r="R18" t="s">
        <v>32</v>
      </c>
      <c r="S18">
        <v>10.8355581665008</v>
      </c>
      <c r="T18" s="2">
        <f>(S18-Q17)/S18</f>
        <v>0.15131275577197825</v>
      </c>
    </row>
    <row r="19" spans="1:23" x14ac:dyDescent="0.25">
      <c r="A19">
        <v>261</v>
      </c>
      <c r="B19" t="s">
        <v>42</v>
      </c>
      <c r="C19" s="4">
        <v>1.2</v>
      </c>
      <c r="D19">
        <v>18.3</v>
      </c>
      <c r="E19">
        <v>6.25</v>
      </c>
      <c r="F19" s="3">
        <f t="shared" si="9"/>
        <v>3.5136000000000001E-2</v>
      </c>
      <c r="G19">
        <f t="shared" si="10"/>
        <v>1.1999999999999999E-3</v>
      </c>
      <c r="H19" s="1">
        <f t="shared" si="11"/>
        <v>2.6352000000000002</v>
      </c>
      <c r="I19" s="1">
        <f t="shared" si="12"/>
        <v>2.6352000000000002</v>
      </c>
      <c r="J19" s="1">
        <f t="shared" si="13"/>
        <v>203.78880000000001</v>
      </c>
      <c r="K19">
        <v>75</v>
      </c>
      <c r="L19">
        <v>75</v>
      </c>
      <c r="M19">
        <v>5800</v>
      </c>
      <c r="N19">
        <v>6300</v>
      </c>
      <c r="O19">
        <f>1.2/1000</f>
        <v>1.1999999999999999E-3</v>
      </c>
      <c r="P19" s="1">
        <f t="shared" ref="P19" si="14">(O19*M19+O19*L19+O19*K19)/3</f>
        <v>2.3799999999999994</v>
      </c>
      <c r="Q19" s="1"/>
    </row>
    <row r="20" spans="1:23" x14ac:dyDescent="0.25">
      <c r="P20" s="1"/>
      <c r="Q20" s="1"/>
    </row>
    <row r="21" spans="1:23" x14ac:dyDescent="0.25">
      <c r="Q21" s="1"/>
    </row>
  </sheetData>
  <mergeCells count="1">
    <mergeCell ref="K13:O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2019-05-15T11:53:49Z</dcterms:created>
  <dcterms:modified xsi:type="dcterms:W3CDTF">2019-05-23T13:32:00Z</dcterms:modified>
</cp:coreProperties>
</file>