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3920_ic_ac_uk/Documents/60003_Processing Lab/Figures/Data/"/>
    </mc:Choice>
  </mc:AlternateContent>
  <xr:revisionPtr revIDLastSave="1040" documentId="11_F9A344A3A302708C822867A2783ECC623380819E" xr6:coauthVersionLast="47" xr6:coauthVersionMax="47" xr10:uidLastSave="{5E4CA343-3661-4C5B-A8E2-1756A949DCEB}"/>
  <bookViews>
    <workbookView xWindow="-98" yWindow="-98" windowWidth="20715" windowHeight="13155" activeTab="3" xr2:uid="{00000000-000D-0000-FFFF-FFFF00000000}"/>
  </bookViews>
  <sheets>
    <sheet name="Hardness data" sheetId="1" r:id="rId1"/>
    <sheet name="Rolling data" sheetId="2" r:id="rId2"/>
    <sheet name="Plot data" sheetId="4" r:id="rId3"/>
    <sheet name="Plot data_sf" sheetId="5" r:id="rId4"/>
    <sheet name="Al15 H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M6" i="5"/>
  <c r="L6" i="5"/>
  <c r="H4" i="5"/>
  <c r="I4" i="5"/>
  <c r="J4" i="5"/>
  <c r="H5" i="5"/>
  <c r="I5" i="5"/>
  <c r="J5" i="5"/>
  <c r="G4" i="5"/>
  <c r="G5" i="5"/>
  <c r="F5" i="5"/>
  <c r="F4" i="5"/>
  <c r="C3" i="5"/>
  <c r="D3" i="5"/>
  <c r="E3" i="5"/>
  <c r="F3" i="5"/>
  <c r="H3" i="5"/>
  <c r="I3" i="5"/>
  <c r="J3" i="5"/>
  <c r="K3" i="5"/>
  <c r="L3" i="5"/>
  <c r="M3" i="5"/>
  <c r="C4" i="5"/>
  <c r="D4" i="5"/>
  <c r="E4" i="5"/>
  <c r="K4" i="5"/>
  <c r="L4" i="5"/>
  <c r="M4" i="5"/>
  <c r="C5" i="5"/>
  <c r="D5" i="5"/>
  <c r="E5" i="5"/>
  <c r="K5" i="5"/>
  <c r="L5" i="5"/>
  <c r="M5" i="5"/>
  <c r="H6" i="5"/>
  <c r="I6" i="5"/>
  <c r="J6" i="5"/>
  <c r="K6" i="5"/>
  <c r="B2" i="5"/>
  <c r="C2" i="5"/>
  <c r="D2" i="5"/>
  <c r="E2" i="5"/>
  <c r="F2" i="5"/>
  <c r="G2" i="5"/>
  <c r="H2" i="5"/>
  <c r="I2" i="5"/>
  <c r="J2" i="5"/>
  <c r="K2" i="5"/>
  <c r="L2" i="5"/>
  <c r="M2" i="5"/>
  <c r="A2" i="5"/>
  <c r="M6" i="4"/>
  <c r="M5" i="4"/>
  <c r="M4" i="4"/>
  <c r="M3" i="4"/>
  <c r="L3" i="4"/>
  <c r="L6" i="4"/>
  <c r="L5" i="4"/>
  <c r="L4" i="4"/>
  <c r="M2" i="4"/>
  <c r="L2" i="4"/>
  <c r="K3" i="4"/>
  <c r="K6" i="4"/>
  <c r="K5" i="4"/>
  <c r="K4" i="4"/>
  <c r="J6" i="4"/>
  <c r="J5" i="4"/>
  <c r="J4" i="4"/>
  <c r="J3" i="4"/>
  <c r="I3" i="4"/>
  <c r="I6" i="4"/>
  <c r="I5" i="4"/>
  <c r="I4" i="4"/>
  <c r="G5" i="4"/>
  <c r="G4" i="4"/>
  <c r="G3" i="4"/>
  <c r="F3" i="4"/>
  <c r="G2" i="4"/>
  <c r="F2" i="4"/>
  <c r="E5" i="4"/>
  <c r="E4" i="4"/>
  <c r="E3" i="4"/>
  <c r="D3" i="4"/>
  <c r="F4" i="4"/>
  <c r="F5" i="4"/>
  <c r="D5" i="4"/>
  <c r="D4" i="4"/>
  <c r="J2" i="4"/>
  <c r="I2" i="4"/>
  <c r="E2" i="4"/>
  <c r="D2" i="4"/>
  <c r="B2" i="4"/>
  <c r="A2" i="4"/>
  <c r="P3" i="2"/>
  <c r="Q3" i="2" s="1"/>
  <c r="S33" i="1"/>
  <c r="T33" i="1"/>
  <c r="U33" i="1"/>
  <c r="S34" i="1"/>
  <c r="T34" i="1"/>
  <c r="U34" i="1"/>
  <c r="N33" i="1"/>
  <c r="O33" i="1"/>
  <c r="P33" i="1"/>
  <c r="N34" i="1"/>
  <c r="O34" i="1"/>
  <c r="P34" i="1"/>
  <c r="M34" i="1"/>
  <c r="M33" i="1"/>
  <c r="O14" i="1"/>
  <c r="P14" i="1"/>
  <c r="Q14" i="1"/>
  <c r="N14" i="1"/>
  <c r="V14" i="1"/>
  <c r="T14" i="1"/>
  <c r="U14" i="1"/>
  <c r="S14" i="1"/>
  <c r="N3" i="2"/>
  <c r="N9" i="2"/>
  <c r="N14" i="2"/>
  <c r="N19" i="2"/>
  <c r="N24" i="2"/>
  <c r="K9" i="2"/>
  <c r="K14" i="2"/>
  <c r="L14" i="2" s="1"/>
  <c r="K19" i="2"/>
  <c r="K24" i="2"/>
  <c r="K3" i="2"/>
  <c r="L3" i="2" s="1"/>
  <c r="L9" i="2"/>
  <c r="L19" i="2"/>
  <c r="L24" i="2"/>
  <c r="G15" i="2"/>
  <c r="G19" i="2"/>
  <c r="G20" i="2"/>
  <c r="G24" i="2"/>
  <c r="I24" i="2" s="1"/>
  <c r="G25" i="2"/>
  <c r="H10" i="2"/>
  <c r="H14" i="2"/>
  <c r="H15" i="2"/>
  <c r="H19" i="2"/>
  <c r="H20" i="2"/>
  <c r="H24" i="2"/>
  <c r="H25" i="2"/>
  <c r="H9" i="2"/>
  <c r="R34" i="1"/>
  <c r="R33" i="1"/>
  <c r="G10" i="2"/>
  <c r="I19" i="2"/>
  <c r="I14" i="2"/>
  <c r="G14" i="2"/>
  <c r="I9" i="2"/>
  <c r="G9" i="2"/>
  <c r="H6" i="2"/>
  <c r="G6" i="2"/>
  <c r="H4" i="2"/>
  <c r="H3" i="2"/>
  <c r="G4" i="2"/>
  <c r="G3" i="2"/>
  <c r="C34" i="1"/>
  <c r="D39" i="1"/>
  <c r="E34" i="1"/>
  <c r="E40" i="1"/>
  <c r="I34" i="1"/>
  <c r="D40" i="1"/>
  <c r="F34" i="1"/>
  <c r="E41" i="1"/>
  <c r="J34" i="1"/>
  <c r="D41" i="1"/>
  <c r="G34" i="1"/>
  <c r="E42" i="1"/>
  <c r="K34" i="1"/>
  <c r="D42" i="1"/>
  <c r="B34" i="1"/>
  <c r="C33" i="1"/>
  <c r="C39" i="1"/>
  <c r="E33" i="1"/>
  <c r="C40" i="1"/>
  <c r="I33" i="1"/>
  <c r="B40" i="1"/>
  <c r="F33" i="1"/>
  <c r="C41" i="1"/>
  <c r="J33" i="1"/>
  <c r="B41" i="1"/>
  <c r="G33" i="1"/>
  <c r="C42" i="1"/>
  <c r="K33" i="1"/>
  <c r="B42" i="1"/>
  <c r="B33" i="1"/>
  <c r="B39" i="1"/>
  <c r="E39" i="1"/>
</calcChain>
</file>

<file path=xl/sharedStrings.xml><?xml version="1.0" encoding="utf-8"?>
<sst xmlns="http://schemas.openxmlformats.org/spreadsheetml/2006/main" count="126" uniqueCount="79">
  <si>
    <t>Sample</t>
  </si>
  <si>
    <t>Initial sample</t>
  </si>
  <si>
    <t>Solid solutionised</t>
  </si>
  <si>
    <t>100 c-&gt;</t>
  </si>
  <si>
    <t>48 h aged 100</t>
  </si>
  <si>
    <t>96 h aged</t>
  </si>
  <si>
    <t>144 h aged</t>
  </si>
  <si>
    <t>100 c -&gt;</t>
  </si>
  <si>
    <t>48 h rolled</t>
  </si>
  <si>
    <t>96 h rolled</t>
  </si>
  <si>
    <t>144 h rolled</t>
  </si>
  <si>
    <t>rolled-&gt;</t>
  </si>
  <si>
    <t>10% reduced</t>
  </si>
  <si>
    <t>20% reduced</t>
  </si>
  <si>
    <t>30% reduced</t>
  </si>
  <si>
    <t>40% strain</t>
  </si>
  <si>
    <t>200 c -&gt;</t>
  </si>
  <si>
    <t>4 h aged</t>
  </si>
  <si>
    <t>8 h aged</t>
  </si>
  <si>
    <t>12 h aged</t>
  </si>
  <si>
    <t>16 h aged</t>
  </si>
  <si>
    <t>trial</t>
  </si>
  <si>
    <t>vicker hardness</t>
  </si>
  <si>
    <t>hv</t>
  </si>
  <si>
    <t>20 thickness reduced</t>
  </si>
  <si>
    <t>(thickness reduction</t>
  </si>
  <si>
    <t>*</t>
  </si>
  <si>
    <t>*not square</t>
  </si>
  <si>
    <t xml:space="preserve">less hard in middle </t>
  </si>
  <si>
    <t>sample route exclude top 2 and bottom 2</t>
  </si>
  <si>
    <t>2 series. aged and rolled</t>
  </si>
  <si>
    <t>sorted</t>
  </si>
  <si>
    <t>48 h aged</t>
  </si>
  <si>
    <t>1 (min)</t>
  </si>
  <si>
    <t>10 (max)</t>
  </si>
  <si>
    <t>avg</t>
  </si>
  <si>
    <t>stdev</t>
  </si>
  <si>
    <t>time</t>
  </si>
  <si>
    <t>Rolled</t>
  </si>
  <si>
    <t>Unrolled</t>
  </si>
  <si>
    <t>rolled(stdev)</t>
  </si>
  <si>
    <t>unrolled(stdev)</t>
  </si>
  <si>
    <t>sample:</t>
  </si>
  <si>
    <t>solid solutionised for 24 h</t>
  </si>
  <si>
    <t>std</t>
  </si>
  <si>
    <t>target</t>
  </si>
  <si>
    <t>intitial t</t>
  </si>
  <si>
    <t>final t</t>
  </si>
  <si>
    <t>percent reduction</t>
  </si>
  <si>
    <t>10% thickness reduction</t>
  </si>
  <si>
    <t>initial</t>
  </si>
  <si>
    <t>final</t>
  </si>
  <si>
    <t>20% thickness reduction</t>
  </si>
  <si>
    <t>30% thickness reduction</t>
  </si>
  <si>
    <t xml:space="preserve">40% thickness reduction </t>
  </si>
  <si>
    <t>Longitudinal (x) true strain assuming incompressibility and no change in Y</t>
  </si>
  <si>
    <t>true horisontal z strain</t>
  </si>
  <si>
    <t>Horisontal engineering strain (Z)</t>
  </si>
  <si>
    <t>*5kg</t>
  </si>
  <si>
    <t>Al15</t>
  </si>
  <si>
    <t>sample</t>
  </si>
  <si>
    <t>5kg</t>
  </si>
  <si>
    <t>200 deg</t>
  </si>
  <si>
    <t>8 h</t>
  </si>
  <si>
    <t>12 h</t>
  </si>
  <si>
    <t>16 h</t>
  </si>
  <si>
    <t>std_0</t>
  </si>
  <si>
    <t>time_A100</t>
  </si>
  <si>
    <t>std_A100</t>
  </si>
  <si>
    <t>avg_R+A100</t>
  </si>
  <si>
    <t>std_R+A100</t>
  </si>
  <si>
    <t>avg_0</t>
  </si>
  <si>
    <t>avg_A100</t>
  </si>
  <si>
    <t>time_A200</t>
  </si>
  <si>
    <t>avg_A200</t>
  </si>
  <si>
    <t>std_A200</t>
  </si>
  <si>
    <t>strain</t>
  </si>
  <si>
    <t>avg_strain</t>
  </si>
  <si>
    <t>std_strain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</si>
</sst>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  <xf numFmtId="2" fontId="0" fillId="0" borderId="2" xfId="0" applyNumberFormat="1" applyBorder="1"/>
    <xf numFmtId="164" fontId="0" fillId="0" borderId="0" xfId="0" applyNumberFormat="1"/>
    <xf numFmtId="164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28521434820647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'Hardness data'!$B$38</c:f>
              <c:strCache>
                <c:ptCount val="1"/>
                <c:pt idx="0">
                  <c:v>Rolled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'Hardness data'!$D$39:$D$42</c:f>
                <c:numCache>
                  <c:formatCode>General</c:formatCode>
                  <c:ptCount val="4"/>
                  <c:pt idx="0">
                    <c:v>4.538875288977315</c:v>
                  </c:pt>
                  <c:pt idx="1">
                    <c:v>10.046848593796296</c:v>
                  </c:pt>
                  <c:pt idx="2">
                    <c:v>4.0994579587496141</c:v>
                  </c:pt>
                  <c:pt idx="3">
                    <c:v>5.2094998693625945</c:v>
                  </c:pt>
                </c:numCache>
              </c:numRef>
            </c:plus>
            <c:minus>
              <c:numRef>
                <c:f>'Hardness data'!$D$39:$D$42</c:f>
                <c:numCache>
                  <c:formatCode>General</c:formatCode>
                  <c:ptCount val="4"/>
                  <c:pt idx="0">
                    <c:v>4.538875288977315</c:v>
                  </c:pt>
                  <c:pt idx="1">
                    <c:v>10.046848593796296</c:v>
                  </c:pt>
                  <c:pt idx="2">
                    <c:v>4.0994579587496141</c:v>
                  </c:pt>
                  <c:pt idx="3">
                    <c:v>5.2094998693625945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'Hardness data'!$A$39:$A$42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</c:numCache>
            </c:numRef>
          </c:xVal>
          <c:yVal>
            <c:numRef>
              <c:f>'Hardness data'!$B$39:$B$42</c:f>
              <c:numCache>
                <c:formatCode>General</c:formatCode>
                <c:ptCount val="4"/>
                <c:pt idx="0">
                  <c:v>66.516666666666666</c:v>
                </c:pt>
                <c:pt idx="1">
                  <c:v>92.55</c:v>
                </c:pt>
                <c:pt idx="2">
                  <c:v>109.16666666666667</c:v>
                </c:pt>
                <c:pt idx="3">
                  <c:v>114.83333333333333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6-4ED5-B1DA-0A14503DBAEC}"/>
            </c:ext>
          </c:extLst>
        </c:ser>
        <c:ser>
          <c:idx val="1"/>
          <c:order val="1"/>
          <c:tx>
            <c:strRef>
              <c:f>'Hardness data'!$C$38</c:f>
              <c:strCache>
                <c:ptCount val="1"/>
                <c:pt idx="0">
                  <c:v>Unrolled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'Hardness data'!$E$39:$E$42</c:f>
                <c:numCache>
                  <c:formatCode>General</c:formatCode>
                  <c:ptCount val="4"/>
                  <c:pt idx="0">
                    <c:v>4.538875288977315</c:v>
                  </c:pt>
                  <c:pt idx="1">
                    <c:v>1.3107461827354507</c:v>
                  </c:pt>
                  <c:pt idx="2">
                    <c:v>2.4924887161229035</c:v>
                  </c:pt>
                  <c:pt idx="3">
                    <c:v>4.1972213030368888</c:v>
                  </c:pt>
                </c:numCache>
              </c:numRef>
            </c:plus>
            <c:minus>
              <c:numRef>
                <c:f>'Hardness data'!$E$39:$E$42</c:f>
                <c:numCache>
                  <c:formatCode>General</c:formatCode>
                  <c:ptCount val="4"/>
                  <c:pt idx="0">
                    <c:v>4.538875288977315</c:v>
                  </c:pt>
                  <c:pt idx="1">
                    <c:v>1.3107461827354507</c:v>
                  </c:pt>
                  <c:pt idx="2">
                    <c:v>2.4924887161229035</c:v>
                  </c:pt>
                  <c:pt idx="3">
                    <c:v>4.1972213030368888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'Hardness data'!$A$39:$A$42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</c:numCache>
            </c:numRef>
          </c:xVal>
          <c:yVal>
            <c:numRef>
              <c:f>'Hardness data'!$C$39:$C$42</c:f>
              <c:numCache>
                <c:formatCode>General</c:formatCode>
                <c:ptCount val="4"/>
                <c:pt idx="0">
                  <c:v>66.516666666666666</c:v>
                </c:pt>
                <c:pt idx="1">
                  <c:v>65.716666666666669</c:v>
                </c:pt>
                <c:pt idx="2">
                  <c:v>87.949999999999989</c:v>
                </c:pt>
                <c:pt idx="3">
                  <c:v>91.899999999999991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6-4ED5-B1DA-0A14503D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32840"/>
        <c:axId val="332133168"/>
      </c:scatterChart>
      <c:valAx>
        <c:axId val="332132840"/>
        <c:scaling>
          <c:orientation val="minMax"/>
          <c:max val="15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>
                    <a:solidFill>
                      <a:sysClr val="windowText" lastClr="000000"/>
                    </a:solidFill>
                  </a:rPr>
                  <a:t>Time /</a:t>
                </a:r>
                <a:r>
                  <a:rPr lang="nb-NO" sz="2000" baseline="0">
                    <a:solidFill>
                      <a:sysClr val="windowText" lastClr="000000"/>
                    </a:solidFill>
                  </a:rPr>
                  <a:t>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3168"/>
        <c:crosses val="autoZero"/>
        <c:crossBetween val="midCat"/>
        <c:minorUnit val="10"/>
      </c:valAx>
      <c:valAx>
        <c:axId val="332133168"/>
        <c:scaling>
          <c:orientation val="minMax"/>
          <c:max val="121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>
                    <a:solidFill>
                      <a:sysClr val="windowText" lastClr="000000"/>
                    </a:solidFill>
                  </a:rPr>
                  <a:t>H</a:t>
                </a:r>
                <a:r>
                  <a:rPr lang="nb-NO" sz="2000" baseline="-25000">
                    <a:solidFill>
                      <a:sysClr val="windowText" lastClr="000000"/>
                    </a:solidFill>
                  </a:rPr>
                  <a:t>V</a:t>
                </a:r>
                <a:r>
                  <a:rPr lang="nb-NO" sz="2000">
                    <a:solidFill>
                      <a:sysClr val="windowText" lastClr="000000"/>
                    </a:solidFill>
                  </a:rPr>
                  <a:t> </a:t>
                </a:r>
                <a:r>
                  <a:rPr lang="nb-NO" sz="2000" baseline="0">
                    <a:solidFill>
                      <a:sysClr val="windowText" lastClr="000000"/>
                    </a:solidFill>
                  </a:rPr>
                  <a:t>/ GPa</a:t>
                </a:r>
                <a:endParaRPr lang="nb-NO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ysClr val="window" lastClr="FFFFFF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2840"/>
        <c:crossesAt val="-4"/>
        <c:crossBetween val="midCat"/>
        <c:minorUnit val="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065149118779156"/>
          <c:y val="7.0188347746193994E-2"/>
          <c:w val="0.18167774924462735"/>
          <c:h val="0.18939063016304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383858</xdr:colOff>
      <xdr:row>34</xdr:row>
      <xdr:rowOff>149542</xdr:rowOff>
    </xdr:from>
    <xdr:to>
      <xdr:col>18</xdr:col>
      <xdr:colOff>138113</xdr:colOff>
      <xdr:row>55</xdr:row>
      <xdr:rowOff>29527</xdr:rowOff>
    </xdr:to>
    <xdr:graphicFrame macro="">
      <xdr:nvGraphicFramePr>
        <xdr:cNvPr id="24" name="Diagram 1">
          <a:extLst>
            <a:ext uri="{FF2B5EF4-FFF2-40B4-BE49-F238E27FC236}">
              <a16:creationId xmlns:a16="http://schemas.microsoft.com/office/drawing/2014/main" id="{D2B96B4A-EA8E-4EDB-BC6A-035BA459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opLeftCell="G16" zoomScale="70" zoomScaleNormal="70" workbookViewId="0">
      <selection activeCell="G56" sqref="G56"/>
    </sheetView>
  </sheetViews>
  <sheetFormatPr defaultColWidth="8.86328125" defaultRowHeight="14.25" x14ac:dyDescent="0.45"/>
  <cols>
    <col min="2" max="2" width="15.33203125" customWidth="1"/>
    <col min="4" max="4" width="12" bestFit="1" customWidth="1"/>
  </cols>
  <sheetData>
    <row r="1" spans="1:22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s="2" t="s">
        <v>21</v>
      </c>
      <c r="B2" s="2" t="s">
        <v>22</v>
      </c>
      <c r="C2" s="2" t="s">
        <v>23</v>
      </c>
      <c r="D2" s="2"/>
      <c r="E2" s="2"/>
      <c r="F2" s="2"/>
      <c r="G2" s="2"/>
      <c r="H2" s="2"/>
      <c r="I2" s="2" t="s">
        <v>24</v>
      </c>
      <c r="J2" s="2"/>
      <c r="K2" s="2"/>
      <c r="L2" s="2"/>
      <c r="M2" s="2" t="s">
        <v>25</v>
      </c>
      <c r="N2" s="2"/>
      <c r="O2" s="2"/>
      <c r="P2" s="2"/>
      <c r="Q2" s="2"/>
      <c r="R2" s="2"/>
      <c r="S2" s="2"/>
    </row>
    <row r="3" spans="1:22" x14ac:dyDescent="0.45">
      <c r="A3">
        <v>1</v>
      </c>
      <c r="B3">
        <v>45.7</v>
      </c>
      <c r="C3">
        <v>67</v>
      </c>
      <c r="F3">
        <v>64.099999999999994</v>
      </c>
      <c r="G3">
        <v>87.1</v>
      </c>
      <c r="H3">
        <v>90.7</v>
      </c>
      <c r="J3">
        <v>112</v>
      </c>
      <c r="K3">
        <v>112</v>
      </c>
      <c r="L3">
        <v>111</v>
      </c>
      <c r="N3">
        <v>81.7</v>
      </c>
      <c r="O3">
        <v>83.1</v>
      </c>
      <c r="P3">
        <v>95.2</v>
      </c>
      <c r="Q3">
        <v>109</v>
      </c>
      <c r="S3">
        <v>85.6</v>
      </c>
      <c r="T3">
        <v>100</v>
      </c>
      <c r="U3">
        <v>74.400000000000006</v>
      </c>
      <c r="V3">
        <v>103</v>
      </c>
    </row>
    <row r="4" spans="1:22" x14ac:dyDescent="0.45">
      <c r="A4">
        <v>2</v>
      </c>
      <c r="B4">
        <v>45.1</v>
      </c>
      <c r="C4">
        <v>59.2</v>
      </c>
      <c r="D4" t="s">
        <v>26</v>
      </c>
      <c r="F4">
        <v>79.3</v>
      </c>
      <c r="G4">
        <v>90.7</v>
      </c>
      <c r="H4">
        <v>96.5</v>
      </c>
      <c r="J4">
        <v>101</v>
      </c>
      <c r="K4">
        <v>117</v>
      </c>
      <c r="L4">
        <v>121</v>
      </c>
      <c r="N4">
        <v>102</v>
      </c>
      <c r="O4">
        <v>100</v>
      </c>
      <c r="P4">
        <v>111</v>
      </c>
      <c r="Q4">
        <v>112</v>
      </c>
      <c r="S4">
        <v>94</v>
      </c>
      <c r="T4">
        <v>112</v>
      </c>
      <c r="U4">
        <v>109</v>
      </c>
      <c r="V4">
        <v>104</v>
      </c>
    </row>
    <row r="5" spans="1:22" x14ac:dyDescent="0.45">
      <c r="A5">
        <v>3</v>
      </c>
      <c r="B5">
        <v>46.7</v>
      </c>
      <c r="C5">
        <v>60.8</v>
      </c>
      <c r="F5">
        <v>72.099999999999994</v>
      </c>
      <c r="G5">
        <v>80.3</v>
      </c>
      <c r="H5">
        <v>90</v>
      </c>
      <c r="J5">
        <v>103</v>
      </c>
      <c r="K5">
        <v>114</v>
      </c>
      <c r="L5">
        <v>123</v>
      </c>
      <c r="N5">
        <v>71.8</v>
      </c>
      <c r="O5">
        <v>101</v>
      </c>
      <c r="P5">
        <v>103</v>
      </c>
      <c r="Q5">
        <v>108</v>
      </c>
      <c r="S5">
        <v>87.3</v>
      </c>
      <c r="T5">
        <v>102</v>
      </c>
      <c r="U5">
        <v>107</v>
      </c>
      <c r="V5">
        <v>98.6</v>
      </c>
    </row>
    <row r="6" spans="1:22" x14ac:dyDescent="0.45">
      <c r="A6">
        <v>4</v>
      </c>
      <c r="B6">
        <v>47.8</v>
      </c>
      <c r="C6">
        <v>71.900000000000006</v>
      </c>
      <c r="F6">
        <v>60.5</v>
      </c>
      <c r="G6">
        <v>83.9</v>
      </c>
      <c r="H6">
        <v>99.6</v>
      </c>
      <c r="J6">
        <v>73.8</v>
      </c>
      <c r="K6">
        <v>106</v>
      </c>
      <c r="L6">
        <v>121</v>
      </c>
      <c r="N6">
        <v>75.099999999999994</v>
      </c>
      <c r="O6">
        <v>82.1</v>
      </c>
      <c r="P6">
        <v>90.9</v>
      </c>
      <c r="Q6">
        <v>109</v>
      </c>
      <c r="S6">
        <v>95.2</v>
      </c>
      <c r="T6">
        <v>99.3</v>
      </c>
      <c r="U6">
        <v>105</v>
      </c>
      <c r="V6">
        <v>94.7</v>
      </c>
    </row>
    <row r="7" spans="1:22" x14ac:dyDescent="0.45">
      <c r="A7">
        <v>5</v>
      </c>
      <c r="B7">
        <v>46.8</v>
      </c>
      <c r="C7">
        <v>71.8</v>
      </c>
      <c r="F7">
        <v>64.400000000000006</v>
      </c>
      <c r="G7">
        <v>94.3</v>
      </c>
      <c r="H7">
        <v>80.900000000000006</v>
      </c>
      <c r="J7">
        <v>67.3</v>
      </c>
      <c r="K7">
        <v>88.5</v>
      </c>
      <c r="L7">
        <v>88</v>
      </c>
      <c r="N7">
        <v>76</v>
      </c>
      <c r="O7">
        <v>75.7</v>
      </c>
      <c r="P7">
        <v>84.9</v>
      </c>
      <c r="Q7">
        <v>96.4</v>
      </c>
      <c r="S7">
        <v>97</v>
      </c>
      <c r="T7">
        <v>101</v>
      </c>
      <c r="U7">
        <v>91.1</v>
      </c>
      <c r="V7">
        <v>93.6</v>
      </c>
    </row>
    <row r="8" spans="1:22" x14ac:dyDescent="0.45">
      <c r="A8">
        <v>6</v>
      </c>
      <c r="B8">
        <v>47.5</v>
      </c>
      <c r="C8">
        <v>74.7</v>
      </c>
      <c r="F8">
        <v>63.5</v>
      </c>
      <c r="G8">
        <v>82.4</v>
      </c>
      <c r="H8">
        <v>93.7</v>
      </c>
      <c r="J8">
        <v>94.1</v>
      </c>
      <c r="K8">
        <v>109</v>
      </c>
      <c r="L8">
        <v>117</v>
      </c>
      <c r="N8">
        <v>78.599999999999994</v>
      </c>
      <c r="O8">
        <v>79.599999999999994</v>
      </c>
      <c r="P8">
        <v>106</v>
      </c>
      <c r="Q8">
        <v>104</v>
      </c>
      <c r="S8">
        <v>95.4</v>
      </c>
      <c r="T8">
        <v>101</v>
      </c>
      <c r="U8">
        <v>78.8</v>
      </c>
      <c r="V8">
        <v>92.4</v>
      </c>
    </row>
    <row r="9" spans="1:22" x14ac:dyDescent="0.45">
      <c r="A9">
        <v>7</v>
      </c>
      <c r="B9">
        <v>51.8</v>
      </c>
      <c r="C9">
        <v>68</v>
      </c>
      <c r="F9">
        <v>64.900000000000006</v>
      </c>
      <c r="G9">
        <v>86.3</v>
      </c>
      <c r="H9">
        <v>84.3</v>
      </c>
      <c r="J9">
        <v>107</v>
      </c>
      <c r="K9">
        <v>112</v>
      </c>
      <c r="L9">
        <v>120</v>
      </c>
      <c r="N9">
        <v>101</v>
      </c>
      <c r="O9">
        <v>96.1</v>
      </c>
      <c r="P9">
        <v>107</v>
      </c>
      <c r="Q9">
        <v>112</v>
      </c>
      <c r="S9">
        <v>102</v>
      </c>
      <c r="T9">
        <v>110</v>
      </c>
      <c r="U9">
        <v>105</v>
      </c>
      <c r="V9">
        <v>99.7</v>
      </c>
    </row>
    <row r="10" spans="1:22" x14ac:dyDescent="0.45">
      <c r="A10">
        <v>8</v>
      </c>
      <c r="B10">
        <v>46.2</v>
      </c>
      <c r="C10">
        <v>71.2</v>
      </c>
      <c r="F10">
        <v>67.5</v>
      </c>
      <c r="G10">
        <v>88.7</v>
      </c>
      <c r="H10">
        <v>75.3</v>
      </c>
      <c r="J10">
        <v>97.6</v>
      </c>
      <c r="K10">
        <v>81.8</v>
      </c>
      <c r="L10">
        <v>114</v>
      </c>
      <c r="N10">
        <v>96.6</v>
      </c>
      <c r="O10">
        <v>103</v>
      </c>
      <c r="P10">
        <v>103</v>
      </c>
      <c r="Q10">
        <v>102</v>
      </c>
      <c r="S10">
        <v>95.5</v>
      </c>
      <c r="T10">
        <v>98.8</v>
      </c>
      <c r="U10">
        <v>95.8</v>
      </c>
      <c r="V10">
        <v>99.1</v>
      </c>
    </row>
    <row r="11" spans="1:22" x14ac:dyDescent="0.45">
      <c r="A11">
        <v>9</v>
      </c>
      <c r="B11">
        <v>48.7</v>
      </c>
      <c r="C11">
        <v>60.3</v>
      </c>
      <c r="F11">
        <v>66.400000000000006</v>
      </c>
      <c r="G11">
        <v>92.5</v>
      </c>
      <c r="H11">
        <v>97.4</v>
      </c>
      <c r="J11">
        <v>58</v>
      </c>
      <c r="K11">
        <v>102</v>
      </c>
      <c r="L11">
        <v>106</v>
      </c>
      <c r="N11">
        <v>90</v>
      </c>
      <c r="O11">
        <v>100</v>
      </c>
      <c r="P11">
        <v>96.7</v>
      </c>
      <c r="Q11">
        <v>91.2</v>
      </c>
      <c r="S11">
        <v>86.3</v>
      </c>
      <c r="T11">
        <v>107</v>
      </c>
      <c r="U11">
        <v>102</v>
      </c>
      <c r="V11">
        <v>98</v>
      </c>
    </row>
    <row r="12" spans="1:22" x14ac:dyDescent="0.45">
      <c r="A12">
        <v>10</v>
      </c>
      <c r="B12">
        <v>45.2</v>
      </c>
      <c r="C12">
        <v>55.6</v>
      </c>
      <c r="F12">
        <v>67</v>
      </c>
      <c r="G12">
        <v>91</v>
      </c>
      <c r="H12">
        <v>96.2</v>
      </c>
      <c r="J12">
        <v>85.8</v>
      </c>
      <c r="K12">
        <v>116</v>
      </c>
      <c r="L12">
        <v>82.8</v>
      </c>
      <c r="N12">
        <v>68.3</v>
      </c>
      <c r="O12">
        <v>78.7</v>
      </c>
      <c r="P12">
        <v>88.1</v>
      </c>
      <c r="Q12">
        <v>98.7</v>
      </c>
      <c r="S12">
        <v>100</v>
      </c>
      <c r="T12">
        <v>97.4</v>
      </c>
      <c r="U12">
        <v>104</v>
      </c>
      <c r="V12">
        <v>108</v>
      </c>
    </row>
    <row r="13" spans="1:22" x14ac:dyDescent="0.45">
      <c r="D13" t="s">
        <v>27</v>
      </c>
      <c r="N13" t="s">
        <v>61</v>
      </c>
      <c r="O13" t="s">
        <v>58</v>
      </c>
    </row>
    <row r="14" spans="1:22" x14ac:dyDescent="0.45">
      <c r="J14" t="s">
        <v>28</v>
      </c>
      <c r="N14">
        <f>AVERAGE(N3:N12)</f>
        <v>84.11</v>
      </c>
      <c r="O14">
        <f t="shared" ref="O14:Q14" si="0">AVERAGE(O3:O12)</f>
        <v>89.93</v>
      </c>
      <c r="P14">
        <f t="shared" si="0"/>
        <v>98.580000000000013</v>
      </c>
      <c r="Q14">
        <f t="shared" si="0"/>
        <v>104.22999999999999</v>
      </c>
      <c r="S14">
        <f>AVERAGE(S3:S12)</f>
        <v>93.83</v>
      </c>
      <c r="T14">
        <f>AVERAGE(T3:T12)</f>
        <v>102.85</v>
      </c>
      <c r="U14">
        <f>AVERAGE(U3:U12)</f>
        <v>97.21</v>
      </c>
      <c r="V14">
        <f>AVERAGE(V3:V12)</f>
        <v>99.11</v>
      </c>
    </row>
    <row r="16" spans="1:22" x14ac:dyDescent="0.45">
      <c r="A16" t="s">
        <v>29</v>
      </c>
    </row>
    <row r="17" spans="1:21" x14ac:dyDescent="0.45">
      <c r="A17" t="s">
        <v>30</v>
      </c>
    </row>
    <row r="19" spans="1:21" x14ac:dyDescent="0.45">
      <c r="A19" t="s">
        <v>31</v>
      </c>
    </row>
    <row r="20" spans="1:21" x14ac:dyDescent="0.45">
      <c r="A20" t="s">
        <v>0</v>
      </c>
      <c r="B20" t="s">
        <v>1</v>
      </c>
      <c r="C20" t="s">
        <v>2</v>
      </c>
      <c r="D20" t="s">
        <v>3</v>
      </c>
      <c r="E20" t="s">
        <v>32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</row>
    <row r="21" spans="1:21" x14ac:dyDescent="0.45">
      <c r="A21" t="s">
        <v>21</v>
      </c>
      <c r="B21" t="s">
        <v>22</v>
      </c>
      <c r="C21" t="s">
        <v>23</v>
      </c>
      <c r="H21" t="s">
        <v>24</v>
      </c>
      <c r="L21" t="s">
        <v>25</v>
      </c>
    </row>
    <row r="22" spans="1:21" x14ac:dyDescent="0.45">
      <c r="A22" s="1" t="s">
        <v>33</v>
      </c>
      <c r="B22" s="3">
        <v>45.1</v>
      </c>
      <c r="C22" s="3">
        <v>55.6</v>
      </c>
      <c r="D22" s="3" t="s">
        <v>26</v>
      </c>
      <c r="E22" s="3">
        <v>60.5</v>
      </c>
      <c r="F22" s="3">
        <v>80.3</v>
      </c>
      <c r="G22" s="3">
        <v>75.3</v>
      </c>
      <c r="H22" s="3"/>
      <c r="I22" s="3">
        <v>58</v>
      </c>
      <c r="J22" s="3">
        <v>81.8</v>
      </c>
      <c r="K22" s="3">
        <v>88</v>
      </c>
      <c r="L22" s="3"/>
      <c r="M22" s="1">
        <v>68.3</v>
      </c>
      <c r="N22" s="1">
        <v>75.7</v>
      </c>
      <c r="O22" s="1">
        <v>84.9</v>
      </c>
      <c r="P22" s="1">
        <v>91.2</v>
      </c>
      <c r="Q22" s="3"/>
      <c r="R22" s="1">
        <v>85.6</v>
      </c>
      <c r="S22" s="1">
        <v>97.4</v>
      </c>
      <c r="T22" s="1">
        <v>74.400000000000006</v>
      </c>
      <c r="U22" s="1">
        <v>92.4</v>
      </c>
    </row>
    <row r="23" spans="1:21" x14ac:dyDescent="0.45">
      <c r="A23" s="1">
        <v>2</v>
      </c>
      <c r="B23" s="3">
        <v>45.2</v>
      </c>
      <c r="C23" s="3">
        <v>59.2</v>
      </c>
      <c r="D23" s="3"/>
      <c r="E23" s="3">
        <v>63.5</v>
      </c>
      <c r="F23" s="3">
        <v>82.4</v>
      </c>
      <c r="G23" s="3">
        <v>80.900000000000006</v>
      </c>
      <c r="H23" s="3"/>
      <c r="I23" s="3">
        <v>67.3</v>
      </c>
      <c r="J23" s="3">
        <v>88.5</v>
      </c>
      <c r="K23" s="3">
        <v>97</v>
      </c>
      <c r="L23" s="3"/>
      <c r="M23" s="1">
        <v>71.8</v>
      </c>
      <c r="N23" s="1">
        <v>78.7</v>
      </c>
      <c r="O23" s="1">
        <v>88.1</v>
      </c>
      <c r="P23" s="1">
        <v>96.4</v>
      </c>
      <c r="Q23" s="3"/>
      <c r="R23" s="1">
        <v>86.3</v>
      </c>
      <c r="S23" s="1">
        <v>98.8</v>
      </c>
      <c r="T23" s="1">
        <v>78.8</v>
      </c>
      <c r="U23" s="1">
        <v>93.6</v>
      </c>
    </row>
    <row r="24" spans="1:21" x14ac:dyDescent="0.45">
      <c r="A24">
        <v>3</v>
      </c>
      <c r="B24">
        <v>45.7</v>
      </c>
      <c r="C24">
        <v>60.3</v>
      </c>
      <c r="E24">
        <v>64.099999999999994</v>
      </c>
      <c r="F24">
        <v>83.9</v>
      </c>
      <c r="G24">
        <v>84.3</v>
      </c>
      <c r="I24">
        <v>73.8</v>
      </c>
      <c r="J24">
        <v>102</v>
      </c>
      <c r="K24">
        <v>106</v>
      </c>
      <c r="M24">
        <v>75.099999999999994</v>
      </c>
      <c r="N24">
        <v>79.599999999999994</v>
      </c>
      <c r="O24">
        <v>90.9</v>
      </c>
      <c r="P24">
        <v>98.7</v>
      </c>
      <c r="R24">
        <v>87.3</v>
      </c>
      <c r="S24">
        <v>99.3</v>
      </c>
      <c r="T24">
        <v>91.1</v>
      </c>
      <c r="U24">
        <v>94.7</v>
      </c>
    </row>
    <row r="25" spans="1:21" x14ac:dyDescent="0.45">
      <c r="A25">
        <v>4</v>
      </c>
      <c r="B25">
        <v>46.2</v>
      </c>
      <c r="C25">
        <v>60.8</v>
      </c>
      <c r="E25">
        <v>64.400000000000006</v>
      </c>
      <c r="F25">
        <v>86.3</v>
      </c>
      <c r="G25">
        <v>90</v>
      </c>
      <c r="I25">
        <v>85.8</v>
      </c>
      <c r="J25">
        <v>106</v>
      </c>
      <c r="K25">
        <v>111</v>
      </c>
      <c r="M25">
        <v>76</v>
      </c>
      <c r="N25">
        <v>82.1</v>
      </c>
      <c r="O25">
        <v>95.2</v>
      </c>
      <c r="P25">
        <v>102</v>
      </c>
      <c r="R25">
        <v>94</v>
      </c>
      <c r="S25">
        <v>100</v>
      </c>
      <c r="T25">
        <v>95.8</v>
      </c>
      <c r="U25">
        <v>98</v>
      </c>
    </row>
    <row r="26" spans="1:21" x14ac:dyDescent="0.45">
      <c r="A26">
        <v>5</v>
      </c>
      <c r="B26">
        <v>46.7</v>
      </c>
      <c r="C26">
        <v>67</v>
      </c>
      <c r="E26">
        <v>64.900000000000006</v>
      </c>
      <c r="F26">
        <v>87.1</v>
      </c>
      <c r="G26">
        <v>90.7</v>
      </c>
      <c r="I26">
        <v>94.1</v>
      </c>
      <c r="J26">
        <v>109</v>
      </c>
      <c r="K26">
        <v>114</v>
      </c>
      <c r="M26">
        <v>78.599999999999994</v>
      </c>
      <c r="N26">
        <v>83.1</v>
      </c>
      <c r="O26">
        <v>96.7</v>
      </c>
      <c r="P26">
        <v>104</v>
      </c>
      <c r="R26">
        <v>95.2</v>
      </c>
      <c r="S26">
        <v>101</v>
      </c>
      <c r="T26">
        <v>102</v>
      </c>
      <c r="U26">
        <v>98.6</v>
      </c>
    </row>
    <row r="27" spans="1:21" x14ac:dyDescent="0.45">
      <c r="A27">
        <v>6</v>
      </c>
      <c r="B27">
        <v>46.8</v>
      </c>
      <c r="C27">
        <v>68</v>
      </c>
      <c r="E27">
        <v>66.400000000000006</v>
      </c>
      <c r="F27">
        <v>88.7</v>
      </c>
      <c r="G27">
        <v>93.7</v>
      </c>
      <c r="I27">
        <v>97.6</v>
      </c>
      <c r="J27">
        <v>112</v>
      </c>
      <c r="K27">
        <v>117</v>
      </c>
      <c r="M27">
        <v>81.7</v>
      </c>
      <c r="N27">
        <v>96.1</v>
      </c>
      <c r="O27">
        <v>103</v>
      </c>
      <c r="P27">
        <v>108</v>
      </c>
      <c r="R27">
        <v>95.4</v>
      </c>
      <c r="S27">
        <v>101</v>
      </c>
      <c r="T27">
        <v>104</v>
      </c>
      <c r="U27">
        <v>99.1</v>
      </c>
    </row>
    <row r="28" spans="1:21" x14ac:dyDescent="0.45">
      <c r="A28">
        <v>7</v>
      </c>
      <c r="B28">
        <v>47.5</v>
      </c>
      <c r="C28">
        <v>71.2</v>
      </c>
      <c r="E28">
        <v>67</v>
      </c>
      <c r="F28">
        <v>90.7</v>
      </c>
      <c r="G28">
        <v>96.2</v>
      </c>
      <c r="I28">
        <v>101</v>
      </c>
      <c r="J28">
        <v>112</v>
      </c>
      <c r="K28">
        <v>120</v>
      </c>
      <c r="M28">
        <v>90</v>
      </c>
      <c r="N28">
        <v>100</v>
      </c>
      <c r="O28">
        <v>103</v>
      </c>
      <c r="P28">
        <v>109</v>
      </c>
      <c r="R28">
        <v>95.5</v>
      </c>
      <c r="S28">
        <v>102</v>
      </c>
      <c r="T28">
        <v>105</v>
      </c>
      <c r="U28">
        <v>99.7</v>
      </c>
    </row>
    <row r="29" spans="1:21" x14ac:dyDescent="0.45">
      <c r="A29">
        <v>8</v>
      </c>
      <c r="B29">
        <v>47.8</v>
      </c>
      <c r="C29">
        <v>71.8</v>
      </c>
      <c r="E29">
        <v>67.5</v>
      </c>
      <c r="F29">
        <v>91</v>
      </c>
      <c r="G29">
        <v>96.5</v>
      </c>
      <c r="I29">
        <v>103</v>
      </c>
      <c r="J29">
        <v>114</v>
      </c>
      <c r="K29">
        <v>121</v>
      </c>
      <c r="M29">
        <v>96.6</v>
      </c>
      <c r="N29">
        <v>100</v>
      </c>
      <c r="O29">
        <v>106</v>
      </c>
      <c r="P29">
        <v>109</v>
      </c>
      <c r="R29">
        <v>97</v>
      </c>
      <c r="S29">
        <v>107</v>
      </c>
      <c r="T29">
        <v>105</v>
      </c>
      <c r="U29">
        <v>103</v>
      </c>
    </row>
    <row r="30" spans="1:21" x14ac:dyDescent="0.45">
      <c r="A30" s="1">
        <v>9</v>
      </c>
      <c r="B30" s="3">
        <v>48.7</v>
      </c>
      <c r="C30" s="3">
        <v>71.900000000000006</v>
      </c>
      <c r="D30" s="3"/>
      <c r="E30" s="3">
        <v>72.099999999999994</v>
      </c>
      <c r="F30" s="3">
        <v>92.5</v>
      </c>
      <c r="G30" s="3">
        <v>97.4</v>
      </c>
      <c r="H30" s="3"/>
      <c r="I30" s="3">
        <v>107</v>
      </c>
      <c r="J30" s="3">
        <v>116</v>
      </c>
      <c r="K30" s="3">
        <v>121</v>
      </c>
      <c r="L30" s="3"/>
      <c r="M30" s="1">
        <v>101</v>
      </c>
      <c r="N30" s="1">
        <v>101</v>
      </c>
      <c r="O30" s="1">
        <v>107</v>
      </c>
      <c r="P30" s="1">
        <v>112</v>
      </c>
      <c r="Q30" s="3"/>
      <c r="R30" s="3">
        <v>100</v>
      </c>
      <c r="S30" s="1">
        <v>110</v>
      </c>
      <c r="T30" s="1">
        <v>107</v>
      </c>
      <c r="U30" s="1">
        <v>104</v>
      </c>
    </row>
    <row r="31" spans="1:21" x14ac:dyDescent="0.45">
      <c r="A31" s="1" t="s">
        <v>34</v>
      </c>
      <c r="B31" s="3">
        <v>51.8</v>
      </c>
      <c r="C31" s="3">
        <v>74.7</v>
      </c>
      <c r="D31" s="3"/>
      <c r="E31" s="3">
        <v>79.3</v>
      </c>
      <c r="F31" s="3">
        <v>94.3</v>
      </c>
      <c r="G31" s="3">
        <v>99.6</v>
      </c>
      <c r="H31" s="3"/>
      <c r="I31" s="3">
        <v>112</v>
      </c>
      <c r="J31" s="3">
        <v>117</v>
      </c>
      <c r="K31" s="3">
        <v>123</v>
      </c>
      <c r="L31" s="3"/>
      <c r="M31" s="1">
        <v>102</v>
      </c>
      <c r="N31" s="1">
        <v>103</v>
      </c>
      <c r="O31" s="1">
        <v>111</v>
      </c>
      <c r="P31" s="1">
        <v>112</v>
      </c>
      <c r="Q31" s="3"/>
      <c r="R31" s="1">
        <v>102</v>
      </c>
      <c r="S31" s="1">
        <v>112</v>
      </c>
      <c r="T31" s="1">
        <v>109</v>
      </c>
      <c r="U31" s="1">
        <v>108</v>
      </c>
    </row>
    <row r="33" spans="1:21" x14ac:dyDescent="0.45">
      <c r="A33" t="s">
        <v>35</v>
      </c>
      <c r="B33">
        <f>AVERAGE(B24:B29)</f>
        <v>46.783333333333339</v>
      </c>
      <c r="C33">
        <f t="shared" ref="C33:E33" si="1">AVERAGE(C24:C29)</f>
        <v>66.516666666666666</v>
      </c>
      <c r="E33">
        <f t="shared" si="1"/>
        <v>65.716666666666669</v>
      </c>
      <c r="F33">
        <f>AVERAGE(F24:F29)</f>
        <v>87.949999999999989</v>
      </c>
      <c r="G33">
        <f>AVERAGE(G24:G29)</f>
        <v>91.899999999999991</v>
      </c>
      <c r="I33">
        <f>AVERAGE(I24:I29)</f>
        <v>92.55</v>
      </c>
      <c r="J33">
        <f>AVERAGE(J24:J29)</f>
        <v>109.16666666666667</v>
      </c>
      <c r="K33">
        <f>AVERAGE(K24:K29)</f>
        <v>114.83333333333333</v>
      </c>
      <c r="M33">
        <f>AVERAGE(M24:M29)</f>
        <v>83</v>
      </c>
      <c r="N33">
        <f t="shared" ref="N33:P33" si="2">AVERAGE(N24:N29)</f>
        <v>90.149999999999991</v>
      </c>
      <c r="O33">
        <f t="shared" si="2"/>
        <v>99.133333333333326</v>
      </c>
      <c r="P33">
        <f t="shared" si="2"/>
        <v>105.11666666666667</v>
      </c>
      <c r="R33">
        <f>AVERAGE(R24:R29)</f>
        <v>94.066666666666663</v>
      </c>
      <c r="S33">
        <f t="shared" ref="S33:U33" si="3">AVERAGE(S24:S29)</f>
        <v>101.71666666666665</v>
      </c>
      <c r="T33">
        <f t="shared" si="3"/>
        <v>100.48333333333333</v>
      </c>
      <c r="U33">
        <f t="shared" si="3"/>
        <v>98.84999999999998</v>
      </c>
    </row>
    <row r="34" spans="1:21" x14ac:dyDescent="0.45">
      <c r="A34" t="s">
        <v>36</v>
      </c>
      <c r="B34">
        <f>_xlfn.STDEV.P(B24:B29)</f>
        <v>0.71511459843082936</v>
      </c>
      <c r="C34">
        <f t="shared" ref="C34:E34" si="4">_xlfn.STDEV.P(C24:C29)</f>
        <v>4.538875288977315</v>
      </c>
      <c r="E34">
        <f t="shared" si="4"/>
        <v>1.3107461827354507</v>
      </c>
      <c r="F34">
        <f>_xlfn.STDEV.P(F24:F29)</f>
        <v>2.4924887161229035</v>
      </c>
      <c r="G34">
        <f>_xlfn.STDEV.P(G24:G29)</f>
        <v>4.1972213030368888</v>
      </c>
      <c r="I34">
        <f>_xlfn.STDEV.P(I24:I29)</f>
        <v>10.046848593796296</v>
      </c>
      <c r="J34">
        <f>_xlfn.STDEV.P(J24:J29)</f>
        <v>4.0994579587496141</v>
      </c>
      <c r="K34">
        <f>_xlfn.STDEV.P(K24:K29)</f>
        <v>5.2094998693625945</v>
      </c>
      <c r="M34">
        <f>_xlfn.STDEV.P(M24:M29)</f>
        <v>7.814729681825213</v>
      </c>
      <c r="N34">
        <f t="shared" ref="N34:P34" si="5">_xlfn.STDEV.P(N24:N29)</f>
        <v>8.7106735292589956</v>
      </c>
      <c r="O34">
        <f t="shared" si="5"/>
        <v>5.263606706010199</v>
      </c>
      <c r="P34">
        <f t="shared" si="5"/>
        <v>3.886050551509705</v>
      </c>
      <c r="R34">
        <f>_xlfn.STDEV.P(R24:R29)</f>
        <v>3.1494267555999613</v>
      </c>
      <c r="S34">
        <f t="shared" ref="S34:U34" si="6">_xlfn.STDEV.P(S24:S29)</f>
        <v>2.5102567376443572</v>
      </c>
      <c r="T34">
        <f t="shared" si="6"/>
        <v>5.2511638921502195</v>
      </c>
      <c r="U34">
        <f t="shared" si="6"/>
        <v>2.4499999999999993</v>
      </c>
    </row>
    <row r="38" spans="1:21" x14ac:dyDescent="0.45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21" x14ac:dyDescent="0.45">
      <c r="A39">
        <v>0</v>
      </c>
      <c r="B39">
        <f>C33</f>
        <v>66.516666666666666</v>
      </c>
      <c r="C39">
        <f>C33</f>
        <v>66.516666666666666</v>
      </c>
      <c r="D39">
        <f>C34</f>
        <v>4.538875288977315</v>
      </c>
      <c r="E39">
        <f>C34</f>
        <v>4.538875288977315</v>
      </c>
    </row>
    <row r="40" spans="1:21" x14ac:dyDescent="0.45">
      <c r="A40">
        <v>48</v>
      </c>
      <c r="B40">
        <f>I33</f>
        <v>92.55</v>
      </c>
      <c r="C40">
        <f>E33</f>
        <v>65.716666666666669</v>
      </c>
      <c r="D40">
        <f>I34</f>
        <v>10.046848593796296</v>
      </c>
      <c r="E40">
        <f>E34</f>
        <v>1.3107461827354507</v>
      </c>
    </row>
    <row r="41" spans="1:21" x14ac:dyDescent="0.45">
      <c r="A41">
        <v>96</v>
      </c>
      <c r="B41">
        <f>J33</f>
        <v>109.16666666666667</v>
      </c>
      <c r="C41">
        <f>F33</f>
        <v>87.949999999999989</v>
      </c>
      <c r="D41">
        <f>J34</f>
        <v>4.0994579587496141</v>
      </c>
      <c r="E41">
        <f>F34</f>
        <v>2.4924887161229035</v>
      </c>
    </row>
    <row r="42" spans="1:21" x14ac:dyDescent="0.45">
      <c r="A42">
        <v>144</v>
      </c>
      <c r="B42">
        <f>K33</f>
        <v>114.83333333333333</v>
      </c>
      <c r="C42">
        <f>G33</f>
        <v>91.899999999999991</v>
      </c>
      <c r="D42">
        <f>K34</f>
        <v>5.2094998693625945</v>
      </c>
      <c r="E42">
        <f>G34</f>
        <v>4.1972213030368888</v>
      </c>
    </row>
  </sheetData>
  <sortState xmlns:xlrd2="http://schemas.microsoft.com/office/spreadsheetml/2017/richdata2" ref="U22:U31">
    <sortCondition ref="U22:U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2E3D-3A93-4D70-964E-6B3C07FEE6A3}">
  <dimension ref="A1:Q26"/>
  <sheetViews>
    <sheetView workbookViewId="0">
      <selection activeCell="L9" sqref="L9"/>
    </sheetView>
  </sheetViews>
  <sheetFormatPr defaultColWidth="8.86328125" defaultRowHeight="14.25" x14ac:dyDescent="0.45"/>
  <sheetData>
    <row r="1" spans="1:17" x14ac:dyDescent="0.45">
      <c r="A1" t="s">
        <v>42</v>
      </c>
      <c r="B1" t="s">
        <v>43</v>
      </c>
      <c r="K1" t="s">
        <v>57</v>
      </c>
      <c r="L1" t="s">
        <v>56</v>
      </c>
      <c r="N1" t="s">
        <v>55</v>
      </c>
    </row>
    <row r="2" spans="1:17" x14ac:dyDescent="0.45">
      <c r="A2" t="s">
        <v>21</v>
      </c>
      <c r="B2">
        <v>1</v>
      </c>
      <c r="C2">
        <v>2</v>
      </c>
      <c r="D2">
        <v>3</v>
      </c>
      <c r="E2">
        <v>4</v>
      </c>
      <c r="F2">
        <v>5</v>
      </c>
      <c r="G2" s="4" t="s">
        <v>35</v>
      </c>
      <c r="H2" t="s">
        <v>44</v>
      </c>
      <c r="I2" t="s">
        <v>45</v>
      </c>
    </row>
    <row r="3" spans="1:17" x14ac:dyDescent="0.45">
      <c r="A3" t="s">
        <v>46</v>
      </c>
      <c r="B3">
        <v>11.78</v>
      </c>
      <c r="C3">
        <v>11.87</v>
      </c>
      <c r="D3">
        <v>11.57</v>
      </c>
      <c r="E3">
        <v>11.74</v>
      </c>
      <c r="F3">
        <v>11.86</v>
      </c>
      <c r="G3" s="5">
        <f>AVERAGE(B3:F3)</f>
        <v>11.763999999999999</v>
      </c>
      <c r="H3">
        <f>_xlfn.STDEV.P(B3:F3)</f>
        <v>0.1085541339608949</v>
      </c>
      <c r="K3">
        <f>(G4-G3)/G3</f>
        <v>-0.21591295477728659</v>
      </c>
      <c r="L3">
        <f>LN(1+K3)</f>
        <v>-0.24323523772499059</v>
      </c>
      <c r="N3">
        <f>-L3/(1+L3)</f>
        <v>0.32141459255286853</v>
      </c>
      <c r="P3">
        <f>-K3/(1+K3)</f>
        <v>0.27536860364267118</v>
      </c>
      <c r="Q3">
        <f>LN(1+P3)</f>
        <v>0.24323523772499064</v>
      </c>
    </row>
    <row r="4" spans="1:17" x14ac:dyDescent="0.45">
      <c r="A4" t="s">
        <v>47</v>
      </c>
      <c r="B4">
        <v>9.2200000000000006</v>
      </c>
      <c r="C4">
        <v>9.23</v>
      </c>
      <c r="D4">
        <v>9.2200000000000006</v>
      </c>
      <c r="E4">
        <v>9.2200000000000006</v>
      </c>
      <c r="F4">
        <v>9.23</v>
      </c>
      <c r="G4" s="5">
        <f>AVERAGE(B4:F4)</f>
        <v>9.2240000000000002</v>
      </c>
      <c r="H4">
        <f>_xlfn.STDEV.P(B4:F4)</f>
        <v>4.8989794855662516E-3</v>
      </c>
    </row>
    <row r="5" spans="1:17" x14ac:dyDescent="0.45">
      <c r="G5" s="4"/>
    </row>
    <row r="6" spans="1:17" x14ac:dyDescent="0.45">
      <c r="F6" t="s">
        <v>48</v>
      </c>
      <c r="G6" s="4">
        <f>(G3-G4)/G3*100</f>
        <v>21.591295477728657</v>
      </c>
      <c r="H6">
        <f>(H3+H4)/G3</f>
        <v>9.6440932885465108E-3</v>
      </c>
    </row>
    <row r="7" spans="1:17" x14ac:dyDescent="0.45">
      <c r="G7" s="4"/>
    </row>
    <row r="8" spans="1:17" x14ac:dyDescent="0.45">
      <c r="A8" t="s">
        <v>49</v>
      </c>
      <c r="G8" s="4"/>
    </row>
    <row r="9" spans="1:17" x14ac:dyDescent="0.45">
      <c r="A9" t="s">
        <v>50</v>
      </c>
      <c r="B9">
        <v>11.88</v>
      </c>
      <c r="C9">
        <v>11.57</v>
      </c>
      <c r="D9">
        <v>11.89</v>
      </c>
      <c r="E9">
        <v>11.74</v>
      </c>
      <c r="F9">
        <v>11.61</v>
      </c>
      <c r="G9" s="4">
        <f>AVERAGE(B9:F9)</f>
        <v>11.738000000000001</v>
      </c>
      <c r="H9">
        <f>_xlfn.STDEV.P(B9:F9)</f>
        <v>0.13257450735341275</v>
      </c>
      <c r="I9">
        <f>G9*9/10</f>
        <v>10.564200000000001</v>
      </c>
      <c r="K9">
        <f t="shared" ref="K9:K24" si="0">(G10-G9)/G9</f>
        <v>-0.10785483046515604</v>
      </c>
      <c r="L9">
        <f t="shared" ref="L9:L24" si="1">LN(1+K9)</f>
        <v>-0.11412641352854416</v>
      </c>
      <c r="N9">
        <f>-L9/(1+L9)</f>
        <v>0.12882923170011626</v>
      </c>
    </row>
    <row r="10" spans="1:17" x14ac:dyDescent="0.45">
      <c r="A10" t="s">
        <v>51</v>
      </c>
      <c r="B10">
        <v>10.44</v>
      </c>
      <c r="C10">
        <v>10.49</v>
      </c>
      <c r="D10">
        <v>10.49</v>
      </c>
      <c r="E10">
        <v>10.47</v>
      </c>
      <c r="F10">
        <v>10.47</v>
      </c>
      <c r="G10" s="4">
        <f>AVERAGE(B10:F10)</f>
        <v>10.472</v>
      </c>
      <c r="H10">
        <f t="shared" ref="H10:H25" si="2">_xlfn.STDEV.P(B10:F10)</f>
        <v>1.8330302779823591E-2</v>
      </c>
    </row>
    <row r="11" spans="1:17" x14ac:dyDescent="0.45">
      <c r="G11" s="4"/>
    </row>
    <row r="12" spans="1:17" x14ac:dyDescent="0.45">
      <c r="G12" s="4"/>
    </row>
    <row r="13" spans="1:17" x14ac:dyDescent="0.45">
      <c r="A13" t="s">
        <v>52</v>
      </c>
      <c r="G13" s="4"/>
    </row>
    <row r="14" spans="1:17" x14ac:dyDescent="0.45">
      <c r="A14" t="s">
        <v>50</v>
      </c>
      <c r="B14">
        <v>11.91</v>
      </c>
      <c r="C14">
        <v>12.11</v>
      </c>
      <c r="D14">
        <v>11.92</v>
      </c>
      <c r="E14">
        <v>11.96</v>
      </c>
      <c r="F14">
        <v>11.77</v>
      </c>
      <c r="G14" s="4">
        <f>AVERAGE(B14:F14)</f>
        <v>11.934000000000001</v>
      </c>
      <c r="H14">
        <f t="shared" si="2"/>
        <v>0.1089219904335208</v>
      </c>
      <c r="I14">
        <f>G14*0.8</f>
        <v>9.5472000000000019</v>
      </c>
      <c r="K14">
        <f t="shared" si="0"/>
        <v>-0.20596614714261774</v>
      </c>
      <c r="L14">
        <f t="shared" si="1"/>
        <v>-0.23062918280335112</v>
      </c>
      <c r="N14">
        <f>-L14/(1+L14)</f>
        <v>0.29976336202053139</v>
      </c>
    </row>
    <row r="15" spans="1:17" x14ac:dyDescent="0.45">
      <c r="A15" t="s">
        <v>51</v>
      </c>
      <c r="B15">
        <v>9.48</v>
      </c>
      <c r="C15">
        <v>9.48</v>
      </c>
      <c r="D15">
        <v>9.48</v>
      </c>
      <c r="E15">
        <v>9.4700000000000006</v>
      </c>
      <c r="F15">
        <v>9.4700000000000006</v>
      </c>
      <c r="G15" s="4">
        <f t="shared" ref="G15:G25" si="3">AVERAGE(B15:F15)</f>
        <v>9.4760000000000009</v>
      </c>
      <c r="H15">
        <f t="shared" si="2"/>
        <v>4.8989794855662516E-3</v>
      </c>
    </row>
    <row r="16" spans="1:17" x14ac:dyDescent="0.45">
      <c r="G16" s="4"/>
    </row>
    <row r="17" spans="1:14" x14ac:dyDescent="0.45">
      <c r="G17" s="4"/>
    </row>
    <row r="18" spans="1:14" x14ac:dyDescent="0.45">
      <c r="A18" t="s">
        <v>53</v>
      </c>
      <c r="G18" s="4"/>
    </row>
    <row r="19" spans="1:14" x14ac:dyDescent="0.45">
      <c r="A19" t="s">
        <v>50</v>
      </c>
      <c r="B19">
        <v>12.01</v>
      </c>
      <c r="C19">
        <v>11.58</v>
      </c>
      <c r="D19">
        <v>11.62</v>
      </c>
      <c r="E19">
        <v>11.51</v>
      </c>
      <c r="F19">
        <v>11.85</v>
      </c>
      <c r="G19" s="4">
        <f t="shared" si="3"/>
        <v>11.714</v>
      </c>
      <c r="H19">
        <f t="shared" si="2"/>
        <v>0.18682612237050791</v>
      </c>
      <c r="I19">
        <f>G19*0.7</f>
        <v>8.1997999999999998</v>
      </c>
      <c r="K19">
        <f t="shared" si="0"/>
        <v>-0.29929998292641302</v>
      </c>
      <c r="L19">
        <f t="shared" si="1"/>
        <v>-0.35567541923917706</v>
      </c>
      <c r="N19">
        <f>-L19/(1+L19)</f>
        <v>0.55201280512873352</v>
      </c>
    </row>
    <row r="20" spans="1:14" x14ac:dyDescent="0.45">
      <c r="A20" t="s">
        <v>51</v>
      </c>
      <c r="B20">
        <v>8.1999999999999993</v>
      </c>
      <c r="C20">
        <v>8.1999999999999993</v>
      </c>
      <c r="D20">
        <v>8.2200000000000006</v>
      </c>
      <c r="E20">
        <v>8.2200000000000006</v>
      </c>
      <c r="F20">
        <v>8.1999999999999993</v>
      </c>
      <c r="G20" s="4">
        <f t="shared" si="3"/>
        <v>8.2079999999999984</v>
      </c>
      <c r="H20">
        <f t="shared" si="2"/>
        <v>9.7979589711333741E-3</v>
      </c>
    </row>
    <row r="21" spans="1:14" x14ac:dyDescent="0.45">
      <c r="G21" s="4"/>
    </row>
    <row r="22" spans="1:14" x14ac:dyDescent="0.45">
      <c r="G22" s="4"/>
    </row>
    <row r="23" spans="1:14" x14ac:dyDescent="0.45">
      <c r="A23" t="s">
        <v>54</v>
      </c>
      <c r="G23" s="4"/>
    </row>
    <row r="24" spans="1:14" x14ac:dyDescent="0.45">
      <c r="A24" t="s">
        <v>50</v>
      </c>
      <c r="B24">
        <v>11.52</v>
      </c>
      <c r="C24">
        <v>11.81</v>
      </c>
      <c r="D24">
        <v>11.87</v>
      </c>
      <c r="E24">
        <v>11.89</v>
      </c>
      <c r="F24">
        <v>11.65</v>
      </c>
      <c r="G24" s="4">
        <f t="shared" si="3"/>
        <v>11.747999999999999</v>
      </c>
      <c r="H24">
        <f t="shared" si="2"/>
        <v>0.14176036117335492</v>
      </c>
      <c r="I24">
        <f>G24*0.6</f>
        <v>7.0487999999999991</v>
      </c>
      <c r="K24">
        <f t="shared" si="0"/>
        <v>-0.42066734763363972</v>
      </c>
      <c r="L24">
        <f t="shared" si="1"/>
        <v>-0.54587843725765972</v>
      </c>
      <c r="N24">
        <f>-L24/(1+L24)</f>
        <v>1.2020535513909973</v>
      </c>
    </row>
    <row r="25" spans="1:14" x14ac:dyDescent="0.45">
      <c r="A25" t="s">
        <v>51</v>
      </c>
      <c r="B25">
        <v>6.79</v>
      </c>
      <c r="C25">
        <v>6.8</v>
      </c>
      <c r="D25">
        <v>6.83</v>
      </c>
      <c r="E25">
        <v>6.8</v>
      </c>
      <c r="F25">
        <v>6.81</v>
      </c>
      <c r="G25" s="4">
        <f t="shared" si="3"/>
        <v>6.806</v>
      </c>
      <c r="H25">
        <f t="shared" si="2"/>
        <v>1.3564659966250562E-2</v>
      </c>
    </row>
    <row r="26" spans="1:14" x14ac:dyDescent="0.45">
      <c r="G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1E84-983E-4355-8F4C-BAFF20C45ECC}">
  <dimension ref="A1:M6"/>
  <sheetViews>
    <sheetView workbookViewId="0">
      <selection sqref="A1:M1"/>
    </sheetView>
  </sheetViews>
  <sheetFormatPr defaultColWidth="10.6640625" defaultRowHeight="14.25" x14ac:dyDescent="0.45"/>
  <sheetData>
    <row r="1" spans="1:13" x14ac:dyDescent="0.45">
      <c r="A1" t="s">
        <v>71</v>
      </c>
      <c r="B1" t="s">
        <v>66</v>
      </c>
      <c r="C1" t="s">
        <v>67</v>
      </c>
      <c r="D1" t="s">
        <v>72</v>
      </c>
      <c r="E1" t="s">
        <v>68</v>
      </c>
      <c r="F1" t="s">
        <v>69</v>
      </c>
      <c r="G1" t="s">
        <v>70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45">
      <c r="A2" s="6">
        <f>'Hardness data'!B33</f>
        <v>46.783333333333339</v>
      </c>
      <c r="B2" s="6">
        <f>'Hardness data'!B34</f>
        <v>0.71511459843082936</v>
      </c>
      <c r="C2">
        <v>0</v>
      </c>
      <c r="D2" s="6">
        <f>'Hardness data'!C33</f>
        <v>66.516666666666666</v>
      </c>
      <c r="E2" s="6">
        <f>'Hardness data'!C34</f>
        <v>4.538875288977315</v>
      </c>
      <c r="F2" s="6">
        <f>'Hardness data'!N33</f>
        <v>90.149999999999991</v>
      </c>
      <c r="G2" s="6">
        <f>'Hardness data'!N34</f>
        <v>8.7106735292589956</v>
      </c>
      <c r="H2">
        <v>0</v>
      </c>
      <c r="I2" s="6">
        <f>D2</f>
        <v>66.516666666666666</v>
      </c>
      <c r="J2" s="6">
        <f>E2</f>
        <v>4.538875288977315</v>
      </c>
      <c r="K2">
        <v>0</v>
      </c>
      <c r="L2" s="6">
        <f>I2</f>
        <v>66.516666666666666</v>
      </c>
      <c r="M2" s="6">
        <f>J2</f>
        <v>4.538875288977315</v>
      </c>
    </row>
    <row r="3" spans="1:13" x14ac:dyDescent="0.45">
      <c r="C3">
        <v>48</v>
      </c>
      <c r="D3" s="6">
        <f>'Hardness data'!E33</f>
        <v>65.716666666666669</v>
      </c>
      <c r="E3" s="6">
        <f>'Hardness data'!E34</f>
        <v>1.3107461827354507</v>
      </c>
      <c r="F3" s="6">
        <f>'Hardness data'!I33</f>
        <v>92.55</v>
      </c>
      <c r="G3" s="6">
        <f>'Hardness data'!I34</f>
        <v>10.046848593796296</v>
      </c>
      <c r="H3">
        <v>4</v>
      </c>
      <c r="I3" s="6">
        <f>'Hardness data'!R33</f>
        <v>94.066666666666663</v>
      </c>
      <c r="J3" s="6">
        <f>'Hardness data'!R34</f>
        <v>3.1494267555999613</v>
      </c>
      <c r="K3" s="6">
        <f>0.114126414*100</f>
        <v>11.4126414</v>
      </c>
      <c r="L3" s="6">
        <f>'Hardness data'!M33</f>
        <v>83</v>
      </c>
      <c r="M3" s="6">
        <f>'Hardness data'!M34</f>
        <v>7.814729681825213</v>
      </c>
    </row>
    <row r="4" spans="1:13" x14ac:dyDescent="0.45">
      <c r="C4">
        <v>96</v>
      </c>
      <c r="D4" s="7">
        <f>'Hardness data'!F33</f>
        <v>87.949999999999989</v>
      </c>
      <c r="E4" s="6">
        <f>'Hardness data'!F34</f>
        <v>2.4924887161229035</v>
      </c>
      <c r="F4" s="8">
        <f>'Hardness data'!J33</f>
        <v>109.16666666666667</v>
      </c>
      <c r="G4" s="8">
        <f>'Hardness data'!J34</f>
        <v>4.0994579587496141</v>
      </c>
      <c r="H4">
        <v>8</v>
      </c>
      <c r="I4" s="8">
        <f>'Hardness data'!S33</f>
        <v>101.71666666666665</v>
      </c>
      <c r="J4" s="8">
        <f>'Hardness data'!S34</f>
        <v>2.5102567376443572</v>
      </c>
      <c r="K4" s="6">
        <f>0.230629183*100</f>
        <v>23.0629183</v>
      </c>
      <c r="L4" s="6">
        <f>'Hardness data'!N33</f>
        <v>90.149999999999991</v>
      </c>
      <c r="M4" s="6">
        <f>'Hardness data'!N34</f>
        <v>8.7106735292589956</v>
      </c>
    </row>
    <row r="5" spans="1:13" x14ac:dyDescent="0.45">
      <c r="C5">
        <v>144</v>
      </c>
      <c r="D5" s="6">
        <f>'Hardness data'!G33</f>
        <v>91.899999999999991</v>
      </c>
      <c r="E5" s="6">
        <f>'Hardness data'!G34</f>
        <v>4.1972213030368888</v>
      </c>
      <c r="F5" s="8">
        <f>'Hardness data'!K33</f>
        <v>114.83333333333333</v>
      </c>
      <c r="G5" s="8">
        <f>'Hardness data'!K34</f>
        <v>5.2094998693625945</v>
      </c>
      <c r="H5">
        <v>12</v>
      </c>
      <c r="I5" s="8">
        <f>'Hardness data'!T33</f>
        <v>100.48333333333333</v>
      </c>
      <c r="J5" s="8">
        <f>'Hardness data'!T34</f>
        <v>5.2511638921502195</v>
      </c>
      <c r="K5" s="6">
        <f>0.355675419*100</f>
        <v>35.567541900000002</v>
      </c>
      <c r="L5" s="6">
        <f>'Hardness data'!O33</f>
        <v>99.133333333333326</v>
      </c>
      <c r="M5" s="6">
        <f>'Hardness data'!O34</f>
        <v>5.263606706010199</v>
      </c>
    </row>
    <row r="6" spans="1:13" x14ac:dyDescent="0.45">
      <c r="H6">
        <v>16</v>
      </c>
      <c r="I6" s="6">
        <f>'Hardness data'!U33</f>
        <v>98.84999999999998</v>
      </c>
      <c r="J6" s="6">
        <f>'Hardness data'!U34</f>
        <v>2.4499999999999993</v>
      </c>
      <c r="K6" s="6">
        <f>0.545878437*100</f>
        <v>54.587843700000008</v>
      </c>
      <c r="L6" s="8">
        <f>'Hardness data'!P33</f>
        <v>105.11666666666667</v>
      </c>
      <c r="M6" s="8">
        <f>'Hardness data'!P34</f>
        <v>3.886050551509705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3B93-7377-4BC3-9740-D0889EB61CD6}">
  <dimension ref="A1:M6"/>
  <sheetViews>
    <sheetView tabSelected="1" workbookViewId="0">
      <selection activeCell="G3" sqref="G3"/>
    </sheetView>
  </sheetViews>
  <sheetFormatPr defaultRowHeight="14.25" x14ac:dyDescent="0.45"/>
  <sheetData>
    <row r="1" spans="1:13" x14ac:dyDescent="0.45">
      <c r="A1" t="s">
        <v>71</v>
      </c>
      <c r="B1" t="s">
        <v>66</v>
      </c>
      <c r="C1" t="s">
        <v>67</v>
      </c>
      <c r="D1" t="s">
        <v>72</v>
      </c>
      <c r="E1" t="s">
        <v>68</v>
      </c>
      <c r="F1" t="s">
        <v>69</v>
      </c>
      <c r="G1" t="s">
        <v>70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45">
      <c r="A2">
        <f>ROUND('Plot data'!A2, 1)</f>
        <v>46.8</v>
      </c>
      <c r="B2">
        <f>ROUND('Plot data'!B2, 1)</f>
        <v>0.7</v>
      </c>
      <c r="C2">
        <f>ROUND('Plot data'!C2, 1)</f>
        <v>0</v>
      </c>
      <c r="D2">
        <f>ROUND('Plot data'!D2, 1)</f>
        <v>66.5</v>
      </c>
      <c r="E2">
        <f>ROUND('Plot data'!E2, 1)</f>
        <v>4.5</v>
      </c>
      <c r="F2">
        <f>ROUND('Plot data'!F2, 1)</f>
        <v>90.2</v>
      </c>
      <c r="G2">
        <f>ROUND('Plot data'!G2, 1)</f>
        <v>8.6999999999999993</v>
      </c>
      <c r="H2">
        <f>ROUND('Plot data'!H2, 1)</f>
        <v>0</v>
      </c>
      <c r="I2">
        <f>ROUND('Plot data'!I2, 1)</f>
        <v>66.5</v>
      </c>
      <c r="J2">
        <f>ROUND('Plot data'!J2, 1)</f>
        <v>4.5</v>
      </c>
      <c r="K2">
        <f>ROUND('Plot data'!K2, 1)</f>
        <v>0</v>
      </c>
      <c r="L2">
        <f>ROUND('Plot data'!L2, 1)</f>
        <v>66.5</v>
      </c>
      <c r="M2">
        <f>ROUND('Plot data'!M2, 1)</f>
        <v>4.5</v>
      </c>
    </row>
    <row r="3" spans="1:13" x14ac:dyDescent="0.45">
      <c r="C3">
        <f>ROUND('Plot data'!C3, 1)</f>
        <v>48</v>
      </c>
      <c r="D3">
        <f>ROUND('Plot data'!D3, 1)</f>
        <v>65.7</v>
      </c>
      <c r="E3">
        <f>ROUND('Plot data'!E3, 1)</f>
        <v>1.3</v>
      </c>
      <c r="F3">
        <f>ROUND('Plot data'!F3, 1)</f>
        <v>92.6</v>
      </c>
      <c r="G3">
        <f>ROUND('Plot data'!G3, 1)</f>
        <v>10</v>
      </c>
      <c r="H3">
        <f>ROUND('Plot data'!H3, 1)</f>
        <v>4</v>
      </c>
      <c r="I3">
        <f>ROUND('Plot data'!I3, 1)</f>
        <v>94.1</v>
      </c>
      <c r="J3">
        <f>ROUND('Plot data'!J3, 1)</f>
        <v>3.1</v>
      </c>
      <c r="K3">
        <f>ROUND('Plot data'!K3, 1)</f>
        <v>11.4</v>
      </c>
      <c r="L3">
        <f>ROUND('Plot data'!L3, 1)</f>
        <v>83</v>
      </c>
      <c r="M3">
        <f>ROUND('Plot data'!M3, 1)</f>
        <v>7.8</v>
      </c>
    </row>
    <row r="4" spans="1:13" x14ac:dyDescent="0.45">
      <c r="C4">
        <f>ROUND('Plot data'!C4, 1)</f>
        <v>96</v>
      </c>
      <c r="D4">
        <f>ROUND('Plot data'!D4, 1)</f>
        <v>88</v>
      </c>
      <c r="E4">
        <f>ROUND('Plot data'!E4, 1)</f>
        <v>2.5</v>
      </c>
      <c r="F4" s="8">
        <f>ROUND('Plot data'!F4, 0)</f>
        <v>109</v>
      </c>
      <c r="G4" s="8">
        <f>ROUND('Plot data'!G4, 0)</f>
        <v>4</v>
      </c>
      <c r="H4" s="8">
        <f>ROUND('Plot data'!H4, 0)</f>
        <v>8</v>
      </c>
      <c r="I4" s="8">
        <f>ROUND('Plot data'!I4, 0)</f>
        <v>102</v>
      </c>
      <c r="J4" s="8">
        <f>ROUND('Plot data'!J4, 0)</f>
        <v>3</v>
      </c>
      <c r="K4">
        <f>ROUND('Plot data'!K4, 1)</f>
        <v>23.1</v>
      </c>
      <c r="L4">
        <f>ROUND('Plot data'!L4, 1)</f>
        <v>90.2</v>
      </c>
      <c r="M4">
        <f>ROUND('Plot data'!M4, 1)</f>
        <v>8.6999999999999993</v>
      </c>
    </row>
    <row r="5" spans="1:13" x14ac:dyDescent="0.45">
      <c r="C5">
        <f>ROUND('Plot data'!C5, 1)</f>
        <v>144</v>
      </c>
      <c r="D5">
        <f>ROUND('Plot data'!D5, 1)</f>
        <v>91.9</v>
      </c>
      <c r="E5">
        <f>ROUND('Plot data'!E5, 1)</f>
        <v>4.2</v>
      </c>
      <c r="F5" s="8">
        <f>ROUND('Plot data'!F5, 0)</f>
        <v>115</v>
      </c>
      <c r="G5" s="8">
        <f>ROUND('Plot data'!G5, 0)</f>
        <v>5</v>
      </c>
      <c r="H5" s="8">
        <f>ROUND('Plot data'!H5, 0)</f>
        <v>12</v>
      </c>
      <c r="I5" s="8">
        <f>ROUND('Plot data'!I5, 0)</f>
        <v>100</v>
      </c>
      <c r="J5" s="8">
        <f>ROUND('Plot data'!J5, 0)</f>
        <v>5</v>
      </c>
      <c r="K5">
        <f>ROUND('Plot data'!K5, 1)</f>
        <v>35.6</v>
      </c>
      <c r="L5">
        <f>ROUND('Plot data'!L5, 1)</f>
        <v>99.1</v>
      </c>
      <c r="M5">
        <f>ROUND('Plot data'!M5, 1)</f>
        <v>5.3</v>
      </c>
    </row>
    <row r="6" spans="1:13" x14ac:dyDescent="0.45">
      <c r="H6">
        <f>ROUND('Plot data'!H6, 1)</f>
        <v>16</v>
      </c>
      <c r="I6">
        <f>ROUND('Plot data'!I6, 1)</f>
        <v>98.9</v>
      </c>
      <c r="J6">
        <f>ROUND('Plot data'!J6, 1)</f>
        <v>2.5</v>
      </c>
      <c r="K6">
        <f>ROUND('Plot data'!K6, 1)</f>
        <v>54.6</v>
      </c>
      <c r="L6" s="8">
        <f>ROUND('Plot data'!L6, 0)</f>
        <v>105</v>
      </c>
      <c r="M6" s="8">
        <f>ROUND('Plot data'!M6, 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A739-7382-4C02-A07D-DADC431A7478}">
  <dimension ref="A1:D12"/>
  <sheetViews>
    <sheetView workbookViewId="0">
      <selection activeCell="B1" sqref="B1:D12"/>
    </sheetView>
  </sheetViews>
  <sheetFormatPr defaultColWidth="10.6640625" defaultRowHeight="14.25" x14ac:dyDescent="0.45"/>
  <sheetData>
    <row r="1" spans="1:4" x14ac:dyDescent="0.45">
      <c r="A1" t="s">
        <v>59</v>
      </c>
      <c r="B1" t="s">
        <v>62</v>
      </c>
    </row>
    <row r="2" spans="1:4" x14ac:dyDescent="0.45">
      <c r="A2" t="s">
        <v>60</v>
      </c>
      <c r="B2" t="s">
        <v>63</v>
      </c>
      <c r="C2" t="s">
        <v>64</v>
      </c>
      <c r="D2" t="s">
        <v>65</v>
      </c>
    </row>
    <row r="3" spans="1:4" x14ac:dyDescent="0.45">
      <c r="A3">
        <v>1</v>
      </c>
      <c r="B3">
        <v>133</v>
      </c>
      <c r="C3">
        <v>140</v>
      </c>
      <c r="D3">
        <v>142</v>
      </c>
    </row>
    <row r="4" spans="1:4" x14ac:dyDescent="0.45">
      <c r="A4">
        <v>2</v>
      </c>
      <c r="B4">
        <v>132</v>
      </c>
      <c r="C4">
        <v>142</v>
      </c>
      <c r="D4">
        <v>136</v>
      </c>
    </row>
    <row r="5" spans="1:4" x14ac:dyDescent="0.45">
      <c r="A5">
        <v>3</v>
      </c>
      <c r="B5">
        <v>132</v>
      </c>
      <c r="C5">
        <v>141</v>
      </c>
      <c r="D5">
        <v>132</v>
      </c>
    </row>
    <row r="6" spans="1:4" x14ac:dyDescent="0.45">
      <c r="A6">
        <v>4</v>
      </c>
      <c r="B6">
        <v>135</v>
      </c>
      <c r="C6">
        <v>141</v>
      </c>
      <c r="D6">
        <v>138</v>
      </c>
    </row>
    <row r="7" spans="1:4" x14ac:dyDescent="0.45">
      <c r="A7">
        <v>5</v>
      </c>
      <c r="B7">
        <v>138</v>
      </c>
      <c r="C7">
        <v>138</v>
      </c>
      <c r="D7">
        <v>136</v>
      </c>
    </row>
    <row r="8" spans="1:4" x14ac:dyDescent="0.45">
      <c r="A8">
        <v>6</v>
      </c>
      <c r="B8">
        <v>131</v>
      </c>
      <c r="C8">
        <v>138</v>
      </c>
      <c r="D8">
        <v>135</v>
      </c>
    </row>
    <row r="9" spans="1:4" x14ac:dyDescent="0.45">
      <c r="A9">
        <v>7</v>
      </c>
      <c r="B9">
        <v>134</v>
      </c>
      <c r="C9">
        <v>138</v>
      </c>
      <c r="D9">
        <v>129</v>
      </c>
    </row>
    <row r="10" spans="1:4" x14ac:dyDescent="0.45">
      <c r="A10">
        <v>8</v>
      </c>
      <c r="B10">
        <v>137</v>
      </c>
      <c r="C10">
        <v>139</v>
      </c>
      <c r="D10">
        <v>134</v>
      </c>
    </row>
    <row r="11" spans="1:4" x14ac:dyDescent="0.45">
      <c r="A11">
        <v>9</v>
      </c>
      <c r="B11">
        <v>137</v>
      </c>
      <c r="C11">
        <v>141</v>
      </c>
      <c r="D11">
        <v>137</v>
      </c>
    </row>
    <row r="12" spans="1:4" x14ac:dyDescent="0.45">
      <c r="A12">
        <v>10</v>
      </c>
      <c r="B12">
        <v>139</v>
      </c>
      <c r="C12">
        <v>140</v>
      </c>
      <c r="D12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a854a1-3732-47e8-8bba-395f688d1d52" xsi:nil="true"/>
    <lcf76f155ced4ddcb4097134ff3c332f xmlns="e2d0cb31-04a4-4d52-953d-a59df90cb23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33CC914C24F46806E23DC0959A8F7" ma:contentTypeVersion="11" ma:contentTypeDescription="Create a new document." ma:contentTypeScope="" ma:versionID="450b4153c39d36823d647d04e9cb809f">
  <xsd:schema xmlns:xsd="http://www.w3.org/2001/XMLSchema" xmlns:xs="http://www.w3.org/2001/XMLSchema" xmlns:p="http://schemas.microsoft.com/office/2006/metadata/properties" xmlns:ns2="e2d0cb31-04a4-4d52-953d-a59df90cb233" xmlns:ns3="7fa854a1-3732-47e8-8bba-395f688d1d52" targetNamespace="http://schemas.microsoft.com/office/2006/metadata/properties" ma:root="true" ma:fieldsID="1144e9313b482f22a749f0b51620ae6c" ns2:_="" ns3:_="">
    <xsd:import namespace="e2d0cb31-04a4-4d52-953d-a59df90cb233"/>
    <xsd:import namespace="7fa854a1-3732-47e8-8bba-395f688d1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0cb31-04a4-4d52-953d-a59df90cb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854a1-3732-47e8-8bba-395f688d1d5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b4d9d8-c603-4ec7-b083-87c6b055d619}" ma:internalName="TaxCatchAll" ma:showField="CatchAllData" ma:web="7fa854a1-3732-47e8-8bba-395f688d1d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CB0179-1E98-4F95-A86A-3375BF38335A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e2d0cb31-04a4-4d52-953d-a59df90cb233"/>
    <ds:schemaRef ds:uri="http://schemas.microsoft.com/office/2006/documentManagement/types"/>
    <ds:schemaRef ds:uri="http://purl.org/dc/dcmitype/"/>
    <ds:schemaRef ds:uri="7fa854a1-3732-47e8-8bba-395f688d1d5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E1A564-5FEC-448D-B30C-704BC8F52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0cb31-04a4-4d52-953d-a59df90cb233"/>
    <ds:schemaRef ds:uri="7fa854a1-3732-47e8-8bba-395f688d1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C3B235-182D-4D5C-942B-493B7DEBB9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Hardness data</vt:lpstr>
      <vt:lpstr>Rolling data</vt:lpstr>
      <vt:lpstr>Plot data</vt:lpstr>
      <vt:lpstr>Plot data_sf</vt:lpstr>
      <vt:lpstr>Al15 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Sigurd Bjerkhaug</cp:lastModifiedBy>
  <cp:revision/>
  <dcterms:created xsi:type="dcterms:W3CDTF">2022-11-14T16:57:46Z</dcterms:created>
  <dcterms:modified xsi:type="dcterms:W3CDTF">2023-03-20T15:40:36Z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0x0101002C233CC914C24F46806E23DC0959A8F7</vt:lpwstr>
  </property>
  <property fmtid="{D5CDD505-2E9C-101B-9397-08002B2CF9AE}" pid="3" name="MediaServiceImageTags">
    <vt:lpwstr/>
  </property>
</Properties>
</file>