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chris\Downloads\LCA_01.4_final\LCA_01.4_final\"/>
    </mc:Choice>
  </mc:AlternateContent>
  <xr:revisionPtr revIDLastSave="0" documentId="13_ncr:1_{427268FE-0959-4447-BFAD-FA635121D66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rk1" sheetId="1" r:id="rId1"/>
    <sheet name="H-airplane" sheetId="3" r:id="rId2"/>
    <sheet name="A-matrix" sheetId="8" r:id="rId3"/>
    <sheet name="y-vector" sheetId="9" r:id="rId4"/>
    <sheet name="C@S-matrix_TRD" sheetId="7" r:id="rId5"/>
    <sheet name="C@S-matrix_H_OSL" sheetId="10" r:id="rId6"/>
    <sheet name="C@S-matrix_H_TOS" sheetId="11" r:id="rId7"/>
    <sheet name="H-Flow formulas" sheetId="4" r:id="rId8"/>
    <sheet name="C-airplane" sheetId="5" r:id="rId9"/>
    <sheet name="A-matrix_C" sheetId="12" r:id="rId10"/>
    <sheet name="y-vector_C" sheetId="13" r:id="rId11"/>
    <sheet name="C@S-matrix_C" sheetId="14" r:id="rId12"/>
    <sheet name="C-Flow formulas" sheetId="6" r:id="rId13"/>
    <sheet name="Values, with sources" sheetId="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F5" i="3" s="1"/>
  <c r="F21" i="3" s="1"/>
  <c r="E2" i="7" s="1"/>
  <c r="F17" i="5"/>
  <c r="E2" i="14"/>
  <c r="D3" i="12"/>
  <c r="C2" i="14"/>
  <c r="D2" i="14"/>
  <c r="B2" i="14"/>
  <c r="B3" i="13"/>
  <c r="B4" i="13"/>
  <c r="B2" i="13"/>
  <c r="B3" i="12"/>
  <c r="C3" i="12"/>
  <c r="E3" i="12"/>
  <c r="B4" i="12"/>
  <c r="C4" i="12"/>
  <c r="D4" i="12"/>
  <c r="E4" i="12"/>
  <c r="B5" i="12"/>
  <c r="C5" i="12"/>
  <c r="D5" i="12"/>
  <c r="E5" i="12"/>
  <c r="E2" i="12"/>
  <c r="C2" i="12"/>
  <c r="D2" i="12"/>
  <c r="B2" i="12"/>
  <c r="E21" i="3"/>
  <c r="D2" i="7" s="1"/>
  <c r="F5" i="5"/>
  <c r="D17" i="5"/>
  <c r="C17" i="5"/>
  <c r="D5" i="4"/>
  <c r="H7" i="3"/>
  <c r="D2" i="11"/>
  <c r="D2" i="10"/>
  <c r="H2" i="11"/>
  <c r="G2" i="11"/>
  <c r="F2" i="11"/>
  <c r="B2" i="11"/>
  <c r="H2" i="10"/>
  <c r="G2" i="10"/>
  <c r="F2" i="10"/>
  <c r="B2" i="10"/>
  <c r="E4" i="3"/>
  <c r="F2" i="7"/>
  <c r="G2" i="7"/>
  <c r="H2" i="7"/>
  <c r="B2" i="7"/>
  <c r="B3" i="9"/>
  <c r="B4" i="9"/>
  <c r="B5" i="9"/>
  <c r="B6" i="9"/>
  <c r="B8" i="9"/>
  <c r="B2" i="9"/>
  <c r="D2" i="8"/>
  <c r="E2" i="8"/>
  <c r="F2" i="8"/>
  <c r="G2" i="8"/>
  <c r="H2" i="8"/>
  <c r="C3" i="8"/>
  <c r="D3" i="8"/>
  <c r="E3" i="8"/>
  <c r="F3" i="8"/>
  <c r="G3" i="8"/>
  <c r="H3" i="8"/>
  <c r="C4" i="8"/>
  <c r="D4" i="8"/>
  <c r="F4" i="8"/>
  <c r="G4" i="8"/>
  <c r="H4" i="8"/>
  <c r="C5" i="8"/>
  <c r="D5" i="8"/>
  <c r="E5" i="8"/>
  <c r="F5" i="8"/>
  <c r="G5" i="8"/>
  <c r="H5" i="8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B3" i="8"/>
  <c r="B4" i="8"/>
  <c r="B5" i="8"/>
  <c r="B6" i="8"/>
  <c r="B7" i="8"/>
  <c r="B8" i="8"/>
  <c r="B2" i="8"/>
  <c r="G6" i="3"/>
  <c r="D22" i="3"/>
  <c r="D3" i="3" s="1"/>
  <c r="I21" i="3"/>
  <c r="C12" i="5"/>
  <c r="C11" i="5"/>
  <c r="C10" i="5"/>
  <c r="D9" i="4"/>
  <c r="D8" i="4"/>
  <c r="H2" i="4"/>
  <c r="D4" i="4"/>
  <c r="H4" i="4" s="1"/>
  <c r="B9" i="2"/>
  <c r="D3" i="4" s="1"/>
  <c r="I9" i="3"/>
  <c r="C18" i="3"/>
  <c r="C13" i="3"/>
  <c r="C14" i="3"/>
  <c r="C15" i="3"/>
  <c r="C16" i="3"/>
  <c r="C12" i="3"/>
  <c r="I4" i="3"/>
  <c r="I5" i="3"/>
  <c r="I6" i="3"/>
  <c r="I7" i="3"/>
  <c r="I8" i="3"/>
  <c r="I3" i="3"/>
  <c r="H9" i="3"/>
  <c r="G9" i="3"/>
  <c r="F9" i="3"/>
  <c r="E9" i="3"/>
  <c r="H8" i="3"/>
  <c r="H5" i="3"/>
  <c r="H6" i="3"/>
  <c r="H4" i="3"/>
  <c r="G7" i="3"/>
  <c r="G8" i="3"/>
  <c r="G5" i="3"/>
  <c r="G4" i="3"/>
  <c r="F7" i="3"/>
  <c r="F8" i="3"/>
  <c r="F6" i="3"/>
  <c r="E6" i="3"/>
  <c r="E7" i="3"/>
  <c r="E8" i="3"/>
  <c r="E5" i="3"/>
  <c r="D5" i="3"/>
  <c r="D6" i="3"/>
  <c r="D7" i="3"/>
  <c r="D8" i="3"/>
  <c r="C4" i="3"/>
  <c r="C5" i="3"/>
  <c r="C6" i="3"/>
  <c r="C7" i="3"/>
  <c r="C8" i="3"/>
  <c r="F4" i="3"/>
  <c r="D4" i="3"/>
  <c r="H3" i="3"/>
  <c r="G3" i="3"/>
  <c r="F3" i="3"/>
  <c r="E3" i="3"/>
  <c r="C3" i="3"/>
  <c r="C2" i="8" l="1"/>
  <c r="D21" i="3"/>
  <c r="E2" i="10"/>
  <c r="E2" i="11"/>
  <c r="E4" i="8"/>
  <c r="C2" i="11" l="1"/>
  <c r="C2" i="10"/>
  <c r="C2" i="7"/>
</calcChain>
</file>

<file path=xl/sharedStrings.xml><?xml version="1.0" encoding="utf-8"?>
<sst xmlns="http://schemas.openxmlformats.org/spreadsheetml/2006/main" count="313" uniqueCount="173">
  <si>
    <t>Location</t>
  </si>
  <si>
    <t>Production-type (CO2-eq/kg)</t>
  </si>
  <si>
    <t>Distance from production site to airport (km)</t>
  </si>
  <si>
    <t>Type of transportation CO2-eq/tkm</t>
  </si>
  <si>
    <t>Plane size</t>
  </si>
  <si>
    <t>Distance between airports</t>
  </si>
  <si>
    <t>Værnes</t>
  </si>
  <si>
    <t>Green, 2 CO2-eq/kg</t>
  </si>
  <si>
    <t>100km</t>
  </si>
  <si>
    <t>Truck</t>
  </si>
  <si>
    <t>40 prs</t>
  </si>
  <si>
    <t>500km</t>
  </si>
  <si>
    <t>Gardermoen</t>
  </si>
  <si>
    <t>Tromsø lufthavn</t>
  </si>
  <si>
    <t>A</t>
  </si>
  <si>
    <t>H2 production (kg)</t>
  </si>
  <si>
    <t>H2 liquefaction (kg)</t>
  </si>
  <si>
    <t>H2 transportation (kg)</t>
  </si>
  <si>
    <t>H2 storage (kg)</t>
  </si>
  <si>
    <t>Fuel cell (kWh)</t>
  </si>
  <si>
    <t>Electric motor (km)</t>
  </si>
  <si>
    <t>Electricity mix (kWh)</t>
  </si>
  <si>
    <t>&lt; Well-to-Wheel flowchart for hydrogen airplane &gt;</t>
  </si>
  <si>
    <t>y</t>
  </si>
  <si>
    <t>Final demand</t>
  </si>
  <si>
    <t>H2 production</t>
  </si>
  <si>
    <t>H2 liquefaction</t>
  </si>
  <si>
    <t>H2 transportation</t>
  </si>
  <si>
    <t>H2 storage</t>
  </si>
  <si>
    <t>fuel cell</t>
  </si>
  <si>
    <t>electric motor (km)</t>
  </si>
  <si>
    <t>electricity mix</t>
  </si>
  <si>
    <t>C@S</t>
  </si>
  <si>
    <t>Impact</t>
  </si>
  <si>
    <t>Climate change (kg CO2-eq)</t>
  </si>
  <si>
    <t>losses</t>
  </si>
  <si>
    <t>Flow</t>
  </si>
  <si>
    <t>From</t>
  </si>
  <si>
    <t>To</t>
  </si>
  <si>
    <t>Value</t>
  </si>
  <si>
    <t>Unit</t>
  </si>
  <si>
    <t>Formula</t>
  </si>
  <si>
    <t>Description</t>
  </si>
  <si>
    <t>Equivalent to</t>
  </si>
  <si>
    <t>Note</t>
  </si>
  <si>
    <t>A6-0</t>
  </si>
  <si>
    <t>Electric motor</t>
  </si>
  <si>
    <t>Out of the system</t>
  </si>
  <si>
    <t>km</t>
  </si>
  <si>
    <t>0.75*33.3=24.975</t>
  </si>
  <si>
    <t>1km flown by hydrogen plane</t>
  </si>
  <si>
    <t>kWh</t>
  </si>
  <si>
    <t>A5-6</t>
  </si>
  <si>
    <t>Fuel cell</t>
  </si>
  <si>
    <t>(A6-0)/(92/100)=27.147</t>
  </si>
  <si>
    <t>Energy required for the electric motor to fly 1km</t>
  </si>
  <si>
    <t>A4-5</t>
  </si>
  <si>
    <t>Fuel storage</t>
  </si>
  <si>
    <t>1/(55/100)=1.818</t>
  </si>
  <si>
    <t>Energy required for a fuel cell to produce 1kWh</t>
  </si>
  <si>
    <r>
      <rPr>
        <sz val="11"/>
        <color rgb="FF000000"/>
        <rFont val="Aptos Narrow"/>
        <scheme val="minor"/>
      </rPr>
      <t>kg LH</t>
    </r>
    <r>
      <rPr>
        <sz val="8"/>
        <color rgb="FF000000"/>
        <rFont val="Aptos Narrow"/>
        <scheme val="minor"/>
      </rPr>
      <t>2</t>
    </r>
  </si>
  <si>
    <t>A3-4</t>
  </si>
  <si>
    <t>Fuel transportation</t>
  </si>
  <si>
    <r>
      <rPr>
        <sz val="11"/>
        <color rgb="FF000000"/>
        <rFont val="Aptos Narrow"/>
        <scheme val="minor"/>
      </rPr>
      <t>Amount of liquid hydrogen required to be stored to get 1kg LH</t>
    </r>
    <r>
      <rPr>
        <sz val="8"/>
        <color rgb="FF000000"/>
        <rFont val="Aptos Narrow"/>
        <scheme val="minor"/>
      </rPr>
      <t>2</t>
    </r>
    <r>
      <rPr>
        <sz val="11"/>
        <color rgb="FF000000"/>
        <rFont val="Aptos Narrow"/>
        <scheme val="minor"/>
      </rPr>
      <t xml:space="preserve"> out</t>
    </r>
  </si>
  <si>
    <t>A2-3</t>
  </si>
  <si>
    <t>Fuel liquefaction</t>
  </si>
  <si>
    <t>1/1</t>
  </si>
  <si>
    <r>
      <rPr>
        <sz val="11"/>
        <color rgb="FF000000"/>
        <rFont val="Aptos Narrow"/>
        <scheme val="minor"/>
      </rPr>
      <t>Amount of liquid hydrogen required to be transported to get 1kg LH</t>
    </r>
    <r>
      <rPr>
        <sz val="8"/>
        <color rgb="FF000000"/>
        <rFont val="Aptos Narrow"/>
        <scheme val="minor"/>
      </rPr>
      <t>2</t>
    </r>
    <r>
      <rPr>
        <sz val="11"/>
        <color rgb="FF000000"/>
        <rFont val="Aptos Narrow"/>
        <scheme val="minor"/>
      </rPr>
      <t xml:space="preserve"> out</t>
    </r>
  </si>
  <si>
    <t>Neglecting boil-offs during transportation</t>
  </si>
  <si>
    <t>A1-2</t>
  </si>
  <si>
    <t>Fuel production</t>
  </si>
  <si>
    <r>
      <rPr>
        <sz val="11"/>
        <color rgb="FF000000"/>
        <rFont val="Aptos Narrow"/>
        <scheme val="minor"/>
      </rPr>
      <t>kg GH</t>
    </r>
    <r>
      <rPr>
        <sz val="8"/>
        <color rgb="FF000000"/>
        <rFont val="Aptos Narrow"/>
        <scheme val="minor"/>
      </rPr>
      <t>2</t>
    </r>
  </si>
  <si>
    <r>
      <rPr>
        <sz val="11"/>
        <color rgb="FF000000"/>
        <rFont val="Aptos Narrow"/>
        <scheme val="minor"/>
      </rPr>
      <t>Amount of gaseous hydrogen required to produce 1kg LH</t>
    </r>
    <r>
      <rPr>
        <sz val="8"/>
        <color rgb="FF000000"/>
        <rFont val="Aptos Narrow"/>
        <scheme val="minor"/>
      </rPr>
      <t>2</t>
    </r>
  </si>
  <si>
    <t>A7-1</t>
  </si>
  <si>
    <t>Electricity mix</t>
  </si>
  <si>
    <r>
      <rPr>
        <sz val="11"/>
        <color rgb="FF000000"/>
        <rFont val="Aptos Narrow"/>
        <scheme val="minor"/>
      </rPr>
      <t>Energy required to produce 1kg GH</t>
    </r>
    <r>
      <rPr>
        <sz val="8"/>
        <color rgb="FF000000"/>
        <rFont val="Aptos Narrow"/>
        <scheme val="minor"/>
      </rPr>
      <t>2</t>
    </r>
  </si>
  <si>
    <t>A7-2</t>
  </si>
  <si>
    <r>
      <rPr>
        <sz val="11"/>
        <color rgb="FF000000"/>
        <rFont val="Aptos Narrow"/>
        <scheme val="minor"/>
      </rPr>
      <t>Energy required to liquefy 1kg GH</t>
    </r>
    <r>
      <rPr>
        <sz val="8"/>
        <color rgb="FF000000"/>
        <rFont val="Aptos Narrow"/>
        <scheme val="minor"/>
      </rPr>
      <t>2</t>
    </r>
  </si>
  <si>
    <t>Kerosene production (kg)</t>
  </si>
  <si>
    <t>&lt; Well-to-Wheel flowchart for conventional airplane &gt;</t>
  </si>
  <si>
    <t>Kerosene transportation (kg)</t>
  </si>
  <si>
    <t>Kerosene storage (kg)</t>
  </si>
  <si>
    <t>Turboprop engine (km)</t>
  </si>
  <si>
    <t>Value name</t>
  </si>
  <si>
    <t>Sources</t>
  </si>
  <si>
    <t>Electricity mix CO2-eq</t>
  </si>
  <si>
    <t>g CO2-eq/kWh</t>
  </si>
  <si>
    <t>https://www.nowtricity.com/country/norway/</t>
  </si>
  <si>
    <t>For 2023</t>
  </si>
  <si>
    <t>Electricity required for 1 kg Hydrogen</t>
  </si>
  <si>
    <t>kWh/kg</t>
  </si>
  <si>
    <t>https://www.europarl.europa.eu/RegData/etudes/BRIE/2020/641552/EPRS_BRI(2020)641552_EN.pdf</t>
  </si>
  <si>
    <t>Energy density for 1 kg Hydrogen</t>
  </si>
  <si>
    <t>https://www.sintef.no/en/sintef-research-areas/hydrogen/hydrogen-as-energy-storage/</t>
  </si>
  <si>
    <t>Energy required for liquidfying 1kg Hydrogen</t>
  </si>
  <si>
    <t>https://theicct.org/wp-content/uploads/2023/08/Aircraft-retrofit-white-paper-A4-v3.pdf</t>
  </si>
  <si>
    <t>Liquid hydrogen required for 1km of flight (electric motor effeciency neglected)</t>
  </si>
  <si>
    <t>kg</t>
  </si>
  <si>
    <t>previous report</t>
  </si>
  <si>
    <t>Boil-off losses for 10 days</t>
  </si>
  <si>
    <t>%/day</t>
  </si>
  <si>
    <t>https://www.utwente.nl/en/tnw/ems/research/ats/Events/chmt/m13-hendrie-derking-cryoworld-chmt-2019.pdf</t>
  </si>
  <si>
    <t>100-100*(0.975)^10=22,36% for 10days</t>
  </si>
  <si>
    <t>Transport capacity Liquid hydrogen truck</t>
  </si>
  <si>
    <t>https://www.linde-engineering.com/en/about-linde-engineering/success-stories/h2-mobility.html</t>
  </si>
  <si>
    <t>Efficiency of electric motor of a vehicle</t>
  </si>
  <si>
    <t>%</t>
  </si>
  <si>
    <t>https://www.atlantis-press.com/article/25901895.pdf</t>
  </si>
  <si>
    <t>Need to mention that losses happen both in electric motor and control system. Average value</t>
  </si>
  <si>
    <t>Efficiency of fuel-cell</t>
  </si>
  <si>
    <t>Emission per km kg transported</t>
  </si>
  <si>
    <t>0.7086</t>
  </si>
  <si>
    <t>kg CO2eq/km</t>
  </si>
  <si>
    <t>https://www.scania.com/content/dam/group/press-and-media/press-releases/documents/Scania-Life-cycle-assessment-of-distribution-vehicles.pdf</t>
  </si>
  <si>
    <t>6.1tonnes load, 354.3/500</t>
  </si>
  <si>
    <t xml:space="preserve">Kerosene consumption per passenger </t>
  </si>
  <si>
    <t>l/(passenger*100km)</t>
  </si>
  <si>
    <t>https://www.researchgate.net/publication/257365458_An_Analysis_of_the_Contribution_of_Flight_Route_and_Aircraft_Type_in_Environmental_Performance_of_Airlines_Based_on_Life_Cycle_Assessment_the_Lutfhansa_Case</t>
  </si>
  <si>
    <t>Kerosene  density</t>
  </si>
  <si>
    <t>kg/l</t>
  </si>
  <si>
    <t>Dash-8 passenger capacity</t>
  </si>
  <si>
    <t>passenger</t>
  </si>
  <si>
    <t>LiH2 production site:</t>
  </si>
  <si>
    <t>Distance [km]</t>
  </si>
  <si>
    <t>Method:</t>
  </si>
  <si>
    <t>Airport:</t>
  </si>
  <si>
    <t>Herøya</t>
  </si>
  <si>
    <t>Oslo</t>
  </si>
  <si>
    <t>https://nelhydrogen.com/articles/in-depth/official-opening-of-the-heroya-facility/</t>
  </si>
  <si>
    <t>Meråker(Kopperå)</t>
  </si>
  <si>
    <t>Trondheim</t>
  </si>
  <si>
    <t>https://mhy.no/hydrogen-plant/</t>
  </si>
  <si>
    <t>Grøtsund fort</t>
  </si>
  <si>
    <t>Tromsø</t>
  </si>
  <si>
    <t>https://neptuntromso.no/</t>
  </si>
  <si>
    <t>The life-cycle GHG emissions for hydrogen production via solar PEM are zero because infrastructure-associated emissions were not considered.</t>
  </si>
  <si>
    <t>H2 Production</t>
  </si>
  <si>
    <t>kg CO2eq/kg H2</t>
  </si>
  <si>
    <t>https://www.sciencedirect.com/science/article/pii/S0360319921014270</t>
  </si>
  <si>
    <t>https://hydrogencouncil.com/wp-content/uploads/2021/01/Hydrogen-Council-Report_Decarbonization-Pathways_Part-1-Lifecycle-Assessment.pdf</t>
  </si>
  <si>
    <t>H2 Liquefaction</t>
  </si>
  <si>
    <t>Storage (leakage)</t>
  </si>
  <si>
    <t>https://www.hydrogeninsight.com/analysis/hydrogen-is-a-more-potent-greenhouse-gas-than-previously-reported-new-study-reveals/2-1-1463495</t>
  </si>
  <si>
    <t>Use airplane emissions: non-CO2 impacts leading to net warming effect</t>
  </si>
  <si>
    <t>https://eur-lex.europa.eu/legal-content/EN/TXT/?uri=COM:2020:747:FIN</t>
  </si>
  <si>
    <t>NOx</t>
  </si>
  <si>
    <t>soot particles</t>
  </si>
  <si>
    <t>oxidised sulphur species</t>
  </si>
  <si>
    <t>water vapour</t>
  </si>
  <si>
    <t>Common GHGs</t>
  </si>
  <si>
    <t>CO2</t>
  </si>
  <si>
    <t>CH4</t>
  </si>
  <si>
    <t>N2O</t>
  </si>
  <si>
    <t>HFCs</t>
  </si>
  <si>
    <t>PFCs</t>
  </si>
  <si>
    <t>SF6</t>
  </si>
  <si>
    <t>NF3</t>
  </si>
  <si>
    <t>loss</t>
  </si>
  <si>
    <t>Loss factor</t>
  </si>
  <si>
    <t>Days</t>
  </si>
  <si>
    <t>1/(1-(0.3/100))^10</t>
  </si>
  <si>
    <t>Not updated!</t>
  </si>
  <si>
    <t>Extraction</t>
  </si>
  <si>
    <t>Refinery</t>
  </si>
  <si>
    <t>Transport</t>
  </si>
  <si>
    <t>kg CO2eq/kg Kerosene</t>
  </si>
  <si>
    <t>https://link.springer.com/content/pdf/10.1065/lca2004.12.191.pdf</t>
  </si>
  <si>
    <t>Use</t>
  </si>
  <si>
    <t>IATA aviation calculator</t>
  </si>
  <si>
    <t>https://www.airmilescalculator.com/distance/osl-to-trd/</t>
  </si>
  <si>
    <t>trd-osl</t>
  </si>
  <si>
    <t>trd-tro</t>
  </si>
  <si>
    <t>tro-osl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</si>
</sst>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8"/>
      <color rgb="FF000000"/>
      <name val="Aptos Narrow"/>
      <scheme val="minor"/>
    </font>
    <font>
      <b/>
      <sz val="11"/>
      <color theme="9" tint="-0.499984740745262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F5F5F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2" fillId="0" borderId="0" xfId="0" applyFont="1"/>
    <xf numFmtId="0" fontId="3" fillId="0" borderId="0" xfId="0" applyFont="1"/>
    <xf numFmtId="164" fontId="0" fillId="0" borderId="0" xfId="0" applyNumberFormat="1"/>
    <xf numFmtId="17" fontId="0" fillId="0" borderId="0" xfId="0" applyNumberFormat="1"/>
    <xf numFmtId="0" fontId="4" fillId="0" borderId="0" xfId="0" applyFont="1"/>
    <xf numFmtId="49" fontId="0" fillId="0" borderId="0" xfId="0" applyNumberFormat="1"/>
    <xf numFmtId="0" fontId="6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0" fontId="7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2" applyNumberFormat="1" applyFont="1"/>
    <xf numFmtId="0" fontId="0" fillId="2" borderId="0" xfId="2" applyNumberFormat="1" applyFont="1" applyFill="1"/>
    <xf numFmtId="0" fontId="9" fillId="3" borderId="0" xfId="0" applyFont="1" applyFill="1"/>
  </cellXfs>
  <cellStyles count="3">
    <cellStyle name="Hyperlink" xfId="1" xr:uid="{00000000-000B-0000-0000-000008000000}"/>
    <cellStyle name="Normal" xfId="0" builtinId="0"/>
    <cellStyle name="Pros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3</xdr:row>
      <xdr:rowOff>57150</xdr:rowOff>
    </xdr:from>
    <xdr:to>
      <xdr:col>25</xdr:col>
      <xdr:colOff>66675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CCE78-7CAB-916F-C59F-B8EC7DF3D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2525" y="628650"/>
          <a:ext cx="7191375" cy="404812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26</xdr:row>
      <xdr:rowOff>0</xdr:rowOff>
    </xdr:from>
    <xdr:to>
      <xdr:col>17</xdr:col>
      <xdr:colOff>447675</xdr:colOff>
      <xdr:row>39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AB3869-B47E-7B81-030C-E1BC02A898F4}"/>
            </a:ext>
            <a:ext uri="{147F2762-F138-4A5C-976F-8EAC2B608ADB}">
              <a16:predDERef xmlns:a16="http://schemas.microsoft.com/office/drawing/2014/main" pred="{C97CCE78-7CAB-916F-C59F-B8EC7DF3D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7475" y="49530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270398</xdr:colOff>
      <xdr:row>39</xdr:row>
      <xdr:rowOff>107950</xdr:rowOff>
    </xdr:from>
    <xdr:to>
      <xdr:col>7</xdr:col>
      <xdr:colOff>108473</xdr:colOff>
      <xdr:row>53</xdr:row>
      <xdr:rowOff>118689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855984-F035-81DD-BBBD-215963B9B092}"/>
            </a:ext>
            <a:ext uri="{147F2762-F138-4A5C-976F-8EAC2B608ADB}">
              <a16:predDERef xmlns:a16="http://schemas.microsoft.com/office/drawing/2014/main" pred="{ADAB3869-B47E-7B81-030C-E1BC02A89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098" y="7537450"/>
          <a:ext cx="7772400" cy="2677739"/>
        </a:xfrm>
        <a:prstGeom prst="rect">
          <a:avLst/>
        </a:prstGeom>
      </xdr:spPr>
    </xdr:pic>
    <xdr:clientData/>
  </xdr:twoCellAnchor>
  <xdr:twoCellAnchor editAs="oneCell">
    <xdr:from>
      <xdr:col>2</xdr:col>
      <xdr:colOff>30148</xdr:colOff>
      <xdr:row>53</xdr:row>
      <xdr:rowOff>182169</xdr:rowOff>
    </xdr:from>
    <xdr:to>
      <xdr:col>8</xdr:col>
      <xdr:colOff>382573</xdr:colOff>
      <xdr:row>73</xdr:row>
      <xdr:rowOff>129544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DAA199E-D75F-81AD-B9EA-62D86E5EA434}"/>
            </a:ext>
            <a:ext uri="{147F2762-F138-4A5C-976F-8EAC2B608ADB}">
              <a16:predDERef xmlns:a16="http://schemas.microsoft.com/office/drawing/2014/main" pred="{74855984-F035-81DD-BBBD-215963B9B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4723" y="10278669"/>
          <a:ext cx="7772400" cy="37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neptuntromso.no/" TargetMode="External"/><Relationship Id="rId13" Type="http://schemas.openxmlformats.org/officeDocument/2006/relationships/hyperlink" Target="https://eur-lex.europa.eu/legal-content/EN/TXT/?uri=COM:2020:747:FIN" TargetMode="External"/><Relationship Id="rId18" Type="http://schemas.openxmlformats.org/officeDocument/2006/relationships/hyperlink" Target="https://www.sciencedirect.com/science/article/pii/S0360319921014270" TargetMode="External"/><Relationship Id="rId3" Type="http://schemas.openxmlformats.org/officeDocument/2006/relationships/hyperlink" Target="https://www.europarl.europa.eu/RegData/etudes/BRIE/2020/641552/EPRS_BRI(2020)641552_EN.pdf" TargetMode="External"/><Relationship Id="rId21" Type="http://schemas.openxmlformats.org/officeDocument/2006/relationships/hyperlink" Target="https://link.springer.com/content/pdf/10.1065/lca2004.12.191.pdf" TargetMode="External"/><Relationship Id="rId7" Type="http://schemas.openxmlformats.org/officeDocument/2006/relationships/hyperlink" Target="https://www.utwente.nl/en/tnw/ems/research/ats/Events/chmt/m13-hendrie-derking-cryoworld-chmt-2019.pdf" TargetMode="External"/><Relationship Id="rId12" Type="http://schemas.openxmlformats.org/officeDocument/2006/relationships/hyperlink" Target="https://www.researchgate.net/publication/257365458_An_Analysis_of_the_Contribution_of_Flight_Route_and_Aircraft_Type_in_Environmental_Performance_of_Airlines_Based_on_Life_Cycle_Assessment_the_Lutfhansa_Case" TargetMode="External"/><Relationship Id="rId17" Type="http://schemas.openxmlformats.org/officeDocument/2006/relationships/hyperlink" Target="https://www.scania.com/content/dam/group/press-and-media/press-releases/documents/Scania-Life-cycle-assessment-of-distribution-vehicles.pdf" TargetMode="External"/><Relationship Id="rId2" Type="http://schemas.openxmlformats.org/officeDocument/2006/relationships/hyperlink" Target="https://www.atlantis-press.com/article/25901895.pdf" TargetMode="External"/><Relationship Id="rId16" Type="http://schemas.openxmlformats.org/officeDocument/2006/relationships/hyperlink" Target="https://hydrogencouncil.com/wp-content/uploads/2021/01/Hydrogen-Council-Report_Decarbonization-Pathways_Part-1-Lifecycle-Assessment.pdf" TargetMode="External"/><Relationship Id="rId20" Type="http://schemas.openxmlformats.org/officeDocument/2006/relationships/hyperlink" Target="https://www.sciencedirect.com/science/article/pii/S0360319921014270" TargetMode="External"/><Relationship Id="rId1" Type="http://schemas.openxmlformats.org/officeDocument/2006/relationships/hyperlink" Target="https://www.sintef.no/en/sintef-research-areas/hydrogen/hydrogen-as-energy-storage/" TargetMode="External"/><Relationship Id="rId6" Type="http://schemas.openxmlformats.org/officeDocument/2006/relationships/hyperlink" Target="https://theicct.org/wp-content/uploads/2023/08/Aircraft-retrofit-white-paper-A4-v3.pdf" TargetMode="External"/><Relationship Id="rId11" Type="http://schemas.openxmlformats.org/officeDocument/2006/relationships/hyperlink" Target="https://www.researchgate.net/publication/257365458_An_Analysis_of_the_Contribution_of_Flight_Route_and_Aircraft_Type_in_Environmental_Performance_of_Airlines_Based_on_Life_Cycle_Assessment_the_Lutfhansa_Case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nowtricity.com/country/norway/" TargetMode="External"/><Relationship Id="rId15" Type="http://schemas.openxmlformats.org/officeDocument/2006/relationships/hyperlink" Target="https://www.linde-engineering.com/en/about-linde-engineering/success-stories/h2-mobility.html" TargetMode="External"/><Relationship Id="rId23" Type="http://schemas.openxmlformats.org/officeDocument/2006/relationships/hyperlink" Target="https://link.springer.com/content/pdf/10.1065/lca2004.12.191.pdf" TargetMode="External"/><Relationship Id="rId10" Type="http://schemas.openxmlformats.org/officeDocument/2006/relationships/hyperlink" Target="https://nelhydrogen.com/articles/in-depth/official-opening-of-the-heroya-facility/" TargetMode="External"/><Relationship Id="rId19" Type="http://schemas.openxmlformats.org/officeDocument/2006/relationships/hyperlink" Target="https://www.researchgate.net/publication/257365458_An_Analysis_of_the_Contribution_of_Flight_Route_and_Aircraft_Type_in_Environmental_Performance_of_Airlines_Based_on_Life_Cycle_Assessment_the_Lutfhansa_Case" TargetMode="External"/><Relationship Id="rId4" Type="http://schemas.openxmlformats.org/officeDocument/2006/relationships/hyperlink" Target="https://theicct.org/wp-content/uploads/2023/08/Aircraft-retrofit-white-paper-A4-v3.pdf" TargetMode="External"/><Relationship Id="rId9" Type="http://schemas.openxmlformats.org/officeDocument/2006/relationships/hyperlink" Target="https://mhy.no/hydrogen-plant/" TargetMode="External"/><Relationship Id="rId14" Type="http://schemas.openxmlformats.org/officeDocument/2006/relationships/hyperlink" Target="https://www.hydrogeninsight.com/analysis/hydrogen-is-a-more-potent-greenhouse-gas-than-previously-reported-new-study-reveals/2-1-1463495" TargetMode="External"/><Relationship Id="rId22" Type="http://schemas.openxmlformats.org/officeDocument/2006/relationships/hyperlink" Target="https://link.springer.com/content/pdf/10.1065/lca2004.12.19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"/>
  <sheetViews>
    <sheetView workbookViewId="0">
      <selection activeCell="C10" sqref="C10"/>
    </sheetView>
  </sheetViews>
  <sheetFormatPr baseColWidth="10" defaultColWidth="8.77734375" defaultRowHeight="14.4" x14ac:dyDescent="0.3"/>
  <cols>
    <col min="2" max="2" width="14.44140625" customWidth="1"/>
    <col min="3" max="3" width="26.109375" customWidth="1"/>
    <col min="4" max="4" width="38.109375" customWidth="1"/>
    <col min="5" max="5" width="30.44140625" customWidth="1"/>
    <col min="7" max="7" width="24.77734375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2:7" x14ac:dyDescent="0.3">
      <c r="B4" t="s">
        <v>12</v>
      </c>
    </row>
    <row r="5" spans="2:7" x14ac:dyDescent="0.3">
      <c r="B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697-9118-224B-BB6D-C301F32590AD}">
  <dimension ref="A1:E6"/>
  <sheetViews>
    <sheetView workbookViewId="0">
      <selection activeCell="B1" sqref="B1:E1"/>
    </sheetView>
  </sheetViews>
  <sheetFormatPr baseColWidth="10" defaultRowHeight="14.4" x14ac:dyDescent="0.3"/>
  <cols>
    <col min="1" max="1" width="22" bestFit="1" customWidth="1"/>
    <col min="2" max="2" width="16.6640625" bestFit="1" customWidth="1"/>
    <col min="3" max="3" width="18.77734375" bestFit="1" customWidth="1"/>
    <col min="4" max="4" width="13.6640625" bestFit="1" customWidth="1"/>
    <col min="5" max="5" width="14.109375" bestFit="1" customWidth="1"/>
  </cols>
  <sheetData>
    <row r="1" spans="1:5" x14ac:dyDescent="0.3">
      <c r="A1" s="15"/>
      <c r="B1" s="13" t="s">
        <v>78</v>
      </c>
      <c r="C1" s="13" t="s">
        <v>80</v>
      </c>
      <c r="D1" s="13" t="s">
        <v>81</v>
      </c>
      <c r="E1" s="13" t="s">
        <v>82</v>
      </c>
    </row>
    <row r="2" spans="1:5" x14ac:dyDescent="0.3">
      <c r="A2" s="13" t="s">
        <v>78</v>
      </c>
      <c r="B2">
        <f>'C-airplane'!C3</f>
        <v>0</v>
      </c>
      <c r="C2">
        <f>'C-airplane'!D3</f>
        <v>1</v>
      </c>
      <c r="D2">
        <f>'C-airplane'!E3</f>
        <v>0</v>
      </c>
      <c r="E2">
        <f>'C-airplane'!F3</f>
        <v>0</v>
      </c>
    </row>
    <row r="3" spans="1:5" x14ac:dyDescent="0.3">
      <c r="A3" s="13" t="s">
        <v>80</v>
      </c>
      <c r="B3">
        <f>'C-airplane'!C4</f>
        <v>0</v>
      </c>
      <c r="C3">
        <f>'C-airplane'!D4</f>
        <v>0</v>
      </c>
      <c r="D3">
        <f>'C-airplane'!E4</f>
        <v>1</v>
      </c>
      <c r="E3">
        <f>'C-airplane'!F4</f>
        <v>0</v>
      </c>
    </row>
    <row r="4" spans="1:5" x14ac:dyDescent="0.3">
      <c r="A4" s="13" t="s">
        <v>81</v>
      </c>
      <c r="B4">
        <f>'C-airplane'!C5</f>
        <v>0</v>
      </c>
      <c r="C4">
        <f>'C-airplane'!D5</f>
        <v>0</v>
      </c>
      <c r="D4">
        <f>'C-airplane'!E5</f>
        <v>0</v>
      </c>
      <c r="E4">
        <f>'C-airplane'!F5</f>
        <v>2.0720000000000001</v>
      </c>
    </row>
    <row r="5" spans="1:5" x14ac:dyDescent="0.3">
      <c r="A5" s="13" t="s">
        <v>82</v>
      </c>
      <c r="B5">
        <f>'C-airplane'!C6</f>
        <v>0</v>
      </c>
      <c r="C5">
        <f>'C-airplane'!D6</f>
        <v>0</v>
      </c>
      <c r="D5">
        <f>'C-airplane'!E6</f>
        <v>0</v>
      </c>
      <c r="E5">
        <f>'C-airplane'!F6</f>
        <v>0</v>
      </c>
    </row>
    <row r="6" spans="1:5" x14ac:dyDescent="0.3">
      <c r="A6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902B-8C43-9345-9D1C-F27022596203}">
  <dimension ref="A1:B6"/>
  <sheetViews>
    <sheetView workbookViewId="0">
      <selection activeCell="E11" sqref="E11"/>
    </sheetView>
  </sheetViews>
  <sheetFormatPr baseColWidth="10" defaultRowHeight="14.4" x14ac:dyDescent="0.3"/>
  <cols>
    <col min="1" max="1" width="22" bestFit="1" customWidth="1"/>
  </cols>
  <sheetData>
    <row r="1" spans="1:2" x14ac:dyDescent="0.3">
      <c r="A1" s="15"/>
      <c r="B1" s="16" t="s">
        <v>24</v>
      </c>
    </row>
    <row r="2" spans="1:2" x14ac:dyDescent="0.3">
      <c r="A2" s="13" t="s">
        <v>78</v>
      </c>
      <c r="B2" s="2">
        <f>'C-airplane'!C10</f>
        <v>0</v>
      </c>
    </row>
    <row r="3" spans="1:2" x14ac:dyDescent="0.3">
      <c r="A3" s="13" t="s">
        <v>80</v>
      </c>
      <c r="B3" s="2">
        <f>'C-airplane'!C11</f>
        <v>0</v>
      </c>
    </row>
    <row r="4" spans="1:2" x14ac:dyDescent="0.3">
      <c r="A4" s="13" t="s">
        <v>81</v>
      </c>
      <c r="B4" s="2">
        <f>'C-airplane'!C12</f>
        <v>0</v>
      </c>
    </row>
    <row r="5" spans="1:2" x14ac:dyDescent="0.3">
      <c r="A5" s="13" t="s">
        <v>82</v>
      </c>
      <c r="B5" s="2">
        <v>364</v>
      </c>
    </row>
    <row r="6" spans="1:2" x14ac:dyDescent="0.3">
      <c r="A6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2C84-D425-5F4A-852A-7FACAE58D1FC}">
  <dimension ref="A1:E2"/>
  <sheetViews>
    <sheetView workbookViewId="0">
      <selection activeCell="G16" sqref="G16"/>
    </sheetView>
  </sheetViews>
  <sheetFormatPr baseColWidth="10" defaultRowHeight="14.4" x14ac:dyDescent="0.3"/>
  <sheetData>
    <row r="1" spans="1:5" x14ac:dyDescent="0.3">
      <c r="B1" s="13" t="s">
        <v>78</v>
      </c>
      <c r="C1" s="13" t="s">
        <v>80</v>
      </c>
      <c r="D1" s="13" t="s">
        <v>81</v>
      </c>
      <c r="E1" s="13" t="s">
        <v>82</v>
      </c>
    </row>
    <row r="2" spans="1:5" x14ac:dyDescent="0.3">
      <c r="A2" t="s">
        <v>34</v>
      </c>
      <c r="B2">
        <f>'C-airplane'!C17</f>
        <v>1.4E-2</v>
      </c>
      <c r="C2">
        <f>'C-airplane'!D17</f>
        <v>1.5E-3</v>
      </c>
      <c r="D2">
        <f>'C-airplane'!E17</f>
        <v>0</v>
      </c>
      <c r="E2">
        <f>'C-airplane'!F17</f>
        <v>6.5475200000000005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801D-DE4E-4CB7-A26F-D942958046F9}">
  <dimension ref="A1:J9"/>
  <sheetViews>
    <sheetView workbookViewId="0">
      <selection activeCell="A2" sqref="A2:A9"/>
    </sheetView>
  </sheetViews>
  <sheetFormatPr baseColWidth="10" defaultColWidth="8.77734375" defaultRowHeight="14.4" x14ac:dyDescent="0.3"/>
  <cols>
    <col min="2" max="3" width="17" customWidth="1"/>
    <col min="4" max="4" width="7.44140625" customWidth="1"/>
    <col min="5" max="5" width="6.77734375" customWidth="1"/>
    <col min="6" max="6" width="22.77734375" customWidth="1"/>
    <col min="7" max="7" width="41.33203125" customWidth="1"/>
    <col min="8" max="8" width="13.77734375" customWidth="1"/>
  </cols>
  <sheetData>
    <row r="1" spans="1:10" x14ac:dyDescent="0.3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J1" s="6" t="s">
        <v>44</v>
      </c>
    </row>
    <row r="3" spans="1:10" x14ac:dyDescent="0.3">
      <c r="D3" s="8"/>
    </row>
    <row r="4" spans="1:10" x14ac:dyDescent="0.3">
      <c r="D4" s="8"/>
      <c r="F4" s="9"/>
      <c r="H4" s="8"/>
      <c r="I4" s="10"/>
    </row>
    <row r="5" spans="1:10" x14ac:dyDescent="0.3">
      <c r="D5" s="8"/>
      <c r="E5" s="10"/>
      <c r="G5" s="10"/>
    </row>
    <row r="6" spans="1:10" x14ac:dyDescent="0.3">
      <c r="E6" s="10"/>
      <c r="F6" s="11"/>
      <c r="G6" s="10"/>
    </row>
    <row r="7" spans="1:10" x14ac:dyDescent="0.3">
      <c r="E7" s="10"/>
      <c r="F7" s="11"/>
      <c r="G7" s="10"/>
    </row>
    <row r="8" spans="1:10" x14ac:dyDescent="0.3">
      <c r="G8" s="10"/>
    </row>
    <row r="9" spans="1:10" x14ac:dyDescent="0.3">
      <c r="G9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58BA-6951-4AAF-993F-B6EEBCA105A5}">
  <dimension ref="A1:E57"/>
  <sheetViews>
    <sheetView workbookViewId="0">
      <selection activeCell="B48" sqref="B48"/>
    </sheetView>
  </sheetViews>
  <sheetFormatPr baseColWidth="10" defaultColWidth="8.77734375" defaultRowHeight="14.4" x14ac:dyDescent="0.3"/>
  <cols>
    <col min="1" max="1" width="38.33203125" customWidth="1"/>
    <col min="2" max="2" width="17.44140625" customWidth="1"/>
    <col min="3" max="3" width="19.44140625" customWidth="1"/>
    <col min="4" max="4" width="129.44140625" customWidth="1"/>
    <col min="5" max="5" width="36.33203125" customWidth="1"/>
  </cols>
  <sheetData>
    <row r="1" spans="1:5" x14ac:dyDescent="0.3">
      <c r="A1" s="6" t="s">
        <v>83</v>
      </c>
      <c r="B1" s="6" t="s">
        <v>39</v>
      </c>
      <c r="C1" s="6" t="s">
        <v>40</v>
      </c>
      <c r="D1" s="6" t="s">
        <v>84</v>
      </c>
      <c r="E1" s="7" t="s">
        <v>44</v>
      </c>
    </row>
    <row r="2" spans="1:5" x14ac:dyDescent="0.3">
      <c r="A2" t="s">
        <v>85</v>
      </c>
      <c r="B2">
        <v>18</v>
      </c>
      <c r="C2" t="s">
        <v>86</v>
      </c>
      <c r="D2" s="5" t="s">
        <v>87</v>
      </c>
      <c r="E2" t="s">
        <v>88</v>
      </c>
    </row>
    <row r="3" spans="1:5" x14ac:dyDescent="0.3">
      <c r="A3" t="s">
        <v>89</v>
      </c>
      <c r="B3">
        <v>50</v>
      </c>
      <c r="C3" t="s">
        <v>90</v>
      </c>
      <c r="D3" s="5" t="s">
        <v>91</v>
      </c>
    </row>
    <row r="4" spans="1:5" x14ac:dyDescent="0.3">
      <c r="A4" t="s">
        <v>92</v>
      </c>
      <c r="B4">
        <v>33.299999999999997</v>
      </c>
      <c r="C4" t="s">
        <v>90</v>
      </c>
      <c r="D4" s="5" t="s">
        <v>93</v>
      </c>
    </row>
    <row r="5" spans="1:5" x14ac:dyDescent="0.3">
      <c r="A5" t="s">
        <v>94</v>
      </c>
      <c r="B5">
        <v>12</v>
      </c>
      <c r="C5" t="s">
        <v>90</v>
      </c>
      <c r="D5" s="5" t="s">
        <v>95</v>
      </c>
    </row>
    <row r="6" spans="1:5" x14ac:dyDescent="0.3">
      <c r="A6" t="s">
        <v>96</v>
      </c>
      <c r="B6">
        <v>0.75</v>
      </c>
      <c r="C6" t="s">
        <v>97</v>
      </c>
      <c r="D6" t="s">
        <v>98</v>
      </c>
    </row>
    <row r="7" spans="1:5" x14ac:dyDescent="0.3">
      <c r="A7" t="s">
        <v>99</v>
      </c>
      <c r="B7">
        <v>2.5</v>
      </c>
      <c r="C7" t="s">
        <v>100</v>
      </c>
      <c r="D7" s="5" t="s">
        <v>101</v>
      </c>
      <c r="E7" t="s">
        <v>102</v>
      </c>
    </row>
    <row r="8" spans="1:5" x14ac:dyDescent="0.3">
      <c r="A8" t="s">
        <v>103</v>
      </c>
      <c r="B8">
        <v>3500</v>
      </c>
      <c r="C8" t="s">
        <v>97</v>
      </c>
      <c r="D8" s="5" t="s">
        <v>104</v>
      </c>
    </row>
    <row r="9" spans="1:5" x14ac:dyDescent="0.3">
      <c r="A9" t="s">
        <v>105</v>
      </c>
      <c r="B9">
        <f>92</f>
        <v>92</v>
      </c>
      <c r="C9" t="s">
        <v>106</v>
      </c>
      <c r="D9" s="5" t="s">
        <v>107</v>
      </c>
      <c r="E9" t="s">
        <v>108</v>
      </c>
    </row>
    <row r="10" spans="1:5" x14ac:dyDescent="0.3">
      <c r="A10" t="s">
        <v>109</v>
      </c>
      <c r="B10">
        <v>55</v>
      </c>
      <c r="C10" t="s">
        <v>106</v>
      </c>
      <c r="D10" s="5" t="s">
        <v>95</v>
      </c>
    </row>
    <row r="11" spans="1:5" x14ac:dyDescent="0.3">
      <c r="A11" t="s">
        <v>110</v>
      </c>
      <c r="B11" t="s">
        <v>111</v>
      </c>
      <c r="C11" t="s">
        <v>112</v>
      </c>
      <c r="D11" s="5" t="s">
        <v>113</v>
      </c>
      <c r="E11" t="s">
        <v>114</v>
      </c>
    </row>
    <row r="15" spans="1:5" x14ac:dyDescent="0.3">
      <c r="A15" t="s">
        <v>115</v>
      </c>
      <c r="B15">
        <v>3.7</v>
      </c>
      <c r="C15" t="s">
        <v>116</v>
      </c>
      <c r="D15" s="5" t="s">
        <v>117</v>
      </c>
    </row>
    <row r="16" spans="1:5" x14ac:dyDescent="0.3">
      <c r="A16" t="s">
        <v>118</v>
      </c>
      <c r="B16">
        <v>0.8</v>
      </c>
      <c r="C16" t="s">
        <v>119</v>
      </c>
      <c r="D16" s="5" t="s">
        <v>117</v>
      </c>
    </row>
    <row r="17" spans="1:5" x14ac:dyDescent="0.3">
      <c r="A17" t="s">
        <v>120</v>
      </c>
      <c r="B17">
        <v>70</v>
      </c>
      <c r="C17" t="s">
        <v>121</v>
      </c>
      <c r="D17" s="5" t="s">
        <v>117</v>
      </c>
    </row>
    <row r="21" spans="1:5" x14ac:dyDescent="0.3">
      <c r="A21" t="s">
        <v>122</v>
      </c>
      <c r="B21" t="s">
        <v>123</v>
      </c>
      <c r="C21" t="s">
        <v>124</v>
      </c>
      <c r="D21" t="s">
        <v>125</v>
      </c>
    </row>
    <row r="22" spans="1:5" x14ac:dyDescent="0.3">
      <c r="A22" t="s">
        <v>126</v>
      </c>
      <c r="B22">
        <v>207</v>
      </c>
      <c r="C22" t="s">
        <v>9</v>
      </c>
      <c r="D22" t="s">
        <v>127</v>
      </c>
      <c r="E22" s="5" t="s">
        <v>128</v>
      </c>
    </row>
    <row r="23" spans="1:5" x14ac:dyDescent="0.3">
      <c r="A23" t="s">
        <v>129</v>
      </c>
      <c r="B23">
        <v>57</v>
      </c>
      <c r="C23" t="s">
        <v>9</v>
      </c>
      <c r="D23" t="s">
        <v>130</v>
      </c>
      <c r="E23" s="5" t="s">
        <v>131</v>
      </c>
    </row>
    <row r="24" spans="1:5" x14ac:dyDescent="0.3">
      <c r="A24" t="s">
        <v>132</v>
      </c>
      <c r="B24">
        <v>20.6</v>
      </c>
      <c r="C24" t="s">
        <v>9</v>
      </c>
      <c r="D24" t="s">
        <v>133</v>
      </c>
      <c r="E24" s="5" t="s">
        <v>134</v>
      </c>
    </row>
    <row r="25" spans="1:5" x14ac:dyDescent="0.3">
      <c r="E25" s="5"/>
    </row>
    <row r="26" spans="1:5" x14ac:dyDescent="0.3">
      <c r="A26" t="s">
        <v>162</v>
      </c>
      <c r="B26">
        <v>7.0000000000000001E-3</v>
      </c>
      <c r="C26" t="s">
        <v>165</v>
      </c>
      <c r="D26" s="5" t="s">
        <v>166</v>
      </c>
      <c r="E26" s="5"/>
    </row>
    <row r="27" spans="1:5" x14ac:dyDescent="0.3">
      <c r="A27" t="s">
        <v>163</v>
      </c>
      <c r="B27">
        <v>7.0000000000000001E-3</v>
      </c>
      <c r="C27" t="s">
        <v>165</v>
      </c>
      <c r="D27" s="5" t="s">
        <v>166</v>
      </c>
      <c r="E27" s="5"/>
    </row>
    <row r="28" spans="1:5" x14ac:dyDescent="0.3">
      <c r="A28" t="s">
        <v>164</v>
      </c>
      <c r="B28">
        <v>1.5E-3</v>
      </c>
      <c r="C28" t="s">
        <v>165</v>
      </c>
      <c r="D28" s="5" t="s">
        <v>166</v>
      </c>
      <c r="E28" s="5"/>
    </row>
    <row r="29" spans="1:5" x14ac:dyDescent="0.3">
      <c r="A29" t="s">
        <v>167</v>
      </c>
      <c r="B29">
        <v>3.16</v>
      </c>
      <c r="C29" t="s">
        <v>165</v>
      </c>
      <c r="D29" s="5" t="s">
        <v>168</v>
      </c>
      <c r="E29" s="5"/>
    </row>
    <row r="32" spans="1:5" x14ac:dyDescent="0.3">
      <c r="D32" t="s">
        <v>135</v>
      </c>
    </row>
    <row r="33" spans="1:4" x14ac:dyDescent="0.3">
      <c r="A33" s="6" t="s">
        <v>136</v>
      </c>
      <c r="B33">
        <v>0</v>
      </c>
      <c r="C33" t="s">
        <v>137</v>
      </c>
      <c r="D33" s="5" t="s">
        <v>138</v>
      </c>
    </row>
    <row r="34" spans="1:4" x14ac:dyDescent="0.3">
      <c r="D34" s="5" t="s">
        <v>139</v>
      </c>
    </row>
    <row r="35" spans="1:4" x14ac:dyDescent="0.3">
      <c r="D35" s="5"/>
    </row>
    <row r="36" spans="1:4" x14ac:dyDescent="0.3">
      <c r="A36" t="s">
        <v>140</v>
      </c>
      <c r="B36" s="17">
        <v>5.0000000000000001E-3</v>
      </c>
      <c r="C36" t="s">
        <v>35</v>
      </c>
      <c r="D36" s="5" t="s">
        <v>138</v>
      </c>
    </row>
    <row r="39" spans="1:4" x14ac:dyDescent="0.3">
      <c r="A39" s="6" t="s">
        <v>141</v>
      </c>
      <c r="B39">
        <v>12.8</v>
      </c>
      <c r="C39" t="s">
        <v>137</v>
      </c>
      <c r="D39" s="5" t="s">
        <v>142</v>
      </c>
    </row>
    <row r="40" spans="1:4" x14ac:dyDescent="0.3">
      <c r="D40" s="5"/>
    </row>
    <row r="42" spans="1:4" x14ac:dyDescent="0.3">
      <c r="A42" s="6" t="s">
        <v>143</v>
      </c>
      <c r="D42" s="5" t="s">
        <v>144</v>
      </c>
    </row>
    <row r="43" spans="1:4" x14ac:dyDescent="0.3">
      <c r="A43" t="s">
        <v>145</v>
      </c>
    </row>
    <row r="44" spans="1:4" x14ac:dyDescent="0.3">
      <c r="A44" t="s">
        <v>146</v>
      </c>
    </row>
    <row r="45" spans="1:4" x14ac:dyDescent="0.3">
      <c r="A45" t="s">
        <v>147</v>
      </c>
    </row>
    <row r="46" spans="1:4" x14ac:dyDescent="0.3">
      <c r="A46" t="s">
        <v>148</v>
      </c>
    </row>
    <row r="47" spans="1:4" x14ac:dyDescent="0.3">
      <c r="A47" t="s">
        <v>170</v>
      </c>
      <c r="B47">
        <v>364</v>
      </c>
      <c r="D47" t="s">
        <v>169</v>
      </c>
    </row>
    <row r="48" spans="1:4" ht="15.6" x14ac:dyDescent="0.3">
      <c r="A48" t="s">
        <v>171</v>
      </c>
      <c r="B48" s="29">
        <v>778</v>
      </c>
    </row>
    <row r="49" spans="1:1" x14ac:dyDescent="0.3">
      <c r="A49" t="s">
        <v>172</v>
      </c>
    </row>
    <row r="50" spans="1:1" x14ac:dyDescent="0.3">
      <c r="A50" s="6" t="s">
        <v>149</v>
      </c>
    </row>
    <row r="51" spans="1:1" x14ac:dyDescent="0.3">
      <c r="A51" t="s">
        <v>150</v>
      </c>
    </row>
    <row r="52" spans="1:1" x14ac:dyDescent="0.3">
      <c r="A52" t="s">
        <v>151</v>
      </c>
    </row>
    <row r="53" spans="1:1" x14ac:dyDescent="0.3">
      <c r="A53" t="s">
        <v>152</v>
      </c>
    </row>
    <row r="54" spans="1:1" x14ac:dyDescent="0.3">
      <c r="A54" t="s">
        <v>153</v>
      </c>
    </row>
    <row r="55" spans="1:1" x14ac:dyDescent="0.3">
      <c r="A55" t="s">
        <v>154</v>
      </c>
    </row>
    <row r="56" spans="1:1" x14ac:dyDescent="0.3">
      <c r="A56" t="s">
        <v>155</v>
      </c>
    </row>
    <row r="57" spans="1:1" x14ac:dyDescent="0.3">
      <c r="A57" t="s">
        <v>156</v>
      </c>
    </row>
  </sheetData>
  <hyperlinks>
    <hyperlink ref="D4" r:id="rId1" xr:uid="{3AC640A3-D901-4441-A827-5E452357B912}"/>
    <hyperlink ref="D9" r:id="rId2" xr:uid="{28064FDA-6867-4797-B450-8AB14DB1C94F}"/>
    <hyperlink ref="D3" r:id="rId3" xr:uid="{CFE1065A-060F-4ADB-AAFE-7696161DB57A}"/>
    <hyperlink ref="D10" r:id="rId4" xr:uid="{51B49C70-9DCE-4F65-A4A6-99EAE64B87C5}"/>
    <hyperlink ref="D2" r:id="rId5" xr:uid="{6E88412C-977E-4F0B-BD48-017C5DE85416}"/>
    <hyperlink ref="D5" r:id="rId6" xr:uid="{F31D50F5-CF0C-4069-AFCC-99E8ECFBC7BF}"/>
    <hyperlink ref="D7" r:id="rId7" xr:uid="{E621BA24-20E1-469F-9050-7CB894694B80}"/>
    <hyperlink ref="E24" r:id="rId8" xr:uid="{D17A662A-3BFB-4A23-A2D3-2D94918DCAF1}"/>
    <hyperlink ref="E23" r:id="rId9" xr:uid="{AB8BF315-BC11-4DF6-8A3D-068447E87348}"/>
    <hyperlink ref="E22" r:id="rId10" xr:uid="{5F0B2535-0142-4AA0-B5AA-D95E6FC1A3B1}"/>
    <hyperlink ref="D15" r:id="rId11" xr:uid="{D4688930-A413-4997-9FD1-D2143DB32987}"/>
    <hyperlink ref="D16" r:id="rId12" xr:uid="{AA38321C-5AB7-4451-9E2C-8281C0CCA296}"/>
    <hyperlink ref="D42" r:id="rId13" xr:uid="{DEBCDDB7-2EB3-944A-9C37-5654545D2F75}"/>
    <hyperlink ref="D39" r:id="rId14" xr:uid="{640406C9-50A9-6C42-8119-2F0C52554A15}"/>
    <hyperlink ref="D8" r:id="rId15" xr:uid="{0B74AAFD-BAD2-4D57-A2F8-E21CA7F2EDFE}"/>
    <hyperlink ref="D34" r:id="rId16" xr:uid="{C02BC911-62BB-8146-AC6B-BC81AB0854EE}"/>
    <hyperlink ref="D11" r:id="rId17" xr:uid="{E44D0B6D-42DF-4309-AC4A-3E0653CF886D}"/>
    <hyperlink ref="D36" r:id="rId18" xr:uid="{DD973F05-C0D0-E340-81B6-AB4F49DFB880}"/>
    <hyperlink ref="D17" r:id="rId19" xr:uid="{FDA9F95D-BB4C-46C7-9F30-0818F2F313DA}"/>
    <hyperlink ref="D33" r:id="rId20" xr:uid="{15EFB120-828E-B543-AE1E-E2C8A84C0920}"/>
    <hyperlink ref="D26" r:id="rId21" xr:uid="{4EBA253B-5B61-8247-A94D-5DC4F4E74CCB}"/>
    <hyperlink ref="D27" r:id="rId22" xr:uid="{BC8A399E-3D53-F54A-AF7F-2844526F51EB}"/>
    <hyperlink ref="D28" r:id="rId23" xr:uid="{F2910B43-C395-9E40-88BA-FD3670615155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60F4-FEAF-41D4-8684-1A66D8B6A608}">
  <dimension ref="A2:M27"/>
  <sheetViews>
    <sheetView topLeftCell="C2" zoomScale="75" workbookViewId="0">
      <selection activeCell="F5" sqref="F5"/>
    </sheetView>
  </sheetViews>
  <sheetFormatPr baseColWidth="10" defaultColWidth="8.77734375" defaultRowHeight="14.4" x14ac:dyDescent="0.3"/>
  <cols>
    <col min="1" max="1" width="9.6640625" customWidth="1"/>
    <col min="2" max="2" width="25" customWidth="1"/>
    <col min="3" max="3" width="25.6640625" bestFit="1" customWidth="1"/>
    <col min="4" max="4" width="18.109375" customWidth="1"/>
    <col min="5" max="5" width="20.77734375" customWidth="1"/>
    <col min="6" max="6" width="17" customWidth="1"/>
    <col min="7" max="7" width="12.33203125" customWidth="1"/>
    <col min="8" max="8" width="17.33203125" customWidth="1"/>
    <col min="9" max="9" width="17.77734375" customWidth="1"/>
    <col min="10" max="10" width="18.77734375" customWidth="1"/>
  </cols>
  <sheetData>
    <row r="2" spans="1:13" x14ac:dyDescent="0.3">
      <c r="A2" s="12" t="s">
        <v>14</v>
      </c>
      <c r="B2" s="20"/>
      <c r="C2" s="21" t="s">
        <v>15</v>
      </c>
      <c r="D2" s="21" t="s">
        <v>16</v>
      </c>
      <c r="E2" s="21" t="s">
        <v>17</v>
      </c>
      <c r="F2" s="21" t="s">
        <v>18</v>
      </c>
      <c r="G2" s="21" t="s">
        <v>19</v>
      </c>
      <c r="H2" s="21" t="s">
        <v>20</v>
      </c>
      <c r="I2" s="21" t="s">
        <v>21</v>
      </c>
      <c r="J2" s="22"/>
    </row>
    <row r="3" spans="1:13" x14ac:dyDescent="0.3">
      <c r="B3" s="23" t="s">
        <v>15</v>
      </c>
      <c r="C3">
        <f>0</f>
        <v>0</v>
      </c>
      <c r="D3" s="28">
        <f>1/(1-D22)</f>
        <v>1.0050251256281406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 s="24"/>
      <c r="M3" s="7" t="s">
        <v>22</v>
      </c>
    </row>
    <row r="4" spans="1:13" x14ac:dyDescent="0.3">
      <c r="B4" s="23" t="s">
        <v>16</v>
      </c>
      <c r="C4">
        <f>0</f>
        <v>0</v>
      </c>
      <c r="D4">
        <f>0</f>
        <v>0</v>
      </c>
      <c r="E4" s="1">
        <f>1/(1-E22)</f>
        <v>1.0526315789473684</v>
      </c>
      <c r="F4">
        <f>0</f>
        <v>0</v>
      </c>
      <c r="G4">
        <f>0</f>
        <v>0</v>
      </c>
      <c r="H4">
        <f>0</f>
        <v>0</v>
      </c>
      <c r="I4">
        <f>0</f>
        <v>0</v>
      </c>
      <c r="J4" s="24"/>
    </row>
    <row r="5" spans="1:13" x14ac:dyDescent="0.3">
      <c r="B5" s="23" t="s">
        <v>17</v>
      </c>
      <c r="C5">
        <f>0</f>
        <v>0</v>
      </c>
      <c r="D5">
        <f>0</f>
        <v>0</v>
      </c>
      <c r="E5">
        <f>0</f>
        <v>0</v>
      </c>
      <c r="F5" s="1">
        <f>1/(1-F22)</f>
        <v>1.0305009984051596</v>
      </c>
      <c r="G5">
        <f>0</f>
        <v>0</v>
      </c>
      <c r="H5">
        <f>0</f>
        <v>0</v>
      </c>
      <c r="I5">
        <f>0</f>
        <v>0</v>
      </c>
      <c r="J5" s="24"/>
    </row>
    <row r="6" spans="1:13" x14ac:dyDescent="0.3">
      <c r="B6" s="23" t="s">
        <v>18</v>
      </c>
      <c r="C6">
        <f>0</f>
        <v>0</v>
      </c>
      <c r="D6">
        <f>0</f>
        <v>0</v>
      </c>
      <c r="E6">
        <f>0</f>
        <v>0</v>
      </c>
      <c r="F6">
        <f>0</f>
        <v>0</v>
      </c>
      <c r="G6" s="1">
        <f>1.818/33.3</f>
        <v>5.4594594594594599E-2</v>
      </c>
      <c r="H6">
        <f>0</f>
        <v>0</v>
      </c>
      <c r="I6">
        <f>0</f>
        <v>0</v>
      </c>
      <c r="J6" s="24"/>
    </row>
    <row r="7" spans="1:13" x14ac:dyDescent="0.3">
      <c r="B7" s="23" t="s">
        <v>19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0</f>
        <v>0</v>
      </c>
      <c r="H7" s="1">
        <f>27.147</f>
        <v>27.146999999999998</v>
      </c>
      <c r="I7">
        <f>0</f>
        <v>0</v>
      </c>
      <c r="J7" s="24"/>
    </row>
    <row r="8" spans="1:13" x14ac:dyDescent="0.3">
      <c r="B8" s="23" t="s">
        <v>20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 s="24"/>
    </row>
    <row r="9" spans="1:13" x14ac:dyDescent="0.3">
      <c r="B9" s="23" t="s">
        <v>21</v>
      </c>
      <c r="C9" s="1">
        <v>50</v>
      </c>
      <c r="D9" s="1">
        <v>12</v>
      </c>
      <c r="E9">
        <f>0</f>
        <v>0</v>
      </c>
      <c r="F9">
        <f>0</f>
        <v>0</v>
      </c>
      <c r="G9">
        <f>0</f>
        <v>0</v>
      </c>
      <c r="H9">
        <f>0</f>
        <v>0</v>
      </c>
      <c r="I9" s="1">
        <f>0</f>
        <v>0</v>
      </c>
      <c r="J9" s="24"/>
    </row>
    <row r="10" spans="1:13" x14ac:dyDescent="0.3">
      <c r="B10" s="25"/>
      <c r="C10" s="19"/>
      <c r="D10" s="19"/>
      <c r="E10" s="19"/>
      <c r="F10" s="19"/>
      <c r="G10" s="19"/>
      <c r="H10" s="19"/>
      <c r="I10" s="19"/>
      <c r="J10" s="26"/>
    </row>
    <row r="11" spans="1:13" x14ac:dyDescent="0.3">
      <c r="A11" s="12" t="s">
        <v>23</v>
      </c>
      <c r="B11" s="14"/>
      <c r="C11" s="4" t="s">
        <v>24</v>
      </c>
    </row>
    <row r="12" spans="1:13" x14ac:dyDescent="0.3">
      <c r="B12" s="13" t="s">
        <v>25</v>
      </c>
      <c r="C12" s="2">
        <f>0</f>
        <v>0</v>
      </c>
    </row>
    <row r="13" spans="1:13" x14ac:dyDescent="0.3">
      <c r="B13" s="13" t="s">
        <v>26</v>
      </c>
      <c r="C13" s="2">
        <f>0</f>
        <v>0</v>
      </c>
    </row>
    <row r="14" spans="1:13" x14ac:dyDescent="0.3">
      <c r="B14" s="13" t="s">
        <v>27</v>
      </c>
      <c r="C14" s="2">
        <f>0</f>
        <v>0</v>
      </c>
    </row>
    <row r="15" spans="1:13" x14ac:dyDescent="0.3">
      <c r="B15" s="13" t="s">
        <v>28</v>
      </c>
      <c r="C15" s="2">
        <f>0</f>
        <v>0</v>
      </c>
    </row>
    <row r="16" spans="1:13" x14ac:dyDescent="0.3">
      <c r="B16" s="13" t="s">
        <v>29</v>
      </c>
      <c r="C16" s="2">
        <f>0</f>
        <v>0</v>
      </c>
    </row>
    <row r="17" spans="1:10" x14ac:dyDescent="0.3">
      <c r="B17" s="13" t="s">
        <v>30</v>
      </c>
      <c r="C17" s="2">
        <v>265</v>
      </c>
    </row>
    <row r="18" spans="1:10" x14ac:dyDescent="0.3">
      <c r="B18" s="14" t="s">
        <v>31</v>
      </c>
      <c r="C18" s="4">
        <f>0</f>
        <v>0</v>
      </c>
    </row>
    <row r="20" spans="1:10" x14ac:dyDescent="0.3">
      <c r="A20" s="12" t="s">
        <v>32</v>
      </c>
      <c r="B20" s="15" t="s">
        <v>33</v>
      </c>
      <c r="C20" s="21" t="s">
        <v>15</v>
      </c>
      <c r="D20" s="21" t="s">
        <v>16</v>
      </c>
      <c r="E20" s="21" t="s">
        <v>17</v>
      </c>
      <c r="F20" s="21" t="s">
        <v>18</v>
      </c>
      <c r="G20" s="21" t="s">
        <v>19</v>
      </c>
      <c r="H20" s="21" t="s">
        <v>20</v>
      </c>
      <c r="I20" s="21" t="s">
        <v>21</v>
      </c>
      <c r="J20" s="22"/>
    </row>
    <row r="21" spans="1:10" x14ac:dyDescent="0.3">
      <c r="B21" s="14" t="s">
        <v>34</v>
      </c>
      <c r="C21" s="3">
        <v>0</v>
      </c>
      <c r="D21" s="3">
        <f>D3*D22*'Values, with sources'!B39</f>
        <v>6.4321608040201012E-2</v>
      </c>
      <c r="E21" s="3">
        <f>(0.7086*'Values, with sources'!B23/3500)+('H-airplane'!E4*'H-airplane'!E22*'Values, with sources'!B39)</f>
        <v>0.68522426766917288</v>
      </c>
      <c r="F21" s="3">
        <f>F5*F22*'Values, with sources'!B39</f>
        <v>0.39041277958604426</v>
      </c>
      <c r="G21" s="3">
        <v>0</v>
      </c>
      <c r="H21" s="3">
        <v>0</v>
      </c>
      <c r="I21" s="4">
        <f>18/1000</f>
        <v>1.7999999999999999E-2</v>
      </c>
      <c r="J21" s="19"/>
    </row>
    <row r="22" spans="1:10" x14ac:dyDescent="0.3">
      <c r="B22" t="s">
        <v>157</v>
      </c>
      <c r="D22" s="27">
        <f>'Values, with sources'!B36</f>
        <v>5.0000000000000001E-3</v>
      </c>
      <c r="E22" s="27">
        <v>0.05</v>
      </c>
      <c r="F22" s="27">
        <f>1-(1-F25)^F27</f>
        <v>2.9598223051083061E-2</v>
      </c>
      <c r="G22" s="17"/>
      <c r="H22" s="17"/>
    </row>
    <row r="24" spans="1:10" x14ac:dyDescent="0.3">
      <c r="F24" t="s">
        <v>158</v>
      </c>
    </row>
    <row r="25" spans="1:10" x14ac:dyDescent="0.3">
      <c r="B25" s="18"/>
      <c r="F25" s="27">
        <v>3.0000000000000001E-3</v>
      </c>
    </row>
    <row r="26" spans="1:10" x14ac:dyDescent="0.3">
      <c r="F26" t="s">
        <v>159</v>
      </c>
    </row>
    <row r="27" spans="1:10" x14ac:dyDescent="0.3">
      <c r="F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D743-6066-40C4-8294-CF3CF999536C}">
  <dimension ref="A1:H8"/>
  <sheetViews>
    <sheetView zoomScale="130" zoomScaleNormal="130" workbookViewId="0">
      <selection activeCell="E4" sqref="E4"/>
    </sheetView>
  </sheetViews>
  <sheetFormatPr baseColWidth="10" defaultColWidth="8.77734375" defaultRowHeight="14.4" x14ac:dyDescent="0.3"/>
  <cols>
    <col min="1" max="1" width="22.109375" customWidth="1"/>
    <col min="2" max="2" width="15.33203125" bestFit="1" customWidth="1"/>
    <col min="3" max="3" width="16" bestFit="1" customWidth="1"/>
    <col min="4" max="4" width="17.77734375" bestFit="1" customWidth="1"/>
    <col min="5" max="5" width="12.44140625" bestFit="1" customWidth="1"/>
    <col min="6" max="6" width="12.109375" bestFit="1" customWidth="1"/>
    <col min="7" max="7" width="15.33203125" bestFit="1" customWidth="1"/>
    <col min="8" max="8" width="16.44140625" bestFit="1" customWidth="1"/>
  </cols>
  <sheetData>
    <row r="1" spans="1:8" x14ac:dyDescent="0.3">
      <c r="A1" s="20"/>
      <c r="B1" s="21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</v>
      </c>
      <c r="H1" s="21" t="s">
        <v>21</v>
      </c>
    </row>
    <row r="2" spans="1:8" x14ac:dyDescent="0.3">
      <c r="A2" s="23" t="s">
        <v>15</v>
      </c>
      <c r="B2">
        <f>'H-airplane'!C3</f>
        <v>0</v>
      </c>
      <c r="C2">
        <f>'H-airplane'!D3</f>
        <v>1.0050251256281406</v>
      </c>
      <c r="D2">
        <f>'H-airplane'!E3</f>
        <v>0</v>
      </c>
      <c r="E2">
        <f>'H-airplane'!F3</f>
        <v>0</v>
      </c>
      <c r="F2">
        <f>'H-airplane'!G3</f>
        <v>0</v>
      </c>
      <c r="G2">
        <f>'H-airplane'!H3</f>
        <v>0</v>
      </c>
      <c r="H2">
        <f>'H-airplane'!I3</f>
        <v>0</v>
      </c>
    </row>
    <row r="3" spans="1:8" x14ac:dyDescent="0.3">
      <c r="A3" s="23" t="s">
        <v>16</v>
      </c>
      <c r="B3">
        <f>'H-airplane'!C4</f>
        <v>0</v>
      </c>
      <c r="C3">
        <f>'H-airplane'!D4</f>
        <v>0</v>
      </c>
      <c r="D3">
        <f>'H-airplane'!E4</f>
        <v>1.0526315789473684</v>
      </c>
      <c r="E3">
        <f>'H-airplane'!F4</f>
        <v>0</v>
      </c>
      <c r="F3">
        <f>'H-airplane'!G4</f>
        <v>0</v>
      </c>
      <c r="G3">
        <f>'H-airplane'!H4</f>
        <v>0</v>
      </c>
      <c r="H3">
        <f>'H-airplane'!I4</f>
        <v>0</v>
      </c>
    </row>
    <row r="4" spans="1:8" x14ac:dyDescent="0.3">
      <c r="A4" s="23" t="s">
        <v>17</v>
      </c>
      <c r="B4">
        <f>'H-airplane'!C5</f>
        <v>0</v>
      </c>
      <c r="C4">
        <f>'H-airplane'!D5</f>
        <v>0</v>
      </c>
      <c r="D4">
        <f>'H-airplane'!E5</f>
        <v>0</v>
      </c>
      <c r="E4">
        <f>'H-airplane'!F5</f>
        <v>1.0305009984051596</v>
      </c>
      <c r="F4">
        <f>'H-airplane'!G5</f>
        <v>0</v>
      </c>
      <c r="G4">
        <f>'H-airplane'!H5</f>
        <v>0</v>
      </c>
      <c r="H4">
        <f>'H-airplane'!I5</f>
        <v>0</v>
      </c>
    </row>
    <row r="5" spans="1:8" x14ac:dyDescent="0.3">
      <c r="A5" s="23" t="s">
        <v>18</v>
      </c>
      <c r="B5">
        <f>'H-airplane'!C6</f>
        <v>0</v>
      </c>
      <c r="C5">
        <f>'H-airplane'!D6</f>
        <v>0</v>
      </c>
      <c r="D5">
        <f>'H-airplane'!E6</f>
        <v>0</v>
      </c>
      <c r="E5">
        <f>'H-airplane'!F6</f>
        <v>0</v>
      </c>
      <c r="F5">
        <f>'H-airplane'!G6</f>
        <v>5.4594594594594599E-2</v>
      </c>
      <c r="G5">
        <f>'H-airplane'!H6</f>
        <v>0</v>
      </c>
      <c r="H5">
        <f>'H-airplane'!I6</f>
        <v>0</v>
      </c>
    </row>
    <row r="6" spans="1:8" x14ac:dyDescent="0.3">
      <c r="A6" s="23" t="s">
        <v>19</v>
      </c>
      <c r="B6">
        <f>'H-airplane'!C7</f>
        <v>0</v>
      </c>
      <c r="C6">
        <f>'H-airplane'!D7</f>
        <v>0</v>
      </c>
      <c r="D6">
        <f>'H-airplane'!E7</f>
        <v>0</v>
      </c>
      <c r="E6">
        <f>'H-airplane'!F7</f>
        <v>0</v>
      </c>
      <c r="F6">
        <f>'H-airplane'!G7</f>
        <v>0</v>
      </c>
      <c r="G6">
        <f>'H-airplane'!H7</f>
        <v>27.146999999999998</v>
      </c>
      <c r="H6">
        <f>'H-airplane'!I7</f>
        <v>0</v>
      </c>
    </row>
    <row r="7" spans="1:8" x14ac:dyDescent="0.3">
      <c r="A7" s="23" t="s">
        <v>20</v>
      </c>
      <c r="B7">
        <f>'H-airplane'!C8</f>
        <v>0</v>
      </c>
      <c r="C7">
        <f>'H-airplane'!D8</f>
        <v>0</v>
      </c>
      <c r="D7">
        <f>'H-airplane'!E8</f>
        <v>0</v>
      </c>
      <c r="E7">
        <f>'H-airplane'!F8</f>
        <v>0</v>
      </c>
      <c r="F7">
        <f>'H-airplane'!G8</f>
        <v>0</v>
      </c>
      <c r="G7">
        <f>'H-airplane'!H8</f>
        <v>0</v>
      </c>
      <c r="H7">
        <f>'H-airplane'!I8</f>
        <v>0</v>
      </c>
    </row>
    <row r="8" spans="1:8" x14ac:dyDescent="0.3">
      <c r="A8" s="23" t="s">
        <v>21</v>
      </c>
      <c r="B8">
        <f>'H-airplane'!C9</f>
        <v>50</v>
      </c>
      <c r="C8">
        <f>'H-airplane'!D9</f>
        <v>12</v>
      </c>
      <c r="D8">
        <f>'H-airplane'!E9</f>
        <v>0</v>
      </c>
      <c r="E8">
        <f>'H-airplane'!F9</f>
        <v>0</v>
      </c>
      <c r="F8">
        <f>'H-airplane'!G9</f>
        <v>0</v>
      </c>
      <c r="G8">
        <f>'H-airplane'!H9</f>
        <v>0</v>
      </c>
      <c r="H8">
        <f>'H-airplane'!I9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6DF2-18D5-443B-9889-C00D269656DD}">
  <dimension ref="A1:B8"/>
  <sheetViews>
    <sheetView workbookViewId="0">
      <selection activeCell="B7" sqref="B7"/>
    </sheetView>
  </sheetViews>
  <sheetFormatPr baseColWidth="10" defaultColWidth="8.77734375" defaultRowHeight="14.4" x14ac:dyDescent="0.3"/>
  <cols>
    <col min="1" max="1" width="18.77734375" customWidth="1"/>
    <col min="2" max="2" width="13.44140625" customWidth="1"/>
  </cols>
  <sheetData>
    <row r="1" spans="1:2" x14ac:dyDescent="0.3">
      <c r="A1" s="20"/>
      <c r="B1" s="22" t="s">
        <v>24</v>
      </c>
    </row>
    <row r="2" spans="1:2" x14ac:dyDescent="0.3">
      <c r="A2" s="23" t="s">
        <v>15</v>
      </c>
      <c r="B2" s="24">
        <f>'H-airplane'!C12</f>
        <v>0</v>
      </c>
    </row>
    <row r="3" spans="1:2" x14ac:dyDescent="0.3">
      <c r="A3" s="23" t="s">
        <v>16</v>
      </c>
      <c r="B3" s="24">
        <f>'H-airplane'!C13</f>
        <v>0</v>
      </c>
    </row>
    <row r="4" spans="1:2" x14ac:dyDescent="0.3">
      <c r="A4" s="23" t="s">
        <v>17</v>
      </c>
      <c r="B4" s="24">
        <f>'H-airplane'!C14</f>
        <v>0</v>
      </c>
    </row>
    <row r="5" spans="1:2" x14ac:dyDescent="0.3">
      <c r="A5" s="23" t="s">
        <v>18</v>
      </c>
      <c r="B5" s="24">
        <f>'H-airplane'!C15</f>
        <v>0</v>
      </c>
    </row>
    <row r="6" spans="1:2" x14ac:dyDescent="0.3">
      <c r="A6" s="23" t="s">
        <v>19</v>
      </c>
      <c r="B6" s="24">
        <f>'H-airplane'!C16</f>
        <v>0</v>
      </c>
    </row>
    <row r="7" spans="1:2" x14ac:dyDescent="0.3">
      <c r="A7" s="23" t="s">
        <v>20</v>
      </c>
      <c r="B7" s="24">
        <v>1</v>
      </c>
    </row>
    <row r="8" spans="1:2" x14ac:dyDescent="0.3">
      <c r="A8" s="23" t="s">
        <v>21</v>
      </c>
      <c r="B8" s="24">
        <f>'H-airplane'!C18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2070-E041-4D0D-8872-488463BA5DC5}">
  <dimension ref="A1:H2"/>
  <sheetViews>
    <sheetView tabSelected="1" workbookViewId="0">
      <selection activeCell="I11" sqref="I11"/>
    </sheetView>
  </sheetViews>
  <sheetFormatPr baseColWidth="10" defaultColWidth="8.77734375" defaultRowHeight="14.4" x14ac:dyDescent="0.3"/>
  <cols>
    <col min="1" max="1" width="25.33203125" customWidth="1"/>
    <col min="3" max="3" width="24.44140625" customWidth="1"/>
    <col min="4" max="4" width="19.44140625" customWidth="1"/>
    <col min="5" max="6" width="19.33203125" customWidth="1"/>
    <col min="7" max="7" width="19.44140625" customWidth="1"/>
    <col min="8" max="8" width="19.109375" customWidth="1"/>
    <col min="9" max="9" width="25.6640625" customWidth="1"/>
  </cols>
  <sheetData>
    <row r="1" spans="1:8" x14ac:dyDescent="0.3">
      <c r="A1" s="15"/>
      <c r="B1" s="21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</v>
      </c>
      <c r="H1" s="21" t="s">
        <v>21</v>
      </c>
    </row>
    <row r="2" spans="1:8" x14ac:dyDescent="0.3">
      <c r="A2" s="14" t="s">
        <v>34</v>
      </c>
      <c r="B2" s="3">
        <f>'H-airplane'!C21</f>
        <v>0</v>
      </c>
      <c r="C2" s="3">
        <f>'H-airplane'!D21</f>
        <v>6.4321608040201012E-2</v>
      </c>
      <c r="D2" s="3">
        <f>'H-airplane'!E21</f>
        <v>0.68522426766917288</v>
      </c>
      <c r="E2" s="3">
        <f>'H-airplane'!F21</f>
        <v>0.39041277958604426</v>
      </c>
      <c r="F2" s="3">
        <f>'H-airplane'!G21</f>
        <v>0</v>
      </c>
      <c r="G2" s="3">
        <f>'H-airplane'!H21</f>
        <v>0</v>
      </c>
      <c r="H2" s="3">
        <f>'H-airplane'!I21</f>
        <v>1.7999999999999999E-2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A0F4-C64E-2544-A43B-772DE19EE246}">
  <dimension ref="A1:H2"/>
  <sheetViews>
    <sheetView workbookViewId="0">
      <selection activeCell="J32" sqref="J32"/>
    </sheetView>
  </sheetViews>
  <sheetFormatPr baseColWidth="10" defaultColWidth="8.77734375" defaultRowHeight="14.4" x14ac:dyDescent="0.3"/>
  <cols>
    <col min="1" max="1" width="25.33203125" customWidth="1"/>
    <col min="3" max="3" width="24.44140625" customWidth="1"/>
    <col min="4" max="4" width="19.44140625" customWidth="1"/>
    <col min="5" max="6" width="19.33203125" customWidth="1"/>
    <col min="7" max="7" width="19.44140625" customWidth="1"/>
    <col min="8" max="8" width="19.109375" customWidth="1"/>
    <col min="9" max="9" width="25.6640625" customWidth="1"/>
  </cols>
  <sheetData>
    <row r="1" spans="1:8" x14ac:dyDescent="0.3">
      <c r="A1" s="15"/>
      <c r="B1" s="21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</v>
      </c>
      <c r="H1" s="21" t="s">
        <v>21</v>
      </c>
    </row>
    <row r="2" spans="1:8" x14ac:dyDescent="0.3">
      <c r="A2" s="14" t="s">
        <v>34</v>
      </c>
      <c r="B2" s="3">
        <f>'H-airplane'!C21</f>
        <v>0</v>
      </c>
      <c r="C2" s="3">
        <f>'H-airplane'!D21</f>
        <v>6.4321608040201012E-2</v>
      </c>
      <c r="D2" s="3">
        <f>(0.7086*'Values, with sources'!B22/3500)+('H-airplane'!E4*'H-airplane'!E22*'Values, with sources'!B39)</f>
        <v>0.7155928390977444</v>
      </c>
      <c r="E2" s="3">
        <f>'H-airplane'!F21</f>
        <v>0.39041277958604426</v>
      </c>
      <c r="F2" s="3">
        <f>'H-airplane'!G21</f>
        <v>0</v>
      </c>
      <c r="G2" s="3">
        <f>'H-airplane'!H21</f>
        <v>0</v>
      </c>
      <c r="H2" s="3">
        <f>'H-airplane'!I21</f>
        <v>1.7999999999999999E-2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B9A6-C0C8-2646-A3BA-CE4351C84048}">
  <dimension ref="A1:H2"/>
  <sheetViews>
    <sheetView workbookViewId="0">
      <selection activeCell="F37" sqref="F37"/>
    </sheetView>
  </sheetViews>
  <sheetFormatPr baseColWidth="10" defaultColWidth="8.77734375" defaultRowHeight="14.4" x14ac:dyDescent="0.3"/>
  <cols>
    <col min="1" max="1" width="25.33203125" customWidth="1"/>
    <col min="3" max="3" width="24.44140625" customWidth="1"/>
    <col min="4" max="4" width="19.44140625" customWidth="1"/>
    <col min="5" max="6" width="19.33203125" customWidth="1"/>
    <col min="7" max="7" width="19.44140625" customWidth="1"/>
    <col min="8" max="8" width="19.109375" customWidth="1"/>
    <col min="9" max="9" width="25.6640625" customWidth="1"/>
  </cols>
  <sheetData>
    <row r="1" spans="1:8" x14ac:dyDescent="0.3">
      <c r="A1" s="15"/>
      <c r="B1" s="21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</v>
      </c>
      <c r="H1" s="21" t="s">
        <v>21</v>
      </c>
    </row>
    <row r="2" spans="1:8" x14ac:dyDescent="0.3">
      <c r="A2" s="14" t="s">
        <v>34</v>
      </c>
      <c r="B2" s="3">
        <f>'H-airplane'!C21</f>
        <v>0</v>
      </c>
      <c r="C2" s="3">
        <f>'H-airplane'!D21</f>
        <v>6.4321608040201012E-2</v>
      </c>
      <c r="D2" s="3">
        <f>(0.7086*'Values, with sources'!B24/3500)+('H-airplane'!E4*'H-airplane'!E22*'Values, with sources'!B39)</f>
        <v>0.67785482766917293</v>
      </c>
      <c r="E2" s="3">
        <f>'H-airplane'!F21</f>
        <v>0.39041277958604426</v>
      </c>
      <c r="F2" s="3">
        <f>'H-airplane'!G21</f>
        <v>0</v>
      </c>
      <c r="G2" s="3">
        <f>'H-airplane'!H21</f>
        <v>0</v>
      </c>
      <c r="H2" s="3">
        <f>'H-airplane'!I21</f>
        <v>1.7999999999999999E-2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EC6F-83D2-4B9D-B01A-BFB75C6A66A4}">
  <dimension ref="A1:J12"/>
  <sheetViews>
    <sheetView topLeftCell="C1" zoomScale="125" workbookViewId="0">
      <selection activeCell="F16" sqref="F16"/>
    </sheetView>
  </sheetViews>
  <sheetFormatPr baseColWidth="10" defaultColWidth="8.77734375" defaultRowHeight="14.4" x14ac:dyDescent="0.3"/>
  <cols>
    <col min="2" max="3" width="17" customWidth="1"/>
    <col min="4" max="4" width="7.44140625" customWidth="1"/>
    <col min="5" max="5" width="6.77734375" customWidth="1"/>
    <col min="6" max="6" width="22.77734375" customWidth="1"/>
    <col min="7" max="7" width="41.33203125" customWidth="1"/>
    <col min="8" max="8" width="13.77734375" customWidth="1"/>
  </cols>
  <sheetData>
    <row r="1" spans="1:10" x14ac:dyDescent="0.3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J1" s="6" t="s">
        <v>44</v>
      </c>
    </row>
    <row r="2" spans="1:10" x14ac:dyDescent="0.3">
      <c r="A2" t="s">
        <v>45</v>
      </c>
      <c r="B2" t="s">
        <v>46</v>
      </c>
      <c r="C2" t="s">
        <v>47</v>
      </c>
      <c r="D2">
        <v>1</v>
      </c>
      <c r="E2" t="s">
        <v>48</v>
      </c>
      <c r="F2" t="s">
        <v>49</v>
      </c>
      <c r="G2" t="s">
        <v>50</v>
      </c>
      <c r="H2">
        <f>'Values, with sources'!B6*'Values, with sources'!B4</f>
        <v>24.974999999999998</v>
      </c>
      <c r="I2" t="s">
        <v>51</v>
      </c>
    </row>
    <row r="3" spans="1:10" x14ac:dyDescent="0.3">
      <c r="A3" t="s">
        <v>52</v>
      </c>
      <c r="B3" t="s">
        <v>53</v>
      </c>
      <c r="C3" t="s">
        <v>46</v>
      </c>
      <c r="D3" s="8">
        <f>H2/('Values, with sources'!B9/100)</f>
        <v>27.146739130434778</v>
      </c>
      <c r="E3" t="s">
        <v>51</v>
      </c>
      <c r="F3" t="s">
        <v>54</v>
      </c>
      <c r="G3" t="s">
        <v>55</v>
      </c>
    </row>
    <row r="4" spans="1:10" x14ac:dyDescent="0.3">
      <c r="A4" t="s">
        <v>56</v>
      </c>
      <c r="B4" t="s">
        <v>57</v>
      </c>
      <c r="C4" t="s">
        <v>53</v>
      </c>
      <c r="D4" s="8">
        <f>1/('Values, with sources'!B10/100)</f>
        <v>1.8181818181818181</v>
      </c>
      <c r="E4" t="s">
        <v>51</v>
      </c>
      <c r="F4" s="9" t="s">
        <v>58</v>
      </c>
      <c r="G4" t="s">
        <v>59</v>
      </c>
      <c r="H4" s="8">
        <f>D4/'Values, with sources'!B4</f>
        <v>5.4600054600054605E-2</v>
      </c>
      <c r="I4" s="10" t="s">
        <v>60</v>
      </c>
    </row>
    <row r="5" spans="1:10" x14ac:dyDescent="0.3">
      <c r="A5" t="s">
        <v>61</v>
      </c>
      <c r="B5" t="s">
        <v>62</v>
      </c>
      <c r="C5" t="s">
        <v>57</v>
      </c>
      <c r="D5" s="8">
        <f>1/((1-'Values, with sources'!B7/100)^10)</f>
        <v>1.288112643308408</v>
      </c>
      <c r="E5" s="10" t="s">
        <v>60</v>
      </c>
      <c r="F5" t="s">
        <v>160</v>
      </c>
      <c r="G5" s="10" t="s">
        <v>63</v>
      </c>
    </row>
    <row r="6" spans="1:10" x14ac:dyDescent="0.3">
      <c r="A6" t="s">
        <v>64</v>
      </c>
      <c r="B6" t="s">
        <v>65</v>
      </c>
      <c r="C6" t="s">
        <v>62</v>
      </c>
      <c r="D6">
        <v>1</v>
      </c>
      <c r="E6" s="10" t="s">
        <v>60</v>
      </c>
      <c r="F6" s="11" t="s">
        <v>66</v>
      </c>
      <c r="G6" s="10" t="s">
        <v>67</v>
      </c>
      <c r="J6" t="s">
        <v>68</v>
      </c>
    </row>
    <row r="7" spans="1:10" x14ac:dyDescent="0.3">
      <c r="A7" t="s">
        <v>69</v>
      </c>
      <c r="B7" t="s">
        <v>70</v>
      </c>
      <c r="C7" t="s">
        <v>65</v>
      </c>
      <c r="D7">
        <v>1</v>
      </c>
      <c r="E7" s="10" t="s">
        <v>71</v>
      </c>
      <c r="F7" s="11" t="s">
        <v>66</v>
      </c>
      <c r="G7" s="10" t="s">
        <v>72</v>
      </c>
    </row>
    <row r="8" spans="1:10" x14ac:dyDescent="0.3">
      <c r="A8" t="s">
        <v>73</v>
      </c>
      <c r="B8" t="s">
        <v>74</v>
      </c>
      <c r="C8" t="s">
        <v>70</v>
      </c>
      <c r="D8">
        <f>'Values, with sources'!B3</f>
        <v>50</v>
      </c>
      <c r="E8" t="s">
        <v>51</v>
      </c>
      <c r="G8" s="10" t="s">
        <v>75</v>
      </c>
    </row>
    <row r="9" spans="1:10" x14ac:dyDescent="0.3">
      <c r="A9" t="s">
        <v>76</v>
      </c>
      <c r="B9" t="s">
        <v>74</v>
      </c>
      <c r="C9" t="s">
        <v>65</v>
      </c>
      <c r="D9">
        <f>'Values, with sources'!B5</f>
        <v>12</v>
      </c>
      <c r="E9" t="s">
        <v>51</v>
      </c>
      <c r="G9" s="10" t="s">
        <v>77</v>
      </c>
    </row>
    <row r="12" spans="1:10" x14ac:dyDescent="0.3">
      <c r="B12" s="18" t="s">
        <v>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3F55-E0B2-4570-9A18-5FDABF16B0AE}">
  <dimension ref="A2:K17"/>
  <sheetViews>
    <sheetView workbookViewId="0">
      <selection activeCell="C14" sqref="C14"/>
    </sheetView>
  </sheetViews>
  <sheetFormatPr baseColWidth="10" defaultColWidth="8.77734375" defaultRowHeight="14.4" x14ac:dyDescent="0.3"/>
  <cols>
    <col min="1" max="1" width="9.6640625" customWidth="1"/>
    <col min="2" max="2" width="25" customWidth="1"/>
    <col min="3" max="3" width="18.77734375" customWidth="1"/>
    <col min="4" max="4" width="21.33203125" customWidth="1"/>
    <col min="5" max="5" width="16.109375" customWidth="1"/>
    <col min="6" max="6" width="15.44140625" customWidth="1"/>
    <col min="7" max="7" width="13.109375" customWidth="1"/>
  </cols>
  <sheetData>
    <row r="2" spans="1:11" x14ac:dyDescent="0.3">
      <c r="A2" s="12" t="s">
        <v>14</v>
      </c>
      <c r="B2" s="15"/>
      <c r="C2" s="13" t="s">
        <v>78</v>
      </c>
      <c r="D2" s="13" t="s">
        <v>80</v>
      </c>
      <c r="E2" s="13" t="s">
        <v>81</v>
      </c>
      <c r="F2" s="13" t="s">
        <v>82</v>
      </c>
      <c r="G2" s="16"/>
    </row>
    <row r="3" spans="1:11" x14ac:dyDescent="0.3">
      <c r="B3" s="13" t="s">
        <v>78</v>
      </c>
      <c r="D3" s="1">
        <v>1</v>
      </c>
      <c r="G3" s="2"/>
      <c r="K3" s="7" t="s">
        <v>79</v>
      </c>
    </row>
    <row r="4" spans="1:11" x14ac:dyDescent="0.3">
      <c r="B4" s="13" t="s">
        <v>80</v>
      </c>
      <c r="E4" s="1">
        <v>1</v>
      </c>
      <c r="G4" s="2"/>
    </row>
    <row r="5" spans="1:11" x14ac:dyDescent="0.3">
      <c r="B5" s="13" t="s">
        <v>81</v>
      </c>
      <c r="F5" s="1">
        <f>'Values, with sources'!B15*('Values, with sources'!B16/100)*'Values, with sources'!B17</f>
        <v>2.0720000000000001</v>
      </c>
      <c r="G5" s="2"/>
    </row>
    <row r="6" spans="1:11" x14ac:dyDescent="0.3">
      <c r="B6" s="13" t="s">
        <v>82</v>
      </c>
      <c r="G6" s="2"/>
    </row>
    <row r="7" spans="1:11" x14ac:dyDescent="0.3">
      <c r="B7" s="14"/>
      <c r="C7" s="3"/>
      <c r="D7" s="3"/>
      <c r="E7" s="3"/>
      <c r="F7" s="3"/>
      <c r="G7" s="4"/>
    </row>
    <row r="9" spans="1:11" x14ac:dyDescent="0.3">
      <c r="A9" s="12" t="s">
        <v>23</v>
      </c>
      <c r="B9" s="15"/>
      <c r="C9" s="16" t="s">
        <v>24</v>
      </c>
    </row>
    <row r="10" spans="1:11" x14ac:dyDescent="0.3">
      <c r="B10" s="13" t="s">
        <v>78</v>
      </c>
      <c r="C10" s="2">
        <f>0</f>
        <v>0</v>
      </c>
    </row>
    <row r="11" spans="1:11" x14ac:dyDescent="0.3">
      <c r="B11" s="13" t="s">
        <v>80</v>
      </c>
      <c r="C11" s="2">
        <f>0</f>
        <v>0</v>
      </c>
    </row>
    <row r="12" spans="1:11" x14ac:dyDescent="0.3">
      <c r="B12" s="13" t="s">
        <v>81</v>
      </c>
      <c r="C12" s="2">
        <f>0</f>
        <v>0</v>
      </c>
    </row>
    <row r="13" spans="1:11" x14ac:dyDescent="0.3">
      <c r="B13" s="13" t="s">
        <v>82</v>
      </c>
      <c r="C13" s="2">
        <v>1</v>
      </c>
    </row>
    <row r="14" spans="1:11" x14ac:dyDescent="0.3">
      <c r="B14" s="14"/>
      <c r="C14" s="4"/>
    </row>
    <row r="16" spans="1:11" x14ac:dyDescent="0.3">
      <c r="A16" s="12" t="s">
        <v>32</v>
      </c>
      <c r="B16" t="s">
        <v>33</v>
      </c>
      <c r="C16" s="13" t="s">
        <v>78</v>
      </c>
      <c r="D16" s="13" t="s">
        <v>80</v>
      </c>
      <c r="E16" s="13" t="s">
        <v>81</v>
      </c>
      <c r="F16" s="13" t="s">
        <v>82</v>
      </c>
    </row>
    <row r="17" spans="2:6" x14ac:dyDescent="0.3">
      <c r="B17" t="s">
        <v>34</v>
      </c>
      <c r="C17">
        <f>'Values, with sources'!B26+'Values, with sources'!B27</f>
        <v>1.4E-2</v>
      </c>
      <c r="D17">
        <f>'Values, with sources'!B28</f>
        <v>1.5E-3</v>
      </c>
      <c r="E17">
        <v>0</v>
      </c>
      <c r="F17">
        <f>'Values, with sources'!B29*2.072</f>
        <v>6.5475200000000005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ec9838-0981-4e83-ac84-7c1f162306e1">
      <Terms xmlns="http://schemas.microsoft.com/office/infopath/2007/PartnerControls"/>
    </lcf76f155ced4ddcb4097134ff3c332f>
    <TaxCatchAll xmlns="19285a7b-45d4-4124-8693-dfd5f45135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CEC38673E984C9A71D5BC8B61A7A2" ma:contentTypeVersion="12" ma:contentTypeDescription="Create a new document." ma:contentTypeScope="" ma:versionID="71e5f267aca0149731e55652045a70be">
  <xsd:schema xmlns:xsd="http://www.w3.org/2001/XMLSchema" xmlns:xs="http://www.w3.org/2001/XMLSchema" xmlns:p="http://schemas.microsoft.com/office/2006/metadata/properties" xmlns:ns2="54ec9838-0981-4e83-ac84-7c1f162306e1" xmlns:ns3="19285a7b-45d4-4124-8693-dfd5f4513520" targetNamespace="http://schemas.microsoft.com/office/2006/metadata/properties" ma:root="true" ma:fieldsID="ffc6422f540094265ef68cc30aa8b4ef" ns2:_="" ns3:_="">
    <xsd:import namespace="54ec9838-0981-4e83-ac84-7c1f162306e1"/>
    <xsd:import namespace="19285a7b-45d4-4124-8693-dfd5f4513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c9838-0981-4e83-ac84-7c1f162306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85a7b-45d4-4124-8693-dfd5f45135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9ef92e-f913-428a-b6d6-528913247c1f}" ma:internalName="TaxCatchAll" ma:showField="CatchAllData" ma:web="19285a7b-45d4-4124-8693-dfd5f45135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3AA40E-C91C-4EFD-B744-414ED2241C5B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9285a7b-45d4-4124-8693-dfd5f4513520"/>
    <ds:schemaRef ds:uri="http://purl.org/dc/dcmitype/"/>
    <ds:schemaRef ds:uri="54ec9838-0981-4e83-ac84-7c1f162306e1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5E5B4F-561C-4BDD-9547-9AF9054F0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c9838-0981-4e83-ac84-7c1f162306e1"/>
    <ds:schemaRef ds:uri="19285a7b-45d4-4124-8693-dfd5f4513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3E8C19-2C64-4695-91A3-DB4A013C0C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Ark1</vt:lpstr>
      <vt:lpstr>H-airplane</vt:lpstr>
      <vt:lpstr>A-matrix</vt:lpstr>
      <vt:lpstr>y-vector</vt:lpstr>
      <vt:lpstr>C@S-matrix_TRD</vt:lpstr>
      <vt:lpstr>C@S-matrix_H_OSL</vt:lpstr>
      <vt:lpstr>C@S-matrix_H_TOS</vt:lpstr>
      <vt:lpstr>H-Flow formulas</vt:lpstr>
      <vt:lpstr>C-airplane</vt:lpstr>
      <vt:lpstr>A-matrix_C</vt:lpstr>
      <vt:lpstr>y-vector_C</vt:lpstr>
      <vt:lpstr>C@S-matrix_C</vt:lpstr>
      <vt:lpstr>C-Flow formulas</vt:lpstr>
      <vt:lpstr>Values, with 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Framvik</cp:lastModifiedBy>
  <cp:revision/>
  <dcterms:created xsi:type="dcterms:W3CDTF">2024-02-21T12:49:35Z</dcterms:created>
  <dcterms:modified xsi:type="dcterms:W3CDTF">2024-04-03T14:29:29Z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0x010100D77CEC38673E984C9A71D5BC8B61A7A2</vt:lpwstr>
  </property>
  <property fmtid="{D5CDD505-2E9C-101B-9397-08002B2CF9AE}" pid="3" name="MediaServiceImageTags">
    <vt:lpwstr/>
  </property>
</Properties>
</file>